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pt33090-my.sharepoint.com/personal/luish_ua_pt/Documents/Trabalho de Grupo (GF or GF-II)/Trabalho Final/"/>
    </mc:Choice>
  </mc:AlternateContent>
  <xr:revisionPtr revIDLastSave="4199" documentId="11_FCB1979FFDB0AF95BFB090E4010427081080D19F" xr6:coauthVersionLast="47" xr6:coauthVersionMax="47" xr10:uidLastSave="{DD6DCF47-7A87-49C5-A8C9-596A89689874}"/>
  <bookViews>
    <workbookView xWindow="-120" yWindow="-120" windowWidth="20730" windowHeight="11040" tabRatio="588" activeTab="3" xr2:uid="{00000000-000D-0000-FFFF-FFFF00000000}"/>
  </bookViews>
  <sheets>
    <sheet name="Balanço_DR" sheetId="3" r:id="rId1"/>
    <sheet name="Detalhes_Contas (&quot;Anexo&quot;)" sheetId="11" r:id="rId2"/>
    <sheet name="FSE" sheetId="10" r:id="rId3"/>
    <sheet name="Formato_global" sheetId="6" r:id="rId4"/>
    <sheet name="Taxa_Variação" sheetId="5" r:id="rId5"/>
    <sheet name="Rácios" sheetId="1" r:id="rId6"/>
    <sheet name="Estrutura do balanço" sheetId="22" r:id="rId7"/>
    <sheet name="Z-Score" sheetId="21" r:id="rId8"/>
    <sheet name="Análise_Rendibilidade_Risco v.2" sheetId="8" r:id="rId9"/>
    <sheet name="PMP_PMR" sheetId="9" r:id="rId10"/>
    <sheet name="Balanço_Funcional" sheetId="19" r:id="rId11"/>
    <sheet name="LG_EarningPower" sheetId="18" r:id="rId12"/>
    <sheet name="Anexo_Ativo" sheetId="12" r:id="rId13"/>
    <sheet name="Capital_Próprio" sheetId="16" r:id="rId14"/>
    <sheet name="Anexo_Passivo" sheetId="13" r:id="rId15"/>
    <sheet name="Anexo_Rendimentos (Operações)" sheetId="14" r:id="rId16"/>
    <sheet name="Anexo_Gastos (Operações)" sheetId="15" r:id="rId17"/>
    <sheet name="Folha1" sheetId="23" state="hidden" r:id="rId18"/>
    <sheet name="Análise_Rendibilidade_Risco" sheetId="2" state="hidden" r:id="rId19"/>
    <sheet name="Risco" sheetId="4" state="hidden" r:id="rId20"/>
  </sheets>
  <definedNames>
    <definedName name="CF_2016">'Análise_Rendibilidade_Risco v.2'!$M$8</definedName>
    <definedName name="CF_2017">'Análise_Rendibilidade_Risco v.2'!$L$8</definedName>
    <definedName name="CF_2018">'Análise_Rendibilidade_Risco v.2'!$K$8</definedName>
    <definedName name="CF_2019">'Análise_Rendibilidade_Risco v.2'!$J$8</definedName>
    <definedName name="CF_2020">'Análise_Rendibilidade_Risco v.2'!$I$8</definedName>
    <definedName name="CV_2016">'Análise_Rendibilidade_Risco v.2'!$M$6</definedName>
    <definedName name="CV_2017">'Análise_Rendibilidade_Risco v.2'!$L$6</definedName>
    <definedName name="CV_2018">'Análise_Rendibilidade_Risco v.2'!$K$6</definedName>
    <definedName name="CV_2019">'Análise_Rendibilidade_Risco v.2'!$J$6</definedName>
    <definedName name="CV_2020">'Análise_Rendibilidade_Risco v.2'!$I$6</definedName>
    <definedName name="ECF_2016">'Análise_Rendibilidade_Risco v.2'!$F$6</definedName>
    <definedName name="ECF_2017">'Análise_Rendibilidade_Risco v.2'!$E$6</definedName>
    <definedName name="ECF_2018">'Análise_Rendibilidade_Risco v.2'!$D$6</definedName>
    <definedName name="ECF_2019">'Análise_Rendibilidade_Risco v.2'!$C$6</definedName>
    <definedName name="ECF_2020">'Análise_Rendibilidade_Risco v.2'!$B$6</definedName>
    <definedName name="ECV_2016">'Análise_Rendibilidade_Risco v.2'!$F$5</definedName>
    <definedName name="ECV_2017">'Análise_Rendibilidade_Risco v.2'!$E$5</definedName>
    <definedName name="ECV_2018">'Análise_Rendibilidade_Risco v.2'!$D$5</definedName>
    <definedName name="ECV_2019">'Análise_Rendibilidade_Risco v.2'!$C$5</definedName>
    <definedName name="ECV_2020">'Análise_Rendibilidade_Risco v.2'!$B$5</definedName>
    <definedName name="EEF_2016">'Análise_Rendibilidade_Risco v.2'!$F$9</definedName>
    <definedName name="EEF_2017">'Análise_Rendibilidade_Risco v.2'!$E$9</definedName>
    <definedName name="EEF_2018">'Análise_Rendibilidade_Risco v.2'!$D$9</definedName>
    <definedName name="EEF_2019">'Análise_Rendibilidade_Risco v.2'!$C$9</definedName>
    <definedName name="EEF_2020">'Análise_Rendibilidade_Risco v.2'!$B$9</definedName>
    <definedName name="EfeitoAlavan_2016">'Análise_Rendibilidade_Risco v.2'!$F$11</definedName>
    <definedName name="EfeitoAlavan_2017">'Análise_Rendibilidade_Risco v.2'!$E$11</definedName>
    <definedName name="EfeitoAlavan_2018">'Análise_Rendibilidade_Risco v.2'!$D$11</definedName>
    <definedName name="EfeitoAlavan_2019">'Análise_Rendibilidade_Risco v.2'!$C$11</definedName>
    <definedName name="EfeitoAlavan_2020">'Análise_Rendibilidade_Risco v.2'!$B$11</definedName>
    <definedName name="EfeitoFiscal_2016">'Análise_Rendibilidade_Risco v.2'!$F$12</definedName>
    <definedName name="EfeitoFiscal_2017">'Análise_Rendibilidade_Risco v.2'!$E$12</definedName>
    <definedName name="EfeitoFiscal_2018">'Análise_Rendibilidade_Risco v.2'!$D$12</definedName>
    <definedName name="EfeitoFiscal_2019">'Análise_Rendibilidade_Risco v.2'!$C$12</definedName>
    <definedName name="EfeitoFiscal_2020">'Análise_Rendibilidade_Risco v.2'!$B$12</definedName>
    <definedName name="EstruFinan_2016">'Análise_Rendibilidade_Risco v.2'!$F$10</definedName>
    <definedName name="EstruFinan_2017">'Análise_Rendibilidade_Risco v.2'!$E$10</definedName>
    <definedName name="EstruFinan_2018">'Análise_Rendibilidade_Risco v.2'!$D$10</definedName>
    <definedName name="EstruFinan_2019">'Análise_Rendibilidade_Risco v.2'!$C$10</definedName>
    <definedName name="EstruFinan_2020">'Análise_Rendibilidade_Risco v.2'!$B$10</definedName>
    <definedName name="GAC_2016">'Análise_Rendibilidade_Risco v.2'!$F$22</definedName>
    <definedName name="GAC_2017">'Análise_Rendibilidade_Risco v.2'!$E$22</definedName>
    <definedName name="GAC_2018">'Análise_Rendibilidade_Risco v.2'!$D$22</definedName>
    <definedName name="GAC_2019">'Análise_Rendibilidade_Risco v.2'!$C$22</definedName>
    <definedName name="GAC_2020">'Análise_Rendibilidade_Risco v.2'!$B$22</definedName>
    <definedName name="GAF_2016">'Análise_Rendibilidade_Risco v.2'!$F$21</definedName>
    <definedName name="GAF_2017">'Análise_Rendibilidade_Risco v.2'!$E$21</definedName>
    <definedName name="GAF_2018">'Análise_Rendibilidade_Risco v.2'!$D$21</definedName>
    <definedName name="GAF_2019">'Análise_Rendibilidade_Risco v.2'!$C$21</definedName>
    <definedName name="GAF_2020">'Análise_Rendibilidade_Risco v.2'!$B$21</definedName>
    <definedName name="GAO_2016">'Análise_Rendibilidade_Risco v.2'!$F$20</definedName>
    <definedName name="GAO_2017">'Análise_Rendibilidade_Risco v.2'!$E$20</definedName>
    <definedName name="GAO_2018">'Análise_Rendibilidade_Risco v.2'!$D$20</definedName>
    <definedName name="GAO_2019">'Análise_Rendibilidade_Risco v.2'!$C$20</definedName>
    <definedName name="GAO_2020">'Análise_Rendibilidade_Risco v.2'!$B$20</definedName>
    <definedName name="MC_2016">'Análise_Rendibilidade_Risco v.2'!$M$7</definedName>
    <definedName name="MC_2017">'Análise_Rendibilidade_Risco v.2'!$L$7</definedName>
    <definedName name="MC_2018">'Análise_Rendibilidade_Risco v.2'!$K$7</definedName>
    <definedName name="MC_2019">'Análise_Rendibilidade_Risco v.2'!$J$7</definedName>
    <definedName name="MC_2020">'Análise_Rendibilidade_Risco v.2'!$I$7</definedName>
    <definedName name="Operações_2016">'Análise_Rendibilidade_Risco v.2'!$F$8</definedName>
    <definedName name="Operações_2017">'Análise_Rendibilidade_Risco v.2'!$E$8</definedName>
    <definedName name="Operações_2018">'Análise_Rendibilidade_Risco v.2'!$D$8</definedName>
    <definedName name="Operações_2019">'Análise_Rendibilidade_Risco v.2'!$C$8</definedName>
    <definedName name="Operações_2020">'Análise_Rendibilidade_Risco v.2'!$B$8</definedName>
    <definedName name="RAI_2016">'Análise_Rendibilidade_Risco v.2'!$M$10</definedName>
    <definedName name="RAI_2017">'Análise_Rendibilidade_Risco v.2'!$L$10</definedName>
    <definedName name="RAI_2018">'Análise_Rendibilidade_Risco v.2'!$K$10</definedName>
    <definedName name="RAI_2019">'Análise_Rendibilidade_Risco v.2'!$J$10</definedName>
    <definedName name="RAI_2020">'Análise_Rendibilidade_Risco v.2'!$I$10</definedName>
    <definedName name="RO_2016">'Análise_Rendibilidade_Risco v.2'!$M$9</definedName>
    <definedName name="RO_2017">'Análise_Rendibilidade_Risco v.2'!$L$9</definedName>
    <definedName name="RO_2018">'Análise_Rendibilidade_Risco v.2'!$K$9</definedName>
    <definedName name="RO_2019">'Análise_Rendibilidade_Risco v.2'!$J$9</definedName>
    <definedName name="RO_2020">'Análise_Rendibilidade_Risco v.2'!$I$9</definedName>
    <definedName name="rotacaoAtivo2016_percentagem">Rácios!$O$28</definedName>
    <definedName name="rotacaoAtivo2017_percentagem">Rácios!$L$28</definedName>
    <definedName name="rotacaoAtivo2018_percentagem">Rácios!$I$28</definedName>
    <definedName name="rotacaoAtivo2019_percentagem">Rácios!$F$28</definedName>
    <definedName name="rotacaoAtivo2020_percentagem">Rácios!$C$28</definedName>
    <definedName name="RotAtivo2016">'Análise_Rendibilidade_Risco v.2'!$F$7</definedName>
    <definedName name="RotAtivo2017">'Análise_Rendibilidade_Risco v.2'!$E$7</definedName>
    <definedName name="RotAtivo2018">'Análise_Rendibilidade_Risco v.2'!$D$7</definedName>
    <definedName name="RotAtivo2019">'Análise_Rendibilidade_Risco v.2'!$C$7</definedName>
    <definedName name="RotAtivo2020">'Análise_Rendibilidade_Risco v.2'!$B$7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9" l="1"/>
  <c r="G59" i="8"/>
  <c r="G60" i="8"/>
  <c r="G61" i="8"/>
  <c r="G62" i="8"/>
  <c r="G63" i="8"/>
  <c r="I24" i="18"/>
  <c r="H24" i="18"/>
  <c r="G24" i="18"/>
  <c r="F24" i="18"/>
  <c r="E24" i="18"/>
  <c r="G33" i="8"/>
  <c r="G34" i="8"/>
  <c r="G35" i="8"/>
  <c r="G36" i="8"/>
  <c r="G37" i="8"/>
  <c r="G38" i="8"/>
  <c r="G39" i="8"/>
  <c r="G40" i="8"/>
  <c r="G32" i="8"/>
  <c r="C2" i="22"/>
  <c r="F2" i="22"/>
  <c r="I2" i="22"/>
  <c r="L2" i="22"/>
  <c r="O2" i="22"/>
  <c r="C3" i="22"/>
  <c r="F3" i="22"/>
  <c r="I3" i="22"/>
  <c r="L3" i="22"/>
  <c r="O3" i="22"/>
  <c r="C4" i="22"/>
  <c r="F4" i="22"/>
  <c r="I4" i="22"/>
  <c r="L4" i="22"/>
  <c r="O4" i="22"/>
  <c r="C5" i="22"/>
  <c r="F5" i="22"/>
  <c r="I5" i="22"/>
  <c r="L5" i="22"/>
  <c r="O5" i="22"/>
  <c r="C6" i="22"/>
  <c r="F6" i="22"/>
  <c r="I6" i="22"/>
  <c r="L6" i="22"/>
  <c r="O6" i="22"/>
  <c r="B7" i="22"/>
  <c r="C7" i="22" s="1"/>
  <c r="E7" i="22"/>
  <c r="F7" i="22"/>
  <c r="I7" i="22"/>
  <c r="L7" i="22"/>
  <c r="O7" i="22"/>
  <c r="B3" i="21"/>
  <c r="B13" i="21" s="1"/>
  <c r="C3" i="21"/>
  <c r="D3" i="21"/>
  <c r="E3" i="21"/>
  <c r="D13" i="21" s="1"/>
  <c r="F3" i="21"/>
  <c r="D4" i="21"/>
  <c r="D22" i="21" s="1"/>
  <c r="E4" i="21"/>
  <c r="B5" i="21"/>
  <c r="C5" i="21"/>
  <c r="B15" i="21" s="1"/>
  <c r="D5" i="21"/>
  <c r="D15" i="21" s="1"/>
  <c r="E5" i="21"/>
  <c r="F5" i="21"/>
  <c r="K5" i="21"/>
  <c r="K15" i="21" s="1"/>
  <c r="L5" i="21"/>
  <c r="L15" i="21" s="1"/>
  <c r="M5" i="21"/>
  <c r="M15" i="21" s="1"/>
  <c r="N5" i="21"/>
  <c r="O5" i="21"/>
  <c r="F4" i="21" s="1"/>
  <c r="B6" i="21"/>
  <c r="C6" i="21"/>
  <c r="D6" i="21"/>
  <c r="E6" i="21"/>
  <c r="D16" i="21" s="1"/>
  <c r="F6" i="21"/>
  <c r="B7" i="21"/>
  <c r="B17" i="21" s="1"/>
  <c r="C7" i="21"/>
  <c r="D7" i="21"/>
  <c r="D17" i="21" s="1"/>
  <c r="E7" i="21"/>
  <c r="E17" i="21" s="1"/>
  <c r="F7" i="21"/>
  <c r="C13" i="21"/>
  <c r="K13" i="21"/>
  <c r="L13" i="21"/>
  <c r="M13" i="21"/>
  <c r="D14" i="21"/>
  <c r="K14" i="21"/>
  <c r="L14" i="21"/>
  <c r="M14" i="21"/>
  <c r="E15" i="21"/>
  <c r="B16" i="21"/>
  <c r="C16" i="21"/>
  <c r="K16" i="21"/>
  <c r="L16" i="21"/>
  <c r="M16" i="21"/>
  <c r="C17" i="21"/>
  <c r="K17" i="21"/>
  <c r="L17" i="21"/>
  <c r="M17" i="21"/>
  <c r="K18" i="21"/>
  <c r="L18" i="21"/>
  <c r="M18" i="21"/>
  <c r="K19" i="21"/>
  <c r="L19" i="21"/>
  <c r="M19" i="21"/>
  <c r="C110" i="8"/>
  <c r="M26" i="9"/>
  <c r="M25" i="9"/>
  <c r="I25" i="9"/>
  <c r="J25" i="9"/>
  <c r="K25" i="9"/>
  <c r="I26" i="9"/>
  <c r="J26" i="9"/>
  <c r="K26" i="9"/>
  <c r="L26" i="9"/>
  <c r="L25" i="9"/>
  <c r="C27" i="9"/>
  <c r="D27" i="9"/>
  <c r="E27" i="9"/>
  <c r="F27" i="9"/>
  <c r="B27" i="9"/>
  <c r="F26" i="9"/>
  <c r="F25" i="9"/>
  <c r="E26" i="9"/>
  <c r="E25" i="9"/>
  <c r="D25" i="9"/>
  <c r="D26" i="9"/>
  <c r="C25" i="9"/>
  <c r="C26" i="9"/>
  <c r="B26" i="9"/>
  <c r="B25" i="9"/>
  <c r="F13" i="9"/>
  <c r="E13" i="9"/>
  <c r="D13" i="9"/>
  <c r="C13" i="9"/>
  <c r="B13" i="9"/>
  <c r="J26" i="19"/>
  <c r="L26" i="19"/>
  <c r="F3" i="19"/>
  <c r="F4" i="19"/>
  <c r="F5" i="19"/>
  <c r="F7" i="19" s="1"/>
  <c r="F26" i="19" s="1"/>
  <c r="F6" i="19"/>
  <c r="F9" i="19"/>
  <c r="F10" i="19"/>
  <c r="F11" i="19"/>
  <c r="F12" i="19"/>
  <c r="F13" i="19"/>
  <c r="F14" i="19"/>
  <c r="F15" i="19"/>
  <c r="F24" i="19" s="1"/>
  <c r="F17" i="19"/>
  <c r="F18" i="19"/>
  <c r="F19" i="19"/>
  <c r="F20" i="19"/>
  <c r="F21" i="19"/>
  <c r="F22" i="19"/>
  <c r="L10" i="19"/>
  <c r="K3" i="19"/>
  <c r="K4" i="19"/>
  <c r="K12" i="19"/>
  <c r="K14" i="19"/>
  <c r="K17" i="19"/>
  <c r="L17" i="19"/>
  <c r="L21" i="19"/>
  <c r="J19" i="19"/>
  <c r="J20" i="19"/>
  <c r="J3" i="19"/>
  <c r="E3" i="19"/>
  <c r="E4" i="19"/>
  <c r="E6" i="19"/>
  <c r="E9" i="19"/>
  <c r="K9" i="19" s="1"/>
  <c r="E10" i="19"/>
  <c r="E11" i="19"/>
  <c r="E12" i="19"/>
  <c r="L12" i="19" s="1"/>
  <c r="E13" i="19"/>
  <c r="E14" i="19"/>
  <c r="E17" i="19"/>
  <c r="E18" i="19"/>
  <c r="E19" i="19"/>
  <c r="L19" i="19" s="1"/>
  <c r="E20" i="19"/>
  <c r="E21" i="19"/>
  <c r="D3" i="19"/>
  <c r="D4" i="19"/>
  <c r="D5" i="19" s="1"/>
  <c r="D6" i="19"/>
  <c r="K6" i="19" s="1"/>
  <c r="D9" i="19"/>
  <c r="D10" i="19"/>
  <c r="K10" i="19" s="1"/>
  <c r="D11" i="19"/>
  <c r="K11" i="19" s="1"/>
  <c r="D12" i="19"/>
  <c r="D13" i="19"/>
  <c r="K13" i="19" s="1"/>
  <c r="D14" i="19"/>
  <c r="D17" i="19"/>
  <c r="D18" i="19"/>
  <c r="K18" i="19" s="1"/>
  <c r="D19" i="19"/>
  <c r="D20" i="19"/>
  <c r="D21" i="19"/>
  <c r="C21" i="19"/>
  <c r="C20" i="19"/>
  <c r="C19" i="19"/>
  <c r="C18" i="19"/>
  <c r="J18" i="19" s="1"/>
  <c r="C17" i="19"/>
  <c r="J17" i="19" s="1"/>
  <c r="C14" i="19"/>
  <c r="J14" i="19" s="1"/>
  <c r="C13" i="19"/>
  <c r="J13" i="19" s="1"/>
  <c r="C12" i="19"/>
  <c r="J12" i="19" s="1"/>
  <c r="C11" i="19"/>
  <c r="C10" i="19"/>
  <c r="C9" i="19"/>
  <c r="C6" i="19"/>
  <c r="J6" i="19" s="1"/>
  <c r="C4" i="19"/>
  <c r="J4" i="19" s="1"/>
  <c r="C3" i="19"/>
  <c r="C5" i="19" s="1"/>
  <c r="E14" i="21" l="1"/>
  <c r="F22" i="21"/>
  <c r="F24" i="21" s="1"/>
  <c r="D24" i="21"/>
  <c r="E22" i="21"/>
  <c r="E16" i="21"/>
  <c r="C4" i="21"/>
  <c r="C15" i="21"/>
  <c r="E13" i="21"/>
  <c r="B4" i="21"/>
  <c r="L13" i="19"/>
  <c r="P20" i="19"/>
  <c r="O20" i="19"/>
  <c r="O19" i="19"/>
  <c r="O21" i="19"/>
  <c r="O17" i="19"/>
  <c r="J10" i="19"/>
  <c r="L22" i="19"/>
  <c r="C7" i="19"/>
  <c r="J7" i="19" s="1"/>
  <c r="J9" i="19"/>
  <c r="K21" i="19"/>
  <c r="E5" i="19"/>
  <c r="E7" i="19" s="1"/>
  <c r="K20" i="19"/>
  <c r="L14" i="19"/>
  <c r="N13" i="19"/>
  <c r="L9" i="19"/>
  <c r="J11" i="19"/>
  <c r="K19" i="19"/>
  <c r="L18" i="19"/>
  <c r="O11" i="19"/>
  <c r="D22" i="19"/>
  <c r="J5" i="19"/>
  <c r="L6" i="19"/>
  <c r="C22" i="19"/>
  <c r="J21" i="19"/>
  <c r="L11" i="19"/>
  <c r="L4" i="19"/>
  <c r="L5" i="19"/>
  <c r="L3" i="19"/>
  <c r="L20" i="19"/>
  <c r="E15" i="19"/>
  <c r="P13" i="19" s="1"/>
  <c r="D7" i="19"/>
  <c r="C15" i="19"/>
  <c r="N12" i="19" s="1"/>
  <c r="D15" i="19"/>
  <c r="E22" i="19"/>
  <c r="P19" i="19" s="1"/>
  <c r="D24" i="19"/>
  <c r="C22" i="21" l="1"/>
  <c r="C24" i="21" s="1"/>
  <c r="C14" i="21"/>
  <c r="B14" i="21"/>
  <c r="B22" i="21"/>
  <c r="B24" i="21" s="1"/>
  <c r="E24" i="21"/>
  <c r="N21" i="19"/>
  <c r="N17" i="19"/>
  <c r="J22" i="19"/>
  <c r="N18" i="19"/>
  <c r="P10" i="19"/>
  <c r="K24" i="19"/>
  <c r="N11" i="19"/>
  <c r="K5" i="19"/>
  <c r="P12" i="19"/>
  <c r="P11" i="19"/>
  <c r="P14" i="19"/>
  <c r="O10" i="19"/>
  <c r="O12" i="19"/>
  <c r="O13" i="19"/>
  <c r="K15" i="19"/>
  <c r="O14" i="19"/>
  <c r="P9" i="19"/>
  <c r="N20" i="19"/>
  <c r="O9" i="19"/>
  <c r="P17" i="19"/>
  <c r="P21" i="19"/>
  <c r="C24" i="19"/>
  <c r="J15" i="19"/>
  <c r="N10" i="19"/>
  <c r="N14" i="19"/>
  <c r="N19" i="19"/>
  <c r="D26" i="19"/>
  <c r="K7" i="19"/>
  <c r="K22" i="19"/>
  <c r="O18" i="19"/>
  <c r="N9" i="19"/>
  <c r="P18" i="19"/>
  <c r="L24" i="19"/>
  <c r="L15" i="19"/>
  <c r="L7" i="19"/>
  <c r="E24" i="19"/>
  <c r="E26" i="19" s="1"/>
  <c r="C26" i="19" l="1"/>
  <c r="J24" i="19"/>
  <c r="K26" i="19"/>
  <c r="K18" i="18"/>
  <c r="L18" i="18"/>
  <c r="M18" i="18"/>
  <c r="K7" i="18"/>
  <c r="L7" i="18"/>
  <c r="M7" i="18"/>
  <c r="H17" i="18" l="1"/>
  <c r="E6" i="18"/>
  <c r="L6" i="18" s="1"/>
  <c r="I17" i="18"/>
  <c r="G17" i="18"/>
  <c r="M17" i="18" s="1"/>
  <c r="F17" i="18"/>
  <c r="L17" i="18" s="1"/>
  <c r="E17" i="18"/>
  <c r="K17" i="18" s="1"/>
  <c r="H6" i="18"/>
  <c r="G6" i="18"/>
  <c r="F6" i="18"/>
  <c r="M6" i="18" s="1"/>
  <c r="D6" i="18"/>
  <c r="K6" i="18" s="1"/>
  <c r="F12" i="9"/>
  <c r="E12" i="9"/>
  <c r="D12" i="9"/>
  <c r="C12" i="9"/>
  <c r="B12" i="9"/>
  <c r="F9" i="9"/>
  <c r="E9" i="9"/>
  <c r="D9" i="9"/>
  <c r="C9" i="9"/>
  <c r="B9" i="9"/>
  <c r="F7" i="9"/>
  <c r="E7" i="9"/>
  <c r="D7" i="9"/>
  <c r="C7" i="9"/>
  <c r="B7" i="9"/>
  <c r="F6" i="9"/>
  <c r="E6" i="9"/>
  <c r="D6" i="9"/>
  <c r="C6" i="9"/>
  <c r="B6" i="9"/>
  <c r="F5" i="9"/>
  <c r="F8" i="9" s="1"/>
  <c r="F10" i="9" s="1"/>
  <c r="F11" i="9" s="1"/>
  <c r="E5" i="9"/>
  <c r="E8" i="9" s="1"/>
  <c r="E10" i="9" s="1"/>
  <c r="E11" i="9" s="1"/>
  <c r="D5" i="9"/>
  <c r="D8" i="9" s="1"/>
  <c r="D10" i="9" s="1"/>
  <c r="D11" i="9" s="1"/>
  <c r="C5" i="9"/>
  <c r="C8" i="9" s="1"/>
  <c r="C10" i="9" s="1"/>
  <c r="C11" i="9" s="1"/>
  <c r="B5" i="9"/>
  <c r="B8" i="9" s="1"/>
  <c r="B10" i="9" s="1"/>
  <c r="B11" i="9" s="1"/>
  <c r="N10" i="13"/>
  <c r="I10" i="13"/>
  <c r="J10" i="13"/>
  <c r="K10" i="13"/>
  <c r="L10" i="13"/>
  <c r="M10" i="13"/>
  <c r="H10" i="13"/>
  <c r="F15" i="13"/>
  <c r="E15" i="13"/>
  <c r="D15" i="13"/>
  <c r="C15" i="13"/>
  <c r="B15" i="13"/>
  <c r="D24" i="8"/>
  <c r="E24" i="8"/>
  <c r="F24" i="8"/>
  <c r="F23" i="8" s="1"/>
  <c r="C24" i="8"/>
  <c r="C23" i="8" s="1"/>
  <c r="B24" i="8"/>
  <c r="B110" i="8" s="1"/>
  <c r="D23" i="8"/>
  <c r="D109" i="8" s="1"/>
  <c r="E23" i="8"/>
  <c r="D110" i="8"/>
  <c r="B6" i="8"/>
  <c r="B20" i="8" s="1"/>
  <c r="B45" i="8"/>
  <c r="C45" i="8"/>
  <c r="D45" i="8"/>
  <c r="E45" i="8"/>
  <c r="F45" i="8"/>
  <c r="M5" i="8"/>
  <c r="L5" i="8"/>
  <c r="K5" i="8"/>
  <c r="J5" i="8"/>
  <c r="I5" i="8"/>
  <c r="B46" i="8"/>
  <c r="C46" i="8"/>
  <c r="D46" i="8"/>
  <c r="E46" i="8"/>
  <c r="F48" i="8"/>
  <c r="E48" i="8"/>
  <c r="D48" i="8"/>
  <c r="C48" i="8"/>
  <c r="B48" i="8"/>
  <c r="F46" i="8"/>
  <c r="I11" i="14"/>
  <c r="J11" i="14"/>
  <c r="K11" i="14"/>
  <c r="Q44" i="15"/>
  <c r="R44" i="15"/>
  <c r="Q45" i="15"/>
  <c r="R45" i="15"/>
  <c r="Q46" i="15"/>
  <c r="R46" i="15"/>
  <c r="Q47" i="15"/>
  <c r="R47" i="15"/>
  <c r="Q48" i="15"/>
  <c r="R48" i="15"/>
  <c r="Q49" i="15"/>
  <c r="R49" i="15"/>
  <c r="Q50" i="15"/>
  <c r="R50" i="15"/>
  <c r="S45" i="15"/>
  <c r="S46" i="15"/>
  <c r="S47" i="15"/>
  <c r="S48" i="15"/>
  <c r="S49" i="15"/>
  <c r="S50" i="15"/>
  <c r="S44" i="15"/>
  <c r="I16" i="15"/>
  <c r="J16" i="15"/>
  <c r="I17" i="15"/>
  <c r="J17" i="15"/>
  <c r="K17" i="15"/>
  <c r="K16" i="15"/>
  <c r="I15" i="15"/>
  <c r="J15" i="15"/>
  <c r="K15" i="15"/>
  <c r="H16" i="15"/>
  <c r="H17" i="15"/>
  <c r="H15" i="15"/>
  <c r="Q5" i="9"/>
  <c r="R5" i="9"/>
  <c r="S5" i="9"/>
  <c r="T5" i="9"/>
  <c r="Q6" i="9"/>
  <c r="R6" i="9"/>
  <c r="S6" i="9"/>
  <c r="T6" i="9"/>
  <c r="U5" i="9"/>
  <c r="U6" i="9"/>
  <c r="P6" i="9"/>
  <c r="P5" i="9"/>
  <c r="N6" i="9"/>
  <c r="N7" i="9"/>
  <c r="N8" i="9"/>
  <c r="N9" i="9"/>
  <c r="N10" i="9"/>
  <c r="N12" i="9"/>
  <c r="N14" i="9"/>
  <c r="I5" i="9"/>
  <c r="J5" i="9"/>
  <c r="K5" i="9"/>
  <c r="I6" i="9"/>
  <c r="J6" i="9"/>
  <c r="K6" i="9"/>
  <c r="I7" i="9"/>
  <c r="J7" i="9"/>
  <c r="K7" i="9"/>
  <c r="I8" i="9"/>
  <c r="J8" i="9"/>
  <c r="K8" i="9"/>
  <c r="I9" i="9"/>
  <c r="J9" i="9"/>
  <c r="K9" i="9"/>
  <c r="I10" i="9"/>
  <c r="J10" i="9"/>
  <c r="K10" i="9"/>
  <c r="I12" i="9"/>
  <c r="J12" i="9"/>
  <c r="K12" i="9"/>
  <c r="I14" i="9"/>
  <c r="J14" i="9"/>
  <c r="K14" i="9"/>
  <c r="L6" i="9"/>
  <c r="L7" i="9"/>
  <c r="L8" i="9"/>
  <c r="L9" i="9"/>
  <c r="L10" i="9"/>
  <c r="L12" i="9"/>
  <c r="L14" i="9"/>
  <c r="M6" i="9"/>
  <c r="M7" i="9"/>
  <c r="M8" i="9"/>
  <c r="M9" i="9"/>
  <c r="M10" i="9"/>
  <c r="M12" i="9"/>
  <c r="M14" i="9"/>
  <c r="L5" i="9"/>
  <c r="M5" i="9"/>
  <c r="H6" i="9"/>
  <c r="H7" i="9"/>
  <c r="H5" i="9"/>
  <c r="Q5" i="16"/>
  <c r="R5" i="16"/>
  <c r="S5" i="16"/>
  <c r="T5" i="16"/>
  <c r="Q6" i="16"/>
  <c r="R6" i="16"/>
  <c r="S6" i="16"/>
  <c r="T6" i="16"/>
  <c r="Q7" i="16"/>
  <c r="R7" i="16"/>
  <c r="S7" i="16"/>
  <c r="T7" i="16"/>
  <c r="Q8" i="16"/>
  <c r="R8" i="16"/>
  <c r="S8" i="16"/>
  <c r="T8" i="16"/>
  <c r="Q9" i="16"/>
  <c r="R9" i="16"/>
  <c r="S9" i="16"/>
  <c r="T9" i="16"/>
  <c r="U9" i="16"/>
  <c r="U8" i="16"/>
  <c r="U7" i="16"/>
  <c r="U6" i="16"/>
  <c r="U5" i="16"/>
  <c r="N10" i="16"/>
  <c r="N9" i="16"/>
  <c r="N6" i="16"/>
  <c r="N7" i="16"/>
  <c r="N8" i="16"/>
  <c r="N5" i="16"/>
  <c r="I5" i="16"/>
  <c r="J5" i="16"/>
  <c r="K5" i="16"/>
  <c r="I6" i="16"/>
  <c r="J6" i="16"/>
  <c r="K6" i="16"/>
  <c r="I7" i="16"/>
  <c r="J7" i="16"/>
  <c r="K7" i="16"/>
  <c r="I8" i="16"/>
  <c r="J8" i="16"/>
  <c r="K8" i="16"/>
  <c r="I9" i="16"/>
  <c r="J9" i="16"/>
  <c r="K9" i="16"/>
  <c r="I10" i="16"/>
  <c r="J10" i="16"/>
  <c r="K10" i="16"/>
  <c r="L10" i="16"/>
  <c r="L9" i="16"/>
  <c r="L6" i="16"/>
  <c r="L7" i="16"/>
  <c r="L8" i="16"/>
  <c r="L5" i="16"/>
  <c r="M10" i="16"/>
  <c r="M9" i="16"/>
  <c r="M6" i="16"/>
  <c r="M7" i="16"/>
  <c r="M8" i="16"/>
  <c r="M5" i="16"/>
  <c r="F13" i="16"/>
  <c r="F11" i="16"/>
  <c r="F10" i="16"/>
  <c r="F8" i="16"/>
  <c r="F9" i="16" s="1"/>
  <c r="F7" i="16"/>
  <c r="F6" i="16"/>
  <c r="F5" i="16"/>
  <c r="E13" i="16"/>
  <c r="E11" i="16"/>
  <c r="E10" i="16"/>
  <c r="E8" i="16"/>
  <c r="E7" i="16"/>
  <c r="E6" i="16"/>
  <c r="E9" i="16" s="1"/>
  <c r="E5" i="16"/>
  <c r="D13" i="16"/>
  <c r="D11" i="16"/>
  <c r="D10" i="16"/>
  <c r="D8" i="16"/>
  <c r="D7" i="16"/>
  <c r="D6" i="16"/>
  <c r="D5" i="16"/>
  <c r="D9" i="16" s="1"/>
  <c r="C13" i="16"/>
  <c r="C11" i="16"/>
  <c r="C10" i="16"/>
  <c r="C8" i="16"/>
  <c r="C7" i="16"/>
  <c r="C6" i="16"/>
  <c r="C5" i="16"/>
  <c r="B13" i="16"/>
  <c r="B12" i="16"/>
  <c r="B11" i="16"/>
  <c r="B10" i="16"/>
  <c r="B9" i="16"/>
  <c r="B8" i="16"/>
  <c r="B7" i="16"/>
  <c r="B6" i="16"/>
  <c r="B5" i="16"/>
  <c r="I36" i="12"/>
  <c r="J36" i="12"/>
  <c r="K36" i="12"/>
  <c r="L36" i="12"/>
  <c r="I35" i="12"/>
  <c r="J35" i="12"/>
  <c r="K35" i="12"/>
  <c r="L35" i="12"/>
  <c r="M35" i="12"/>
  <c r="I28" i="12"/>
  <c r="J28" i="12"/>
  <c r="K28" i="12"/>
  <c r="L28" i="12"/>
  <c r="M28" i="12"/>
  <c r="N28" i="12"/>
  <c r="H35" i="12"/>
  <c r="H28" i="12"/>
  <c r="F34" i="12"/>
  <c r="E34" i="12"/>
  <c r="D34" i="12"/>
  <c r="C34" i="12"/>
  <c r="B34" i="12"/>
  <c r="F31" i="12"/>
  <c r="F32" i="12" s="1"/>
  <c r="E31" i="12"/>
  <c r="E32" i="12" s="1"/>
  <c r="D32" i="12"/>
  <c r="D31" i="12"/>
  <c r="C32" i="12"/>
  <c r="C31" i="12"/>
  <c r="B31" i="12"/>
  <c r="B32" i="12" s="1"/>
  <c r="I17" i="13"/>
  <c r="J17" i="13"/>
  <c r="K17" i="13"/>
  <c r="L17" i="13"/>
  <c r="I18" i="13"/>
  <c r="J18" i="13"/>
  <c r="K18" i="13"/>
  <c r="L18" i="13"/>
  <c r="M18" i="13"/>
  <c r="M17" i="13"/>
  <c r="H18" i="13"/>
  <c r="H17" i="13"/>
  <c r="N9" i="13"/>
  <c r="N8" i="13"/>
  <c r="I8" i="13"/>
  <c r="J8" i="13"/>
  <c r="K8" i="13"/>
  <c r="I9" i="13"/>
  <c r="J9" i="13"/>
  <c r="K9" i="13"/>
  <c r="L9" i="13"/>
  <c r="L8" i="13"/>
  <c r="M9" i="13"/>
  <c r="M8" i="13"/>
  <c r="H9" i="13"/>
  <c r="H8" i="13"/>
  <c r="F14" i="13"/>
  <c r="E14" i="13"/>
  <c r="D14" i="13"/>
  <c r="C14" i="13"/>
  <c r="B14" i="13"/>
  <c r="F13" i="13"/>
  <c r="E13" i="13"/>
  <c r="D13" i="13"/>
  <c r="C13" i="13"/>
  <c r="B13" i="13"/>
  <c r="F12" i="13"/>
  <c r="E12" i="13"/>
  <c r="D12" i="13"/>
  <c r="C12" i="13"/>
  <c r="B12" i="13"/>
  <c r="E17" i="12"/>
  <c r="B15" i="12"/>
  <c r="F41" i="15"/>
  <c r="U41" i="15" s="1"/>
  <c r="F40" i="15"/>
  <c r="U40" i="15" s="1"/>
  <c r="F39" i="15"/>
  <c r="U39" i="15" s="1"/>
  <c r="F38" i="15"/>
  <c r="M38" i="15" s="1"/>
  <c r="F37" i="15"/>
  <c r="M37" i="15" s="1"/>
  <c r="F36" i="15"/>
  <c r="F35" i="15"/>
  <c r="M35" i="15" s="1"/>
  <c r="E41" i="15"/>
  <c r="L41" i="15" s="1"/>
  <c r="E40" i="15"/>
  <c r="E39" i="15"/>
  <c r="E38" i="15"/>
  <c r="E37" i="15"/>
  <c r="E36" i="15"/>
  <c r="T36" i="15" s="1"/>
  <c r="E35" i="15"/>
  <c r="D41" i="15"/>
  <c r="S41" i="15" s="1"/>
  <c r="D40" i="15"/>
  <c r="D39" i="15"/>
  <c r="D38" i="15"/>
  <c r="D37" i="15"/>
  <c r="D36" i="15"/>
  <c r="D35" i="15"/>
  <c r="C41" i="15"/>
  <c r="C40" i="15"/>
  <c r="J40" i="15" s="1"/>
  <c r="C39" i="15"/>
  <c r="C38" i="15"/>
  <c r="C37" i="15"/>
  <c r="C36" i="15"/>
  <c r="C35" i="15"/>
  <c r="C42" i="15" s="1"/>
  <c r="B41" i="15"/>
  <c r="B40" i="15"/>
  <c r="B39" i="15"/>
  <c r="B38" i="15"/>
  <c r="B37" i="15"/>
  <c r="B36" i="15"/>
  <c r="N36" i="15" s="1"/>
  <c r="B35" i="15"/>
  <c r="H12" i="15"/>
  <c r="H11" i="15"/>
  <c r="H7" i="15"/>
  <c r="H6" i="15"/>
  <c r="F9" i="15"/>
  <c r="M7" i="15" s="1"/>
  <c r="F8" i="15"/>
  <c r="M11" i="15" s="1"/>
  <c r="E9" i="15"/>
  <c r="E8" i="15"/>
  <c r="D9" i="15"/>
  <c r="D8" i="15"/>
  <c r="C9" i="15"/>
  <c r="C8" i="15"/>
  <c r="J11" i="15" s="1"/>
  <c r="B9" i="15"/>
  <c r="N7" i="15" s="1"/>
  <c r="B8" i="15"/>
  <c r="N6" i="15" s="1"/>
  <c r="F27" i="15"/>
  <c r="F26" i="15"/>
  <c r="U26" i="15" s="1"/>
  <c r="F25" i="15"/>
  <c r="M25" i="15" s="1"/>
  <c r="F24" i="15"/>
  <c r="M24" i="15" s="1"/>
  <c r="F23" i="15"/>
  <c r="U23" i="15" s="1"/>
  <c r="E27" i="15"/>
  <c r="E26" i="15"/>
  <c r="E25" i="15"/>
  <c r="E24" i="15"/>
  <c r="E23" i="15"/>
  <c r="D27" i="15"/>
  <c r="D26" i="15"/>
  <c r="D25" i="15"/>
  <c r="D24" i="15"/>
  <c r="D23" i="15"/>
  <c r="C27" i="15"/>
  <c r="C26" i="15"/>
  <c r="C25" i="15"/>
  <c r="C24" i="15"/>
  <c r="C23" i="15"/>
  <c r="B27" i="15"/>
  <c r="B26" i="15"/>
  <c r="B25" i="15"/>
  <c r="B24" i="15"/>
  <c r="B23" i="15"/>
  <c r="H10" i="15"/>
  <c r="H5" i="15"/>
  <c r="F6" i="15"/>
  <c r="E6" i="15"/>
  <c r="D6" i="15"/>
  <c r="C6" i="15"/>
  <c r="B6" i="15"/>
  <c r="F5" i="15"/>
  <c r="E5" i="15"/>
  <c r="D5" i="15"/>
  <c r="K5" i="15" s="1"/>
  <c r="C5" i="15"/>
  <c r="B5" i="15"/>
  <c r="I8" i="14"/>
  <c r="J8" i="14"/>
  <c r="K8" i="14"/>
  <c r="L8" i="14"/>
  <c r="M8" i="14"/>
  <c r="N5" i="14"/>
  <c r="I5" i="14"/>
  <c r="J5" i="14"/>
  <c r="K5" i="14"/>
  <c r="L5" i="14"/>
  <c r="M5" i="14"/>
  <c r="F7" i="14"/>
  <c r="F6" i="14"/>
  <c r="F5" i="14"/>
  <c r="E7" i="14"/>
  <c r="E8" i="14" s="1"/>
  <c r="E6" i="14"/>
  <c r="E5" i="14"/>
  <c r="D8" i="14"/>
  <c r="D7" i="14"/>
  <c r="D6" i="14"/>
  <c r="D5" i="14"/>
  <c r="C7" i="14"/>
  <c r="C6" i="14"/>
  <c r="C8" i="14" s="1"/>
  <c r="C5" i="14"/>
  <c r="B8" i="14"/>
  <c r="B7" i="14"/>
  <c r="B6" i="14"/>
  <c r="B5" i="14"/>
  <c r="I14" i="13"/>
  <c r="J14" i="13"/>
  <c r="K14" i="13"/>
  <c r="L14" i="13"/>
  <c r="I15" i="13"/>
  <c r="J15" i="13"/>
  <c r="K15" i="13"/>
  <c r="L15" i="13"/>
  <c r="I16" i="13"/>
  <c r="J16" i="13"/>
  <c r="K16" i="13"/>
  <c r="L16" i="13"/>
  <c r="M16" i="13"/>
  <c r="M15" i="13"/>
  <c r="M14" i="13"/>
  <c r="N7" i="13"/>
  <c r="N6" i="13"/>
  <c r="N5" i="13"/>
  <c r="I5" i="13"/>
  <c r="J5" i="13"/>
  <c r="K5" i="13"/>
  <c r="I6" i="13"/>
  <c r="J6" i="13"/>
  <c r="K6" i="13"/>
  <c r="I7" i="13"/>
  <c r="J7" i="13"/>
  <c r="K7" i="13"/>
  <c r="L7" i="13"/>
  <c r="L6" i="13"/>
  <c r="L5" i="13"/>
  <c r="M7" i="13"/>
  <c r="M6" i="13"/>
  <c r="M5" i="13"/>
  <c r="D11" i="13"/>
  <c r="F10" i="13"/>
  <c r="F9" i="13"/>
  <c r="F11" i="13" s="1"/>
  <c r="F8" i="13"/>
  <c r="F6" i="13"/>
  <c r="F7" i="13" s="1"/>
  <c r="F5" i="13"/>
  <c r="E10" i="13"/>
  <c r="E9" i="13"/>
  <c r="E8" i="13"/>
  <c r="E11" i="13" s="1"/>
  <c r="E6" i="13"/>
  <c r="E5" i="13"/>
  <c r="E7" i="13" s="1"/>
  <c r="D10" i="13"/>
  <c r="D9" i="13"/>
  <c r="D8" i="13"/>
  <c r="D6" i="13"/>
  <c r="D5" i="13"/>
  <c r="D7" i="13" s="1"/>
  <c r="C10" i="13"/>
  <c r="C11" i="13" s="1"/>
  <c r="C9" i="13"/>
  <c r="C8" i="13"/>
  <c r="C6" i="13"/>
  <c r="C5" i="13"/>
  <c r="C7" i="13" s="1"/>
  <c r="B10" i="13"/>
  <c r="B9" i="13"/>
  <c r="B8" i="13"/>
  <c r="B11" i="13" s="1"/>
  <c r="B6" i="13"/>
  <c r="B7" i="13" s="1"/>
  <c r="B5" i="13"/>
  <c r="N24" i="9"/>
  <c r="I24" i="9"/>
  <c r="J24" i="9"/>
  <c r="K24" i="9"/>
  <c r="L24" i="9"/>
  <c r="M24" i="9"/>
  <c r="I31" i="9"/>
  <c r="J31" i="9"/>
  <c r="K31" i="9"/>
  <c r="L31" i="9"/>
  <c r="M31" i="9"/>
  <c r="H31" i="9"/>
  <c r="H24" i="9"/>
  <c r="Q13" i="9"/>
  <c r="R13" i="9"/>
  <c r="S13" i="9"/>
  <c r="T13" i="9"/>
  <c r="U13" i="9"/>
  <c r="P13" i="9"/>
  <c r="H14" i="9"/>
  <c r="F29" i="12"/>
  <c r="F28" i="12"/>
  <c r="F26" i="12"/>
  <c r="E29" i="12"/>
  <c r="E28" i="12"/>
  <c r="E26" i="12"/>
  <c r="L32" i="12" s="1"/>
  <c r="D29" i="12"/>
  <c r="K34" i="12" s="1"/>
  <c r="D28" i="12"/>
  <c r="D26" i="12"/>
  <c r="C29" i="12"/>
  <c r="C28" i="12"/>
  <c r="C26" i="12"/>
  <c r="C27" i="12" s="1"/>
  <c r="B29" i="12"/>
  <c r="B28" i="12"/>
  <c r="I33" i="12" s="1"/>
  <c r="B26" i="12"/>
  <c r="I32" i="12" s="1"/>
  <c r="F24" i="12"/>
  <c r="F25" i="12" s="1"/>
  <c r="E24" i="12"/>
  <c r="D24" i="12"/>
  <c r="D25" i="12" s="1"/>
  <c r="C24" i="12"/>
  <c r="B24" i="12"/>
  <c r="B25" i="12" s="1"/>
  <c r="F13" i="12"/>
  <c r="M13" i="12" s="1"/>
  <c r="E13" i="12"/>
  <c r="D13" i="12"/>
  <c r="C13" i="12"/>
  <c r="B13" i="12"/>
  <c r="F12" i="12"/>
  <c r="M12" i="12" s="1"/>
  <c r="F11" i="12"/>
  <c r="M11" i="12" s="1"/>
  <c r="F10" i="12"/>
  <c r="M10" i="12" s="1"/>
  <c r="F9" i="12"/>
  <c r="M9" i="12" s="1"/>
  <c r="F8" i="12"/>
  <c r="M8" i="12" s="1"/>
  <c r="F7" i="12"/>
  <c r="M7" i="12" s="1"/>
  <c r="F6" i="12"/>
  <c r="U6" i="12" s="1"/>
  <c r="F5" i="12"/>
  <c r="U5" i="12" s="1"/>
  <c r="E12" i="12"/>
  <c r="L12" i="12" s="1"/>
  <c r="E11" i="12"/>
  <c r="T11" i="12" s="1"/>
  <c r="E10" i="12"/>
  <c r="L10" i="12" s="1"/>
  <c r="E9" i="12"/>
  <c r="L9" i="12" s="1"/>
  <c r="E8" i="12"/>
  <c r="L8" i="12" s="1"/>
  <c r="E7" i="12"/>
  <c r="L7" i="12" s="1"/>
  <c r="E6" i="12"/>
  <c r="L6" i="12" s="1"/>
  <c r="E5" i="12"/>
  <c r="E15" i="12" s="1"/>
  <c r="D12" i="12"/>
  <c r="K12" i="12" s="1"/>
  <c r="D11" i="12"/>
  <c r="S11" i="12" s="1"/>
  <c r="D10" i="12"/>
  <c r="K10" i="12" s="1"/>
  <c r="D9" i="12"/>
  <c r="K9" i="12" s="1"/>
  <c r="D8" i="12"/>
  <c r="D16" i="12" s="1"/>
  <c r="D7" i="12"/>
  <c r="S7" i="12" s="1"/>
  <c r="D6" i="12"/>
  <c r="K6" i="12" s="1"/>
  <c r="D5" i="12"/>
  <c r="D15" i="12" s="1"/>
  <c r="C12" i="12"/>
  <c r="R12" i="12" s="1"/>
  <c r="C11" i="12"/>
  <c r="J11" i="12" s="1"/>
  <c r="C10" i="12"/>
  <c r="R10" i="12" s="1"/>
  <c r="C9" i="12"/>
  <c r="C8" i="12"/>
  <c r="R8" i="12" s="1"/>
  <c r="C7" i="12"/>
  <c r="J7" i="12" s="1"/>
  <c r="C6" i="12"/>
  <c r="R6" i="12" s="1"/>
  <c r="C5" i="12"/>
  <c r="J5" i="12" s="1"/>
  <c r="B6" i="12"/>
  <c r="N6" i="12" s="1"/>
  <c r="B7" i="12"/>
  <c r="B8" i="12"/>
  <c r="B16" i="12" s="1"/>
  <c r="B9" i="12"/>
  <c r="I9" i="12" s="1"/>
  <c r="B10" i="12"/>
  <c r="B11" i="12"/>
  <c r="N11" i="12" s="1"/>
  <c r="B12" i="12"/>
  <c r="N12" i="12" s="1"/>
  <c r="B5" i="12"/>
  <c r="I5" i="12" s="1"/>
  <c r="M8" i="8"/>
  <c r="L8" i="8"/>
  <c r="K8" i="8"/>
  <c r="J8" i="8"/>
  <c r="I8" i="8"/>
  <c r="M10" i="8"/>
  <c r="L10" i="8"/>
  <c r="K10" i="8"/>
  <c r="J10" i="8"/>
  <c r="I10" i="8"/>
  <c r="F7" i="8"/>
  <c r="E7" i="8"/>
  <c r="D7" i="8"/>
  <c r="D85" i="8" s="1"/>
  <c r="C7" i="8"/>
  <c r="B7" i="8"/>
  <c r="C85" i="8" l="1"/>
  <c r="C109" i="8"/>
  <c r="B23" i="8"/>
  <c r="B109" i="8" s="1"/>
  <c r="B85" i="8"/>
  <c r="J12" i="15"/>
  <c r="I40" i="15"/>
  <c r="T35" i="15"/>
  <c r="F43" i="15"/>
  <c r="F42" i="15"/>
  <c r="Q41" i="15"/>
  <c r="D42" i="15"/>
  <c r="D43" i="15"/>
  <c r="D44" i="15"/>
  <c r="U35" i="15"/>
  <c r="T37" i="15"/>
  <c r="J36" i="15"/>
  <c r="L38" i="15"/>
  <c r="R37" i="15"/>
  <c r="K38" i="15"/>
  <c r="T39" i="15"/>
  <c r="B42" i="15"/>
  <c r="S37" i="15"/>
  <c r="Q37" i="15"/>
  <c r="I39" i="15"/>
  <c r="K41" i="15"/>
  <c r="J6" i="15"/>
  <c r="M6" i="15"/>
  <c r="C44" i="15"/>
  <c r="K39" i="15"/>
  <c r="T40" i="15"/>
  <c r="U38" i="15"/>
  <c r="I38" i="15"/>
  <c r="J39" i="15"/>
  <c r="K40" i="15"/>
  <c r="K37" i="15"/>
  <c r="B28" i="15"/>
  <c r="L7" i="15"/>
  <c r="Q39" i="15"/>
  <c r="M40" i="15"/>
  <c r="S39" i="15"/>
  <c r="N24" i="15"/>
  <c r="L11" i="15"/>
  <c r="M12" i="15"/>
  <c r="N40" i="15"/>
  <c r="M39" i="15"/>
  <c r="I36" i="15"/>
  <c r="R39" i="15"/>
  <c r="I12" i="15"/>
  <c r="I35" i="15"/>
  <c r="N35" i="15"/>
  <c r="S35" i="15"/>
  <c r="N39" i="15"/>
  <c r="R35" i="15"/>
  <c r="U7" i="9"/>
  <c r="F12" i="16"/>
  <c r="E12" i="16"/>
  <c r="D12" i="16"/>
  <c r="C9" i="16"/>
  <c r="C12" i="16"/>
  <c r="C14" i="12"/>
  <c r="F17" i="12"/>
  <c r="J9" i="12"/>
  <c r="F15" i="12"/>
  <c r="D17" i="12"/>
  <c r="C17" i="12"/>
  <c r="B14" i="12"/>
  <c r="F16" i="12"/>
  <c r="F14" i="12"/>
  <c r="C15" i="12"/>
  <c r="E16" i="12"/>
  <c r="K26" i="12"/>
  <c r="E14" i="12"/>
  <c r="D14" i="12"/>
  <c r="B17" i="12"/>
  <c r="C16" i="12"/>
  <c r="M36" i="15"/>
  <c r="S40" i="15"/>
  <c r="S38" i="15"/>
  <c r="S36" i="15"/>
  <c r="C43" i="15"/>
  <c r="C45" i="15"/>
  <c r="L35" i="15"/>
  <c r="J41" i="15"/>
  <c r="N38" i="15"/>
  <c r="U37" i="15"/>
  <c r="R40" i="15"/>
  <c r="R38" i="15"/>
  <c r="R36" i="15"/>
  <c r="E42" i="15"/>
  <c r="B44" i="15"/>
  <c r="J7" i="15"/>
  <c r="L40" i="15"/>
  <c r="I41" i="15"/>
  <c r="J38" i="15"/>
  <c r="K35" i="15"/>
  <c r="N37" i="15"/>
  <c r="U36" i="15"/>
  <c r="Q40" i="15"/>
  <c r="Q38" i="15"/>
  <c r="Q36" i="15"/>
  <c r="F44" i="15"/>
  <c r="K11" i="15"/>
  <c r="M41" i="15"/>
  <c r="L39" i="15"/>
  <c r="J35" i="15"/>
  <c r="T41" i="15"/>
  <c r="E44" i="15"/>
  <c r="B43" i="15"/>
  <c r="I11" i="15"/>
  <c r="B45" i="15"/>
  <c r="L37" i="15"/>
  <c r="J37" i="15"/>
  <c r="R41" i="15"/>
  <c r="L12" i="15"/>
  <c r="L36" i="15"/>
  <c r="I37" i="15"/>
  <c r="N41" i="15"/>
  <c r="Q35" i="15"/>
  <c r="E43" i="15"/>
  <c r="C10" i="15"/>
  <c r="K12" i="15"/>
  <c r="E45" i="15"/>
  <c r="K36" i="15"/>
  <c r="T38" i="15"/>
  <c r="L26" i="12"/>
  <c r="N8" i="12"/>
  <c r="K8" i="12"/>
  <c r="C30" i="12"/>
  <c r="J27" i="12"/>
  <c r="N13" i="12"/>
  <c r="E30" i="12"/>
  <c r="I11" i="12"/>
  <c r="K31" i="12"/>
  <c r="Q7" i="12"/>
  <c r="L33" i="12"/>
  <c r="J31" i="12"/>
  <c r="J32" i="12"/>
  <c r="N5" i="12"/>
  <c r="K24" i="12"/>
  <c r="J34" i="12"/>
  <c r="Q10" i="12"/>
  <c r="K32" i="12"/>
  <c r="N27" i="12"/>
  <c r="D30" i="12"/>
  <c r="B27" i="12"/>
  <c r="I31" i="12"/>
  <c r="N7" i="12"/>
  <c r="T10" i="12"/>
  <c r="Q9" i="12"/>
  <c r="I34" i="12"/>
  <c r="M24" i="12"/>
  <c r="I13" i="12"/>
  <c r="N24" i="12"/>
  <c r="N10" i="12"/>
  <c r="N25" i="12"/>
  <c r="Q11" i="12"/>
  <c r="F30" i="12"/>
  <c r="M31" i="12"/>
  <c r="N9" i="12"/>
  <c r="N26" i="12"/>
  <c r="F45" i="15"/>
  <c r="D45" i="15"/>
  <c r="T25" i="15"/>
  <c r="F10" i="15"/>
  <c r="S25" i="15"/>
  <c r="E10" i="15"/>
  <c r="K7" i="15"/>
  <c r="K24" i="15"/>
  <c r="T27" i="15"/>
  <c r="D10" i="15"/>
  <c r="I7" i="15"/>
  <c r="I5" i="15"/>
  <c r="N26" i="15"/>
  <c r="K23" i="15"/>
  <c r="T26" i="15"/>
  <c r="K6" i="15"/>
  <c r="B10" i="15"/>
  <c r="I6" i="15"/>
  <c r="K26" i="15"/>
  <c r="L6" i="15"/>
  <c r="F7" i="15"/>
  <c r="M10" i="15"/>
  <c r="J24" i="15"/>
  <c r="S27" i="15"/>
  <c r="R23" i="15"/>
  <c r="K10" i="15"/>
  <c r="J5" i="15"/>
  <c r="Q23" i="15"/>
  <c r="R25" i="15"/>
  <c r="D7" i="15"/>
  <c r="J26" i="15"/>
  <c r="E7" i="15"/>
  <c r="Q25" i="15"/>
  <c r="R27" i="15"/>
  <c r="L25" i="15"/>
  <c r="M26" i="15"/>
  <c r="L5" i="15"/>
  <c r="J27" i="15"/>
  <c r="N5" i="15"/>
  <c r="Q27" i="15"/>
  <c r="S24" i="15"/>
  <c r="L27" i="15"/>
  <c r="U25" i="15"/>
  <c r="R24" i="15"/>
  <c r="L26" i="15"/>
  <c r="I26" i="15"/>
  <c r="J23" i="15"/>
  <c r="U27" i="15"/>
  <c r="T24" i="15"/>
  <c r="C7" i="15"/>
  <c r="M23" i="15"/>
  <c r="K25" i="15"/>
  <c r="I23" i="15"/>
  <c r="S26" i="15"/>
  <c r="L23" i="15"/>
  <c r="J25" i="15"/>
  <c r="L24" i="15"/>
  <c r="N23" i="15"/>
  <c r="R26" i="15"/>
  <c r="M5" i="15"/>
  <c r="L10" i="15"/>
  <c r="M27" i="15"/>
  <c r="K27" i="15"/>
  <c r="I25" i="15"/>
  <c r="N27" i="15"/>
  <c r="U24" i="15"/>
  <c r="Q26" i="15"/>
  <c r="Q24" i="15"/>
  <c r="T23" i="15"/>
  <c r="B7" i="15"/>
  <c r="J10" i="15"/>
  <c r="I27" i="15"/>
  <c r="N25" i="15"/>
  <c r="S23" i="15"/>
  <c r="I10" i="15"/>
  <c r="I24" i="15"/>
  <c r="F28" i="15"/>
  <c r="E28" i="15"/>
  <c r="D28" i="15"/>
  <c r="C28" i="15"/>
  <c r="F8" i="14"/>
  <c r="T5" i="12"/>
  <c r="I24" i="12"/>
  <c r="L13" i="12"/>
  <c r="U13" i="12"/>
  <c r="T7" i="12"/>
  <c r="E27" i="12"/>
  <c r="L24" i="12"/>
  <c r="J26" i="12"/>
  <c r="M25" i="12"/>
  <c r="M32" i="12"/>
  <c r="K33" i="12"/>
  <c r="U10" i="12"/>
  <c r="C25" i="12"/>
  <c r="F27" i="12"/>
  <c r="L25" i="12"/>
  <c r="I26" i="12"/>
  <c r="M26" i="12"/>
  <c r="M33" i="12"/>
  <c r="J33" i="12"/>
  <c r="D27" i="12"/>
  <c r="M6" i="12"/>
  <c r="T6" i="12"/>
  <c r="B30" i="12"/>
  <c r="K25" i="12"/>
  <c r="M27" i="12"/>
  <c r="M34" i="12"/>
  <c r="K7" i="12"/>
  <c r="I7" i="12"/>
  <c r="L11" i="12"/>
  <c r="Q5" i="12"/>
  <c r="E25" i="12"/>
  <c r="L27" i="12"/>
  <c r="J25" i="12"/>
  <c r="L34" i="12"/>
  <c r="S5" i="12"/>
  <c r="I6" i="12"/>
  <c r="K11" i="12"/>
  <c r="K27" i="12"/>
  <c r="I25" i="12"/>
  <c r="L31" i="12"/>
  <c r="J13" i="12"/>
  <c r="J8" i="12"/>
  <c r="S10" i="12"/>
  <c r="I27" i="12"/>
  <c r="J24" i="12"/>
  <c r="L5" i="12"/>
  <c r="T13" i="12"/>
  <c r="T12" i="12"/>
  <c r="T8" i="12"/>
  <c r="I12" i="12"/>
  <c r="J6" i="12"/>
  <c r="U12" i="12"/>
  <c r="S13" i="12"/>
  <c r="S12" i="12"/>
  <c r="S8" i="12"/>
  <c r="S6" i="12"/>
  <c r="K13" i="12"/>
  <c r="K5" i="12"/>
  <c r="U11" i="12"/>
  <c r="R13" i="12"/>
  <c r="Q13" i="12"/>
  <c r="Q8" i="12"/>
  <c r="I8" i="12"/>
  <c r="I10" i="12"/>
  <c r="M5" i="12"/>
  <c r="U8" i="12"/>
  <c r="S9" i="12"/>
  <c r="J12" i="12"/>
  <c r="Q12" i="12"/>
  <c r="Q6" i="12"/>
  <c r="U9" i="12"/>
  <c r="T9" i="12"/>
  <c r="U7" i="12"/>
  <c r="R11" i="12"/>
  <c r="R9" i="12"/>
  <c r="R7" i="12"/>
  <c r="R5" i="12"/>
  <c r="J10" i="12"/>
  <c r="F23" i="9"/>
  <c r="M30" i="9" s="1"/>
  <c r="E23" i="9"/>
  <c r="D23" i="9"/>
  <c r="C23" i="9"/>
  <c r="B23" i="9"/>
  <c r="O4" i="2"/>
  <c r="N4" i="2"/>
  <c r="M4" i="2"/>
  <c r="L4" i="2"/>
  <c r="K4" i="2"/>
  <c r="C72" i="8"/>
  <c r="D72" i="8"/>
  <c r="E72" i="8"/>
  <c r="F72" i="8"/>
  <c r="B72" i="8"/>
  <c r="M24" i="8"/>
  <c r="L24" i="8"/>
  <c r="K24" i="8"/>
  <c r="J24" i="8"/>
  <c r="M21" i="8"/>
  <c r="L21" i="8"/>
  <c r="K21" i="8"/>
  <c r="J21" i="8"/>
  <c r="I24" i="8"/>
  <c r="I21" i="8"/>
  <c r="M18" i="8"/>
  <c r="L18" i="8"/>
  <c r="K18" i="8"/>
  <c r="J18" i="8"/>
  <c r="I18" i="8"/>
  <c r="F12" i="8"/>
  <c r="F77" i="8" s="1"/>
  <c r="E12" i="8"/>
  <c r="D12" i="8"/>
  <c r="D90" i="8" s="1"/>
  <c r="C12" i="8"/>
  <c r="B12" i="8"/>
  <c r="F10" i="8"/>
  <c r="F75" i="8" s="1"/>
  <c r="E10" i="8"/>
  <c r="D10" i="8"/>
  <c r="D88" i="8" s="1"/>
  <c r="C10" i="8"/>
  <c r="B10" i="8"/>
  <c r="F34" i="8"/>
  <c r="M6" i="8"/>
  <c r="M7" i="8" s="1"/>
  <c r="L6" i="8"/>
  <c r="L7" i="8" s="1"/>
  <c r="E47" i="8" s="1"/>
  <c r="K6" i="8"/>
  <c r="K7" i="8" s="1"/>
  <c r="D47" i="8" s="1"/>
  <c r="J6" i="8"/>
  <c r="J7" i="8" s="1"/>
  <c r="I6" i="8"/>
  <c r="I7" i="8" s="1"/>
  <c r="B47" i="8" s="1"/>
  <c r="F4" i="8"/>
  <c r="E4" i="8"/>
  <c r="D4" i="8"/>
  <c r="C4" i="8"/>
  <c r="B4" i="8"/>
  <c r="D13" i="2"/>
  <c r="F13" i="2"/>
  <c r="E13" i="2"/>
  <c r="C13" i="2"/>
  <c r="B13" i="2"/>
  <c r="C21" i="2"/>
  <c r="D21" i="2"/>
  <c r="E21" i="2"/>
  <c r="F21" i="2"/>
  <c r="B21" i="2"/>
  <c r="F23" i="2"/>
  <c r="F22" i="2" s="1"/>
  <c r="E23" i="2"/>
  <c r="E22" i="2" s="1"/>
  <c r="D23" i="2"/>
  <c r="D22" i="2" s="1"/>
  <c r="F10" i="2"/>
  <c r="E10" i="2"/>
  <c r="E11" i="2" s="1"/>
  <c r="D10" i="2"/>
  <c r="C10" i="2"/>
  <c r="B10" i="2"/>
  <c r="B9" i="2"/>
  <c r="B11" i="2" s="1"/>
  <c r="C23" i="2"/>
  <c r="C22" i="2" s="1"/>
  <c r="B23" i="2"/>
  <c r="B22" i="2" s="1"/>
  <c r="F6" i="2"/>
  <c r="F19" i="2" s="1"/>
  <c r="E6" i="2"/>
  <c r="E19" i="2"/>
  <c r="D6" i="2"/>
  <c r="D19" i="2" s="1"/>
  <c r="C6" i="2"/>
  <c r="C19" i="2" s="1"/>
  <c r="B6" i="2"/>
  <c r="B19" i="2" s="1"/>
  <c r="C20" i="2"/>
  <c r="D20" i="2"/>
  <c r="E20" i="2"/>
  <c r="B20" i="2"/>
  <c r="F12" i="2"/>
  <c r="E12" i="2"/>
  <c r="D12" i="2"/>
  <c r="C12" i="2"/>
  <c r="B12" i="2"/>
  <c r="F9" i="2"/>
  <c r="F20" i="2" s="1"/>
  <c r="E9" i="2"/>
  <c r="D9" i="2"/>
  <c r="D11" i="2" s="1"/>
  <c r="C9" i="2"/>
  <c r="F5" i="2"/>
  <c r="E5" i="2"/>
  <c r="D5" i="2"/>
  <c r="C5" i="2"/>
  <c r="B5" i="2"/>
  <c r="F7" i="2"/>
  <c r="E7" i="2"/>
  <c r="D7" i="2"/>
  <c r="C7" i="2"/>
  <c r="B7" i="2"/>
  <c r="F4" i="2"/>
  <c r="E4" i="2"/>
  <c r="D4" i="2"/>
  <c r="B4" i="2"/>
  <c r="C4" i="2"/>
  <c r="C5" i="8" l="1"/>
  <c r="C47" i="8"/>
  <c r="F5" i="8"/>
  <c r="F47" i="8"/>
  <c r="C90" i="8"/>
  <c r="E75" i="8"/>
  <c r="B75" i="8"/>
  <c r="B88" i="8"/>
  <c r="C88" i="8"/>
  <c r="B90" i="8"/>
  <c r="E77" i="8"/>
  <c r="C77" i="8"/>
  <c r="B77" i="8"/>
  <c r="D77" i="8"/>
  <c r="C75" i="8"/>
  <c r="D75" i="8"/>
  <c r="J9" i="8"/>
  <c r="C6" i="8" s="1"/>
  <c r="E5" i="8"/>
  <c r="E70" i="8" s="1"/>
  <c r="M9" i="8"/>
  <c r="I9" i="8"/>
  <c r="B5" i="8"/>
  <c r="B32" i="8" s="1"/>
  <c r="L9" i="8"/>
  <c r="D5" i="8"/>
  <c r="K9" i="8"/>
  <c r="N23" i="9"/>
  <c r="T7" i="9"/>
  <c r="R8" i="9"/>
  <c r="T8" i="9"/>
  <c r="T11" i="9"/>
  <c r="K23" i="9"/>
  <c r="S8" i="9"/>
  <c r="S7" i="9"/>
  <c r="U11" i="9"/>
  <c r="Q11" i="9"/>
  <c r="Q8" i="9"/>
  <c r="R11" i="9"/>
  <c r="I23" i="9"/>
  <c r="L30" i="9"/>
  <c r="S11" i="9"/>
  <c r="M23" i="9"/>
  <c r="J30" i="9"/>
  <c r="R7" i="9"/>
  <c r="L23" i="9"/>
  <c r="I30" i="9"/>
  <c r="U8" i="9"/>
  <c r="Q7" i="9"/>
  <c r="J23" i="9"/>
  <c r="K30" i="9"/>
  <c r="D34" i="8"/>
  <c r="B37" i="8"/>
  <c r="F39" i="8"/>
  <c r="B39" i="8"/>
  <c r="C39" i="8"/>
  <c r="E39" i="8"/>
  <c r="D39" i="8"/>
  <c r="E37" i="8"/>
  <c r="C34" i="8"/>
  <c r="D37" i="8"/>
  <c r="B34" i="8"/>
  <c r="F37" i="8"/>
  <c r="E34" i="8"/>
  <c r="C37" i="8"/>
  <c r="F11" i="2"/>
  <c r="C11" i="2"/>
  <c r="F8" i="2"/>
  <c r="D8" i="2"/>
  <c r="E8" i="2"/>
  <c r="C8" i="2"/>
  <c r="B8" i="2"/>
  <c r="F70" i="8" l="1"/>
  <c r="F32" i="8"/>
  <c r="C70" i="8"/>
  <c r="D70" i="8"/>
  <c r="D83" i="8"/>
  <c r="C83" i="8"/>
  <c r="C8" i="8"/>
  <c r="B70" i="8"/>
  <c r="B83" i="8"/>
  <c r="C20" i="8"/>
  <c r="D32" i="8"/>
  <c r="C9" i="8"/>
  <c r="E9" i="8"/>
  <c r="E6" i="8"/>
  <c r="B9" i="8"/>
  <c r="D9" i="8"/>
  <c r="D87" i="8" s="1"/>
  <c r="D6" i="8"/>
  <c r="C84" i="8" s="1"/>
  <c r="F6" i="8"/>
  <c r="F9" i="8"/>
  <c r="K14" i="8"/>
  <c r="L14" i="8"/>
  <c r="S9" i="9"/>
  <c r="M11" i="9"/>
  <c r="U9" i="9"/>
  <c r="T9" i="9"/>
  <c r="J11" i="9"/>
  <c r="R9" i="9"/>
  <c r="Q9" i="9"/>
  <c r="F103" i="8"/>
  <c r="F63" i="8"/>
  <c r="E63" i="8"/>
  <c r="E103" i="8"/>
  <c r="C103" i="8"/>
  <c r="B63" i="8"/>
  <c r="B103" i="8"/>
  <c r="C63" i="8"/>
  <c r="D63" i="8"/>
  <c r="D103" i="8"/>
  <c r="I14" i="8"/>
  <c r="J14" i="8"/>
  <c r="J17" i="8" s="1"/>
  <c r="C32" i="8"/>
  <c r="E32" i="8"/>
  <c r="M14" i="8"/>
  <c r="L17" i="8" l="1"/>
  <c r="K11" i="9"/>
  <c r="I11" i="9"/>
  <c r="N11" i="9"/>
  <c r="L11" i="9"/>
  <c r="I17" i="8"/>
  <c r="I20" i="8" s="1"/>
  <c r="I23" i="8" s="1"/>
  <c r="L20" i="8"/>
  <c r="L23" i="8" s="1"/>
  <c r="B87" i="8"/>
  <c r="C11" i="8"/>
  <c r="C87" i="8"/>
  <c r="B33" i="8"/>
  <c r="B84" i="8"/>
  <c r="C33" i="8"/>
  <c r="D84" i="8"/>
  <c r="K17" i="8"/>
  <c r="K20" i="8" s="1"/>
  <c r="K23" i="8" s="1"/>
  <c r="J20" i="8"/>
  <c r="J23" i="8" s="1"/>
  <c r="C74" i="8"/>
  <c r="C21" i="8"/>
  <c r="D33" i="8"/>
  <c r="B11" i="8"/>
  <c r="B74" i="8"/>
  <c r="B21" i="8"/>
  <c r="B36" i="8"/>
  <c r="F33" i="8"/>
  <c r="B8" i="8"/>
  <c r="B71" i="8"/>
  <c r="D36" i="8"/>
  <c r="D74" i="8"/>
  <c r="D11" i="8"/>
  <c r="D89" i="8" s="1"/>
  <c r="D21" i="8"/>
  <c r="D107" i="8" s="1"/>
  <c r="M17" i="8"/>
  <c r="M20" i="8" s="1"/>
  <c r="M23" i="8" s="1"/>
  <c r="F21" i="8"/>
  <c r="F74" i="8"/>
  <c r="F36" i="8"/>
  <c r="F11" i="8"/>
  <c r="C36" i="8"/>
  <c r="E8" i="8"/>
  <c r="E20" i="8"/>
  <c r="E71" i="8"/>
  <c r="E33" i="8"/>
  <c r="F8" i="8"/>
  <c r="C73" i="8" s="1"/>
  <c r="C71" i="8"/>
  <c r="F20" i="8"/>
  <c r="F71" i="8"/>
  <c r="D71" i="8"/>
  <c r="D20" i="8"/>
  <c r="D8" i="8"/>
  <c r="C86" i="8" s="1"/>
  <c r="E36" i="8"/>
  <c r="E21" i="8"/>
  <c r="E11" i="8"/>
  <c r="E74" i="8"/>
  <c r="S10" i="9"/>
  <c r="Q10" i="9"/>
  <c r="M13" i="9"/>
  <c r="U10" i="9"/>
  <c r="L13" i="9"/>
  <c r="T10" i="9"/>
  <c r="J13" i="9"/>
  <c r="R10" i="9"/>
  <c r="F62" i="8"/>
  <c r="F102" i="8"/>
  <c r="C102" i="8"/>
  <c r="E62" i="8"/>
  <c r="E102" i="8"/>
  <c r="B62" i="8"/>
  <c r="B102" i="8"/>
  <c r="D102" i="8"/>
  <c r="D62" i="8"/>
  <c r="C62" i="8"/>
  <c r="D22" i="8" l="1"/>
  <c r="D108" i="8" s="1"/>
  <c r="D106" i="8"/>
  <c r="B106" i="8"/>
  <c r="B107" i="8"/>
  <c r="C22" i="8"/>
  <c r="C108" i="8" s="1"/>
  <c r="C107" i="8"/>
  <c r="C99" i="8"/>
  <c r="B99" i="8"/>
  <c r="C106" i="8"/>
  <c r="K13" i="9"/>
  <c r="N13" i="9"/>
  <c r="I13" i="9"/>
  <c r="C100" i="8"/>
  <c r="D59" i="8"/>
  <c r="D13" i="8"/>
  <c r="D91" i="8" s="1"/>
  <c r="D86" i="8"/>
  <c r="B86" i="8"/>
  <c r="B89" i="8"/>
  <c r="C13" i="8"/>
  <c r="C89" i="8"/>
  <c r="F22" i="8"/>
  <c r="F101" i="8" s="1"/>
  <c r="F99" i="8"/>
  <c r="F59" i="8"/>
  <c r="B13" i="8"/>
  <c r="E35" i="8"/>
  <c r="F35" i="8"/>
  <c r="B22" i="8"/>
  <c r="B73" i="8"/>
  <c r="E22" i="8"/>
  <c r="E73" i="8"/>
  <c r="D73" i="8"/>
  <c r="E13" i="8"/>
  <c r="D76" i="8"/>
  <c r="D38" i="8"/>
  <c r="C38" i="8"/>
  <c r="B35" i="8"/>
  <c r="E59" i="8"/>
  <c r="D100" i="8"/>
  <c r="D60" i="8"/>
  <c r="C60" i="8"/>
  <c r="C59" i="8"/>
  <c r="D35" i="8"/>
  <c r="B59" i="8"/>
  <c r="E99" i="8"/>
  <c r="F76" i="8"/>
  <c r="C76" i="8"/>
  <c r="F38" i="8"/>
  <c r="B60" i="8"/>
  <c r="B100" i="8"/>
  <c r="E38" i="8"/>
  <c r="E76" i="8"/>
  <c r="E60" i="8"/>
  <c r="E100" i="8"/>
  <c r="F73" i="8"/>
  <c r="F13" i="8"/>
  <c r="F78" i="8" s="1"/>
  <c r="C35" i="8"/>
  <c r="D99" i="8"/>
  <c r="F100" i="8"/>
  <c r="F60" i="8"/>
  <c r="B76" i="8"/>
  <c r="B38" i="8"/>
  <c r="Q12" i="9"/>
  <c r="U12" i="9"/>
  <c r="R12" i="9"/>
  <c r="T12" i="9"/>
  <c r="S12" i="9"/>
  <c r="C61" i="8"/>
  <c r="B108" i="8" l="1"/>
  <c r="B40" i="8"/>
  <c r="C91" i="8"/>
  <c r="C40" i="8"/>
  <c r="D101" i="8"/>
  <c r="E101" i="8"/>
  <c r="C101" i="8"/>
  <c r="F61" i="8"/>
  <c r="B91" i="8"/>
  <c r="D61" i="8"/>
  <c r="B61" i="8"/>
  <c r="B101" i="8"/>
  <c r="E40" i="8"/>
  <c r="D40" i="8"/>
  <c r="E61" i="8"/>
  <c r="D78" i="8"/>
  <c r="C78" i="8"/>
  <c r="E78" i="8"/>
  <c r="F40" i="8"/>
  <c r="B78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tc={E6B7C23F-8247-491E-A575-FEDD24C4B90A}</author>
    <author>tc={BBAF5F47-29E8-4E11-8928-3DFAFF6B3E48}</author>
    <author>tc={337A2AFD-3482-4E5D-9F12-672A74C865F1}</author>
  </authors>
  <commentList>
    <comment ref="A5" authorId="0" shapeId="0" xr:uid="{E6B7C23F-8247-491E-A575-FEDD24C4B90A}">
      <text>
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Seria isto a Margem EBITDA? (acredito que sim)</t>
      </text>
    </comment>
    <comment ref="A6" authorId="1" shapeId="0" xr:uid="{BBAF5F47-29E8-4E11-8928-3DFAFF6B3E48}">
      <text>
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Falar c/a prof sobre os componetes dos custos variáveis e fixos para determinar a margem de contribuição bruta!
Seria interessante entrar em contacto com a Avelab para, entre outros assuntos, perceber a fundo quais seriam os seus custos variáveis?</t>
      </text>
    </comment>
    <comment ref="A13" authorId="2" shapeId="0" xr:uid="{337A2AFD-3482-4E5D-9F12-672A74C865F1}">
      <text>
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Segundo a Sabi e a análise feita aqui (os valores coincidem) com base nos valores por esta fornecidos, em 2018 o ROE é superior a 200%, algo que não faz sentido porque o os resultados fazem parte dos capitais próprios, ou seja, os capitais próprios são sempre superiores aos resultados do período!</t>
      </text>
    </comment>
  </commentList>
</comments>
</file>

<file path=xl/sharedStrings.xml><?xml version="1.0" encoding="utf-8"?>
<sst xmlns="http://schemas.openxmlformats.org/spreadsheetml/2006/main" count="3619" uniqueCount="618">
  <si>
    <t>AVELAB - LABORATÓRIOS MÉDICOS DE ANÁLISES CLÍNICAS, LDA</t>
  </si>
  <si>
    <t>Balanço/Demonstração de Resultados</t>
  </si>
  <si>
    <t>Contas Não Consolidadas</t>
  </si>
  <si>
    <t>31/12/2020</t>
  </si>
  <si>
    <t>31/12/2019</t>
  </si>
  <si>
    <t>31/12/2018</t>
  </si>
  <si>
    <t>31/12/2017</t>
  </si>
  <si>
    <t>31/12/2016</t>
  </si>
  <si>
    <t>31/12/2015</t>
  </si>
  <si>
    <t>31/12/2014</t>
  </si>
  <si>
    <t>31/12/2013</t>
  </si>
  <si>
    <t>31/12/2012</t>
  </si>
  <si>
    <t>31/12/2011</t>
  </si>
  <si>
    <t>31/12/2010</t>
  </si>
  <si>
    <t>31/12/2009</t>
  </si>
  <si>
    <t>31/12/2008</t>
  </si>
  <si>
    <t>31/12/2007</t>
  </si>
  <si>
    <t>31/12/2006</t>
  </si>
  <si>
    <t>31/12/2005</t>
  </si>
  <si>
    <t>EUR</t>
  </si>
  <si>
    <t>12 meses</t>
  </si>
  <si>
    <t>Sem Res.</t>
  </si>
  <si>
    <t>SNC</t>
  </si>
  <si>
    <t>POC</t>
  </si>
  <si>
    <t xml:space="preserve"> Balanço</t>
  </si>
  <si>
    <t xml:space="preserve"> Activo</t>
  </si>
  <si>
    <t xml:space="preserve"> Activo não corrente</t>
  </si>
  <si>
    <t xml:space="preserve"> Activos fixos tangíveis</t>
  </si>
  <si>
    <t>n.a.</t>
  </si>
  <si>
    <t xml:space="preserve"> Propriedades de investimento</t>
  </si>
  <si>
    <t xml:space="preserve"> Goodwill</t>
  </si>
  <si>
    <t xml:space="preserve"> Activos intangíveis</t>
  </si>
  <si>
    <t xml:space="preserve"> Activos biológicos</t>
  </si>
  <si>
    <t xml:space="preserve"> Participações financeiras - método equivalência patrimonial</t>
  </si>
  <si>
    <t xml:space="preserve"> Participações financeiras - outros métodos</t>
  </si>
  <si>
    <t xml:space="preserve"> Accionistas/sócios não correntes</t>
  </si>
  <si>
    <t xml:space="preserve"> Outros activos financeiros</t>
  </si>
  <si>
    <t xml:space="preserve"> Activos por impostos diferidos</t>
  </si>
  <si>
    <t xml:space="preserve"> Investimentos financeiros</t>
  </si>
  <si>
    <t xml:space="preserve"> Total do activo não corrente</t>
  </si>
  <si>
    <t xml:space="preserve"> Activo corrente</t>
  </si>
  <si>
    <t xml:space="preserve"> Inventários</t>
  </si>
  <si>
    <t xml:space="preserve"> Clientes</t>
  </si>
  <si>
    <t xml:space="preserve"> Adiantamentos a fornecedores</t>
  </si>
  <si>
    <t xml:space="preserve"> Estado e outros entes públicos</t>
  </si>
  <si>
    <t xml:space="preserve"> Accionistas (sócios) correntes</t>
  </si>
  <si>
    <t xml:space="preserve"> Outras contas a receber</t>
  </si>
  <si>
    <t xml:space="preserve"> Diferimentos</t>
  </si>
  <si>
    <t xml:space="preserve"> Activos financeiros detidos para negociação</t>
  </si>
  <si>
    <t xml:space="preserve"> Outros activos financeiros correntes</t>
  </si>
  <si>
    <t xml:space="preserve"> Activos não correntes detidos para venda</t>
  </si>
  <si>
    <t xml:space="preserve"> Outros activos correntes</t>
  </si>
  <si>
    <t xml:space="preserve"> Caixa e depósitos bancários</t>
  </si>
  <si>
    <t xml:space="preserve"> Total do activo corrente</t>
  </si>
  <si>
    <t xml:space="preserve"> Total do activo</t>
  </si>
  <si>
    <t xml:space="preserve"> Passivo</t>
  </si>
  <si>
    <t xml:space="preserve"> Capital próprio</t>
  </si>
  <si>
    <t xml:space="preserve"> Capital realizado</t>
  </si>
  <si>
    <t xml:space="preserve"> Acções (quotas) próprias</t>
  </si>
  <si>
    <t xml:space="preserve"> Outros instrumentos de capital próprio</t>
  </si>
  <si>
    <t xml:space="preserve"> Prémios emissão</t>
  </si>
  <si>
    <t xml:space="preserve"> Reservas legais</t>
  </si>
  <si>
    <t xml:space="preserve"> Outras reservas</t>
  </si>
  <si>
    <t xml:space="preserve"> Resultados transitados</t>
  </si>
  <si>
    <t xml:space="preserve"> Ajustamentos em activos financeiros</t>
  </si>
  <si>
    <t xml:space="preserve"> Excedentes de revalorização</t>
  </si>
  <si>
    <t xml:space="preserve"> Outras variações nos capitais próprios</t>
  </si>
  <si>
    <t xml:space="preserve"> Suma Capital</t>
  </si>
  <si>
    <t xml:space="preserve"> Resultado líquido do período</t>
  </si>
  <si>
    <t xml:space="preserve"> Dividendos antecipados</t>
  </si>
  <si>
    <t xml:space="preserve"> Total do capital próprio</t>
  </si>
  <si>
    <t xml:space="preserve"> Passivo não corrente</t>
  </si>
  <si>
    <t xml:space="preserve"> Provisões</t>
  </si>
  <si>
    <t xml:space="preserve"> Financiamentos obtidos não correntes</t>
  </si>
  <si>
    <t xml:space="preserve"> Responsabilidades por benefícios pós-emprego</t>
  </si>
  <si>
    <t xml:space="preserve"> Passivos por impostos diferidos</t>
  </si>
  <si>
    <t xml:space="preserve"> Outras contas a pagar não correntes</t>
  </si>
  <si>
    <t xml:space="preserve"> Total do passivo não corrente</t>
  </si>
  <si>
    <t xml:space="preserve"> Passivo corrente</t>
  </si>
  <si>
    <t xml:space="preserve"> Fornecedores</t>
  </si>
  <si>
    <t xml:space="preserve"> Adiantamentos de clientes</t>
  </si>
  <si>
    <t xml:space="preserve"> Accionistas (sócios)</t>
  </si>
  <si>
    <t xml:space="preserve"> Financiamentos obtidos correntes</t>
  </si>
  <si>
    <t xml:space="preserve"> Outras contas a pagar correntes</t>
  </si>
  <si>
    <t xml:space="preserve"> Passivos financeiros detidos para negociação</t>
  </si>
  <si>
    <t xml:space="preserve"> Outros passivos financeiros</t>
  </si>
  <si>
    <t xml:space="preserve"> Passivos não correntes detidos para venda</t>
  </si>
  <si>
    <t xml:space="preserve"> Outros passivos correntes</t>
  </si>
  <si>
    <t xml:space="preserve"> Total do passivo corrente</t>
  </si>
  <si>
    <t xml:space="preserve"> Total do passivo</t>
  </si>
  <si>
    <t xml:space="preserve"> Total do capital próprio e do passivo</t>
  </si>
  <si>
    <t xml:space="preserve"> Demonstraçao dos resultados</t>
  </si>
  <si>
    <t xml:space="preserve"> Rendimentos e gastos</t>
  </si>
  <si>
    <t xml:space="preserve"> Vendas e serviços prestados</t>
  </si>
  <si>
    <t xml:space="preserve"> Subsídios à exploração</t>
  </si>
  <si>
    <t xml:space="preserve"> Ganhos/perdas imputados de subsidiárias, associadas e empreendimentos conjuntos</t>
  </si>
  <si>
    <t xml:space="preserve"> Variação nos inventários da produção</t>
  </si>
  <si>
    <t xml:space="preserve"> Trabalhos para a própria entidade</t>
  </si>
  <si>
    <t xml:space="preserve"> Custo mercadorias vendidas, matérias consumidas</t>
  </si>
  <si>
    <t xml:space="preserve"> Fornecimentos e serviços externos</t>
  </si>
  <si>
    <t xml:space="preserve"> Gastos com o pessoal</t>
  </si>
  <si>
    <t xml:space="preserve"> Imparidade de inventários (perdas/reversões)</t>
  </si>
  <si>
    <t xml:space="preserve"> Imparidade de dívidas a receber (perdas/reversões)</t>
  </si>
  <si>
    <t xml:space="preserve"> Provisões (aumentos/reduções)</t>
  </si>
  <si>
    <t xml:space="preserve"> Imparidade de investimentos não depreciáveis/amortizáveis (perdas/reversões)</t>
  </si>
  <si>
    <t xml:space="preserve"> Imparidades-outras (perdas/reversões)</t>
  </si>
  <si>
    <t xml:space="preserve"> Aumentos/reduções de justo valor</t>
  </si>
  <si>
    <t xml:space="preserve"> Outros rendimentos e ganhos</t>
  </si>
  <si>
    <t xml:space="preserve"> Outros gastos e perdas</t>
  </si>
  <si>
    <t xml:space="preserve"> Resultado antes de depreciações, gastos de financiamento e impostos</t>
  </si>
  <si>
    <t xml:space="preserve"> Gastos/reversões de depreciação e de amortização</t>
  </si>
  <si>
    <t xml:space="preserve"> Imparidade de investimentos depreciáveis/amortizáveis (perdas/reversões)</t>
  </si>
  <si>
    <t xml:space="preserve"> Resultado antes de gastos de financiamento e impostos</t>
  </si>
  <si>
    <t xml:space="preserve"> Juros e rendimentos similares obtidos</t>
  </si>
  <si>
    <t xml:space="preserve"> Juros e gastos similares suportados</t>
  </si>
  <si>
    <t xml:space="preserve"> Resultado antes de impostos</t>
  </si>
  <si>
    <t xml:space="preserve"> Imposto sobre o rendimento do período</t>
  </si>
  <si>
    <t xml:space="preserve"> Resultado líquido-actividades descontinuadas</t>
  </si>
  <si>
    <t>Detalhe contas</t>
  </si>
  <si>
    <t xml:space="preserve"> Activos intangíveis-outros</t>
  </si>
  <si>
    <t xml:space="preserve">    Projectos de desenvolvimento</t>
  </si>
  <si>
    <t xml:space="preserve">    Programas de computador</t>
  </si>
  <si>
    <t xml:space="preserve">    Propriedade industrial</t>
  </si>
  <si>
    <t xml:space="preserve">    Outros activos intangíveis</t>
  </si>
  <si>
    <t xml:space="preserve">   Amortizações acumuladas-activos intangíveis</t>
  </si>
  <si>
    <t xml:space="preserve">   Perdas imparidades acumaladas-activos intangíveis</t>
  </si>
  <si>
    <t xml:space="preserve">    Garantia de passivos/titularidade restringida</t>
  </si>
  <si>
    <t xml:space="preserve">   Terrenos e recursos naturais</t>
  </si>
  <si>
    <t xml:space="preserve">   Edifícios e outras construções</t>
  </si>
  <si>
    <t xml:space="preserve">   Equipamento básico</t>
  </si>
  <si>
    <t xml:space="preserve">   Equipamento de transporte</t>
  </si>
  <si>
    <t xml:space="preserve">   Equipamento administrativo</t>
  </si>
  <si>
    <t xml:space="preserve">   Equipamentos biológicos</t>
  </si>
  <si>
    <t xml:space="preserve">   Outros activos fixos tangíveis</t>
  </si>
  <si>
    <t xml:space="preserve">   Depreciações acumuladas-activos fixos tangíveis</t>
  </si>
  <si>
    <t xml:space="preserve">   Perdas imparidades acumuladas-activos fixos tangíveis</t>
  </si>
  <si>
    <t xml:space="preserve">    Depreciações acumuladas-propriedades de investimento</t>
  </si>
  <si>
    <t xml:space="preserve">    Perdas imparidades acumuladas-propriedades investimento</t>
  </si>
  <si>
    <t xml:space="preserve">    Restrições à capacidade realização de rendimentos</t>
  </si>
  <si>
    <t xml:space="preserve">    Participações financeiras</t>
  </si>
  <si>
    <t xml:space="preserve">    Investimentos financeiros-outros</t>
  </si>
  <si>
    <t xml:space="preserve">    Perdas por imparidade acumuladas-investimentos financeiros</t>
  </si>
  <si>
    <t xml:space="preserve">   Produtos</t>
  </si>
  <si>
    <t xml:space="preserve">   Matérias</t>
  </si>
  <si>
    <t xml:space="preserve">   Mercadorias</t>
  </si>
  <si>
    <t xml:space="preserve">   Adiantamentos p/conta compras</t>
  </si>
  <si>
    <t xml:space="preserve">    Adiantamentos p/conta compras - mercadorias</t>
  </si>
  <si>
    <t xml:space="preserve">    Adiantamentos p/conta compras - matérias</t>
  </si>
  <si>
    <t xml:space="preserve">   Ajustamentos/perdas imparidade acumuladas-inventários</t>
  </si>
  <si>
    <t xml:space="preserve">    Penhor de garantia a passivos</t>
  </si>
  <si>
    <t xml:space="preserve">   Clientes c/c</t>
  </si>
  <si>
    <t xml:space="preserve">   Clientes - títulos a receber</t>
  </si>
  <si>
    <t xml:space="preserve">    Imparidades acumuladas - clientes</t>
  </si>
  <si>
    <t xml:space="preserve">   Pessoal</t>
  </si>
  <si>
    <t xml:space="preserve">   Adiantamentos a fornecedores investimento</t>
  </si>
  <si>
    <t xml:space="preserve">   Devedores por acréscimos de rendimentos</t>
  </si>
  <si>
    <t xml:space="preserve">   Outros devedores</t>
  </si>
  <si>
    <t xml:space="preserve">   Imparidades acumuladas - dívidas a receber</t>
  </si>
  <si>
    <t xml:space="preserve">   Dívidas de cobrança duvidosa - total</t>
  </si>
  <si>
    <t xml:space="preserve">    Processos de insolvência/recuperação/execução</t>
  </si>
  <si>
    <t xml:space="preserve">    Reclamadas jucicialmente</t>
  </si>
  <si>
    <t xml:space="preserve">    Em mora</t>
  </si>
  <si>
    <t xml:space="preserve">   Caixa</t>
  </si>
  <si>
    <t xml:space="preserve">   Depósitos à ordem</t>
  </si>
  <si>
    <t xml:space="preserve">   Outros depósitos bancários</t>
  </si>
  <si>
    <t xml:space="preserve">   Imparidades ac. outros activos financeiros</t>
  </si>
  <si>
    <t xml:space="preserve">   Activos financeiros-garantia,penhor, promessa de penhor como colateral</t>
  </si>
  <si>
    <t xml:space="preserve">   Activos biológicos-penhor de garantia a passivos</t>
  </si>
  <si>
    <t xml:space="preserve">   Accionistas c/ subscrição (Quotas não liberadas)</t>
  </si>
  <si>
    <t xml:space="preserve">   Prestações de suplementares</t>
  </si>
  <si>
    <t xml:space="preserve">   Empréstimos por obrigações convertíveis</t>
  </si>
  <si>
    <t xml:space="preserve">   Reservas</t>
  </si>
  <si>
    <t xml:space="preserve">   Subsídios activos-investimento</t>
  </si>
  <si>
    <t xml:space="preserve">   Interesses que não controlam</t>
  </si>
  <si>
    <t xml:space="preserve">   Adiantamentos p/conta vendas</t>
  </si>
  <si>
    <t xml:space="preserve">   Fornecedores-conta corrente</t>
  </si>
  <si>
    <t xml:space="preserve">   Fornecedores-títulos a pagar</t>
  </si>
  <si>
    <t xml:space="preserve">   Credores por acréscimos de gastos</t>
  </si>
  <si>
    <t xml:space="preserve">   Outros credores</t>
  </si>
  <si>
    <t xml:space="preserve"> Anexo Balanço</t>
  </si>
  <si>
    <t xml:space="preserve">  Dispêndios de carácter ambiental</t>
  </si>
  <si>
    <t xml:space="preserve">   Multas e outras penalidades de carácter ambiental</t>
  </si>
  <si>
    <t xml:space="preserve">   Relativos a indemnizações pagas a terceiros</t>
  </si>
  <si>
    <t xml:space="preserve">  Subsídios - activos (ao investimento)</t>
  </si>
  <si>
    <t xml:space="preserve">   Reembolsos subsídios-activos(ao investimento) no período</t>
  </si>
  <si>
    <t xml:space="preserve">  Empréstimos obtidos</t>
  </si>
  <si>
    <t xml:space="preserve">   Empréstimos a pagar em incumprimento</t>
  </si>
  <si>
    <t xml:space="preserve">  Créditos comerciais</t>
  </si>
  <si>
    <t xml:space="preserve">   Concedidos às Administrações Públicas (líquidas de adiantamentos)</t>
  </si>
  <si>
    <t xml:space="preserve">   Com o exterior-clientes (líquidos de adiantamentos)</t>
  </si>
  <si>
    <t xml:space="preserve">   Com o exterior-fornecedores (líquidos de adiantamentos)</t>
  </si>
  <si>
    <t xml:space="preserve">   Com o exterior-fornecedores investimentos (líquidos de adiantamentos)</t>
  </si>
  <si>
    <t xml:space="preserve">  Activos contigentes</t>
  </si>
  <si>
    <t xml:space="preserve">  Passivos contigentes</t>
  </si>
  <si>
    <t xml:space="preserve">  Participantes de capital; Participadas</t>
  </si>
  <si>
    <t xml:space="preserve">  Total do passivo não corrente</t>
  </si>
  <si>
    <t xml:space="preserve">   Vendas</t>
  </si>
  <si>
    <t xml:space="preserve">    Mercadorias</t>
  </si>
  <si>
    <t xml:space="preserve">    Produtos</t>
  </si>
  <si>
    <t xml:space="preserve">    Activos biológicos</t>
  </si>
  <si>
    <t xml:space="preserve">   Prestações de serviços</t>
  </si>
  <si>
    <t xml:space="preserve"> Ganhos/perdas imputados de subsidiárias, assoc</t>
  </si>
  <si>
    <t xml:space="preserve">   Dividendos obtidos</t>
  </si>
  <si>
    <t xml:space="preserve">    De empresas não residentes</t>
  </si>
  <si>
    <t xml:space="preserve">   Rendimentos e ganhos-subsidiárias, associadas e empreendimentos conjuntos</t>
  </si>
  <si>
    <t xml:space="preserve">   Gastos e perdas-subsidiárias, associadas e empreendimentos conjuntos</t>
  </si>
  <si>
    <t xml:space="preserve">   Activos biológicos</t>
  </si>
  <si>
    <t xml:space="preserve">   Remunerações</t>
  </si>
  <si>
    <t xml:space="preserve">    Participações nos lucros</t>
  </si>
  <si>
    <t xml:space="preserve">   Benefícios pós emprego</t>
  </si>
  <si>
    <t xml:space="preserve">   Indemnizações</t>
  </si>
  <si>
    <t xml:space="preserve">   Encargos sobre remunerações</t>
  </si>
  <si>
    <t xml:space="preserve">   Seguros de acidentes no trabalho e doenças profissionais</t>
  </si>
  <si>
    <t xml:space="preserve">   Gastos de acção social</t>
  </si>
  <si>
    <t xml:space="preserve">   Outros gastos com o pessoal</t>
  </si>
  <si>
    <t xml:space="preserve">    Formação profissional</t>
  </si>
  <si>
    <t xml:space="preserve">   Perdas por imparidade-inventários</t>
  </si>
  <si>
    <t xml:space="preserve">   Reversões-inventários</t>
  </si>
  <si>
    <t xml:space="preserve">   Perdas por imparidade-dívidas a receber de clientes</t>
  </si>
  <si>
    <t xml:space="preserve">   Reversões-dívidas a receber de clientes</t>
  </si>
  <si>
    <t xml:space="preserve">   Perdas por imparidade-outras dívidas a receber</t>
  </si>
  <si>
    <t xml:space="preserve">   Reversões-outras dívidas a receber</t>
  </si>
  <si>
    <t xml:space="preserve">   Provisões</t>
  </si>
  <si>
    <t xml:space="preserve">   Impostos</t>
  </si>
  <si>
    <t xml:space="preserve">   Garantias a clientes</t>
  </si>
  <si>
    <t xml:space="preserve">   Processos judiciais em curso</t>
  </si>
  <si>
    <t xml:space="preserve">   Acidentes de trabalho e doenças profissionais</t>
  </si>
  <si>
    <t xml:space="preserve">   Matérias ambientais</t>
  </si>
  <si>
    <t xml:space="preserve">   Contratos onerosos</t>
  </si>
  <si>
    <t xml:space="preserve">   Reestruturação</t>
  </si>
  <si>
    <t xml:space="preserve">   Outras provisões</t>
  </si>
  <si>
    <t xml:space="preserve">   Reversões de provisões</t>
  </si>
  <si>
    <t xml:space="preserve">   Perdas por imparidade em investimentos financeiros</t>
  </si>
  <si>
    <t xml:space="preserve">   Reversões de perdas por imparidade em investimentos financeiros</t>
  </si>
  <si>
    <t xml:space="preserve">   Ganhos por aumentos de justo valor</t>
  </si>
  <si>
    <t xml:space="preserve">   Perdas por reduções de justo valor</t>
  </si>
  <si>
    <t xml:space="preserve">   Rendimentos suplementares</t>
  </si>
  <si>
    <t xml:space="preserve">   Descontos de pronto pagamento obtidos</t>
  </si>
  <si>
    <t xml:space="preserve">   Recuperação de dívidas a receber</t>
  </si>
  <si>
    <t xml:space="preserve">   Ganhos em inventários</t>
  </si>
  <si>
    <t xml:space="preserve">   Rendimentos e ganhos nos restantes activos financeiros</t>
  </si>
  <si>
    <t xml:space="preserve">   Rendimentos e ganhos em investimentos não financeiros</t>
  </si>
  <si>
    <t xml:space="preserve">   Juros obtidos de depósitos</t>
  </si>
  <si>
    <t xml:space="preserve">   Juros obtidos-outras aplicações meios financeiros líquidos</t>
  </si>
  <si>
    <t xml:space="preserve">   Juros obtidos-financiamentos concedidos associadas e empreendimentos conjuntos</t>
  </si>
  <si>
    <t xml:space="preserve">   Juros obtidos-financiamentos concedidos a subsidiárias</t>
  </si>
  <si>
    <t xml:space="preserve">   Outros rendimentos e ganhos não especificados</t>
  </si>
  <si>
    <t xml:space="preserve">    Impostos directos</t>
  </si>
  <si>
    <t xml:space="preserve">    Impostos indirectos</t>
  </si>
  <si>
    <t xml:space="preserve">    Taxas</t>
  </si>
  <si>
    <t xml:space="preserve">   Descontos de pronto pagamento concedidos</t>
  </si>
  <si>
    <t xml:space="preserve">   Dívidas incobráveis</t>
  </si>
  <si>
    <t xml:space="preserve">   Perdas em inventários</t>
  </si>
  <si>
    <t xml:space="preserve">   Correcções relativas a períodos anteriores</t>
  </si>
  <si>
    <t xml:space="preserve">   Donativos</t>
  </si>
  <si>
    <t xml:space="preserve">   Quotizações</t>
  </si>
  <si>
    <t xml:space="preserve">   Ofertas e amostras de inventários</t>
  </si>
  <si>
    <t xml:space="preserve">   Perdas em instrumentos financeiros</t>
  </si>
  <si>
    <t xml:space="preserve">   Gastos e perdas nos restantes investimentos financeiros</t>
  </si>
  <si>
    <t xml:space="preserve">   Gastos e perdas em investimentos não financeiros</t>
  </si>
  <si>
    <t xml:space="preserve">   Outros gastos e perdas não especificados</t>
  </si>
  <si>
    <t xml:space="preserve">   Resultado antes de imparidades existências e de dívidas a receber, depreciações, gastos de financiamento e impostos</t>
  </si>
  <si>
    <t xml:space="preserve"> Imparidade de investimentos depreciáveis/amortizá</t>
  </si>
  <si>
    <t xml:space="preserve">   Amortizações do período de activos intangíveis</t>
  </si>
  <si>
    <t xml:space="preserve">    Goodwill - amortizações do período</t>
  </si>
  <si>
    <t xml:space="preserve">   Depreciações do período - activos fixos tangíveis</t>
  </si>
  <si>
    <t xml:space="preserve">   Depreciações do período - propriedades de investimento</t>
  </si>
  <si>
    <t xml:space="preserve">   Reversões de depreciações e amortizações</t>
  </si>
  <si>
    <t xml:space="preserve">  Resultado operacional antes de actividades não recorrentes e financeiras</t>
  </si>
  <si>
    <t xml:space="preserve">   Juros de financiamentos obtidos</t>
  </si>
  <si>
    <t xml:space="preserve">   Diferenças câmbio desfavoráveis-financiamentos obtidos</t>
  </si>
  <si>
    <t xml:space="preserve">   Outros gastos e perdas-financiamentos obtidos</t>
  </si>
  <si>
    <t xml:space="preserve"> Anexo Demonstraçao dos resultados</t>
  </si>
  <si>
    <t xml:space="preserve">  Tributações autónomas</t>
  </si>
  <si>
    <t xml:space="preserve">  Taxa efectiva de imposto sobre o rendimento</t>
  </si>
  <si>
    <t xml:space="preserve">  Juros suportados</t>
  </si>
  <si>
    <t xml:space="preserve">  Outros gastos e perdas de financiamento</t>
  </si>
  <si>
    <t xml:space="preserve">  Juros obtidos</t>
  </si>
  <si>
    <t xml:space="preserve">  Diferenças de câmbio favoráveis</t>
  </si>
  <si>
    <t xml:space="preserve">  Diferenças de câmbio desfavoráveis</t>
  </si>
  <si>
    <t>Fornecimentos e serviços externos</t>
  </si>
  <si>
    <t xml:space="preserve">   Subcontratos</t>
  </si>
  <si>
    <t xml:space="preserve">   Serviços especializados</t>
  </si>
  <si>
    <t xml:space="preserve">    Trabalhos especializados</t>
  </si>
  <si>
    <t xml:space="preserve">     Trabalhadores colocados através de agências</t>
  </si>
  <si>
    <t xml:space="preserve">    Publicidade e propaganda</t>
  </si>
  <si>
    <t xml:space="preserve">    Vigilância e segurança</t>
  </si>
  <si>
    <t xml:space="preserve">    Honorários</t>
  </si>
  <si>
    <t xml:space="preserve">    Comissões</t>
  </si>
  <si>
    <t xml:space="preserve">    Conservação e reparação</t>
  </si>
  <si>
    <t xml:space="preserve">    Outros serviços especializados</t>
  </si>
  <si>
    <t xml:space="preserve">   Materiais</t>
  </si>
  <si>
    <t xml:space="preserve">    Ferramentas e utensílios de desgaste rápido</t>
  </si>
  <si>
    <t xml:space="preserve">    Livros e documentação técnica</t>
  </si>
  <si>
    <t xml:space="preserve">    Material de escritório</t>
  </si>
  <si>
    <t xml:space="preserve">    Artigos para oferta</t>
  </si>
  <si>
    <t xml:space="preserve">    Outros materiais</t>
  </si>
  <si>
    <t xml:space="preserve">   Energia e fluídos</t>
  </si>
  <si>
    <t xml:space="preserve">    Electricidade</t>
  </si>
  <si>
    <t xml:space="preserve">    Combustíveis</t>
  </si>
  <si>
    <t xml:space="preserve">    Água</t>
  </si>
  <si>
    <t xml:space="preserve">    Outros</t>
  </si>
  <si>
    <t xml:space="preserve">   Deslocações, estadas e transportes</t>
  </si>
  <si>
    <t xml:space="preserve">    Deslocações e estadas</t>
  </si>
  <si>
    <t xml:space="preserve">    Transportes de pessoal</t>
  </si>
  <si>
    <t xml:space="preserve">    Transportes de mercadorias</t>
  </si>
  <si>
    <t xml:space="preserve">   Serviços diversos</t>
  </si>
  <si>
    <t xml:space="preserve">    Rendas e alugueres</t>
  </si>
  <si>
    <t xml:space="preserve">    Comunicação</t>
  </si>
  <si>
    <t xml:space="preserve">    Seguros</t>
  </si>
  <si>
    <t xml:space="preserve">    Royalties</t>
  </si>
  <si>
    <t xml:space="preserve">    Contencioso e notariado</t>
  </si>
  <si>
    <t xml:space="preserve">    Despesas de representação</t>
  </si>
  <si>
    <t xml:space="preserve">    Limpeza, higiene e conforto</t>
  </si>
  <si>
    <t xml:space="preserve">    Outros serviços</t>
  </si>
  <si>
    <t>Formato global</t>
  </si>
  <si>
    <t xml:space="preserve">  Imobilizado</t>
  </si>
  <si>
    <t xml:space="preserve">   Imobilizado Incorpóreo</t>
  </si>
  <si>
    <t xml:space="preserve">   Imobilizado corpóreo</t>
  </si>
  <si>
    <t xml:space="preserve">   Outros activos fixos</t>
  </si>
  <si>
    <t xml:space="preserve">  Activo Circulante</t>
  </si>
  <si>
    <t xml:space="preserve">   Existências</t>
  </si>
  <si>
    <t xml:space="preserve">   Dívidas de Terceiros</t>
  </si>
  <si>
    <t xml:space="preserve">   Outro activo circulante</t>
  </si>
  <si>
    <t xml:space="preserve">    Depósitos bancários e Caixa</t>
  </si>
  <si>
    <t xml:space="preserve">  Total do activo</t>
  </si>
  <si>
    <t xml:space="preserve">  Capital Próprio</t>
  </si>
  <si>
    <t xml:space="preserve">   Capital</t>
  </si>
  <si>
    <t xml:space="preserve">   Outros capitais próprios</t>
  </si>
  <si>
    <t xml:space="preserve">  Passivo-MLP</t>
  </si>
  <si>
    <t xml:space="preserve">   Dívidas a Terceiros-MLP</t>
  </si>
  <si>
    <t xml:space="preserve">   Outro passivo-MLP</t>
  </si>
  <si>
    <t xml:space="preserve">  Passivo-CP</t>
  </si>
  <si>
    <t xml:space="preserve">   Dívidas financeiras-CP</t>
  </si>
  <si>
    <t xml:space="preserve">   Outras dívidas a terceiros-CP</t>
  </si>
  <si>
    <t xml:space="preserve">   Outro passivo-CP</t>
  </si>
  <si>
    <t xml:space="preserve">  Total do capital próprio e do passivo</t>
  </si>
  <si>
    <t xml:space="preserve">  Fundo de maneio</t>
  </si>
  <si>
    <t xml:space="preserve">  Número de empregados</t>
  </si>
  <si>
    <t xml:space="preserve"> Demonstraçao de resultados</t>
  </si>
  <si>
    <t xml:space="preserve">  Proveitos Operacionais</t>
  </si>
  <si>
    <t xml:space="preserve">   Volume de Negócios</t>
  </si>
  <si>
    <t xml:space="preserve">  Custo de Matérias</t>
  </si>
  <si>
    <t xml:space="preserve">  Margem bruta</t>
  </si>
  <si>
    <t xml:space="preserve">  Outros custos operacionais</t>
  </si>
  <si>
    <t xml:space="preserve">  Resultados Operacionais</t>
  </si>
  <si>
    <t xml:space="preserve">  Proveitos e Ganhos Financeiros</t>
  </si>
  <si>
    <t xml:space="preserve">  Custos e Perdas Financeiras</t>
  </si>
  <si>
    <t xml:space="preserve">  Resultados Financeiros</t>
  </si>
  <si>
    <t xml:space="preserve">  Resultados correntes</t>
  </si>
  <si>
    <t xml:space="preserve">  Imposto s/ o Rendimento do Exercício</t>
  </si>
  <si>
    <t xml:space="preserve">  Resultados Correntes Líquidos de Impostos</t>
  </si>
  <si>
    <t xml:space="preserve">  Proveitos e Ganhos Extraordinários</t>
  </si>
  <si>
    <t xml:space="preserve">  Custos e Perdas Extraordinárias</t>
  </si>
  <si>
    <t xml:space="preserve">  Resultados Extraordinários</t>
  </si>
  <si>
    <t xml:space="preserve">  Resultado Líquido do Exercício</t>
  </si>
  <si>
    <t xml:space="preserve">  Custo Mercadorias vend. e Matérias cons.</t>
  </si>
  <si>
    <t xml:space="preserve">  Custos com o Pessoal</t>
  </si>
  <si>
    <t xml:space="preserve">  Amortizações do Exercício</t>
  </si>
  <si>
    <t xml:space="preserve">  Other operating items</t>
  </si>
  <si>
    <t xml:space="preserve">  Fluxos de caixa</t>
  </si>
  <si>
    <t xml:space="preserve">  Valor acrescentado bruto</t>
  </si>
  <si>
    <t xml:space="preserve">  EBIT</t>
  </si>
  <si>
    <t xml:space="preserve">  EBITDA</t>
  </si>
  <si>
    <t>Taxa de variação</t>
  </si>
  <si>
    <t xml:space="preserve">  Vendas</t>
  </si>
  <si>
    <t xml:space="preserve">  Dívidas a Terceiros-MLP</t>
  </si>
  <si>
    <t>n.s.</t>
  </si>
  <si>
    <t xml:space="preserve">  Necessidade fundo de maneio</t>
  </si>
  <si>
    <t xml:space="preserve">  Depósitos bancários e Caixa</t>
  </si>
  <si>
    <t>Rácios Informa SNC</t>
  </si>
  <si>
    <t xml:space="preserve"> Estrutura/Endividamento</t>
  </si>
  <si>
    <t>Autonomia Financeira (%)</t>
  </si>
  <si>
    <t>Solvabilidade (%)</t>
  </si>
  <si>
    <t>Endividamento (%)</t>
  </si>
  <si>
    <t>Vendas e Serviços Prestados / Capital Próprio (%)</t>
  </si>
  <si>
    <t>Activos Não Correntes / Capital Próprio (%)</t>
  </si>
  <si>
    <t>Débitos Correntes / Capital Próprio (%)</t>
  </si>
  <si>
    <t>Débitos Correntes / Inventários e Activos Biológicos (%)</t>
  </si>
  <si>
    <t>Activo Não Corrente / (Capital Próprio + Passivo Não Corrente) (%)</t>
  </si>
  <si>
    <t>Capacidade de Endividamento a Médio e Longo Prazo (%)</t>
  </si>
  <si>
    <t>EBITDA / Passivo Liquido (%)</t>
  </si>
  <si>
    <t>Dividas de Médio Longo Prazo / Activos Fixos (%)</t>
  </si>
  <si>
    <t>Passivo / Capital Próprio (%)</t>
  </si>
  <si>
    <t>Estrutura de Endividamento (%)</t>
  </si>
  <si>
    <t xml:space="preserve"> Funcionamento</t>
  </si>
  <si>
    <t>Rotação de Inventários</t>
  </si>
  <si>
    <t>Prazo Médio de Recebimentos (dias)</t>
  </si>
  <si>
    <t>Rotação do Activo (%)</t>
  </si>
  <si>
    <t xml:space="preserve"> Liquidez</t>
  </si>
  <si>
    <t>Liquidez Reduzida</t>
  </si>
  <si>
    <t>Liquidez Geral</t>
  </si>
  <si>
    <t>Liquidez Imediata</t>
  </si>
  <si>
    <t>Fundo de Maneio</t>
  </si>
  <si>
    <t xml:space="preserve"> Rendibilidade Económica</t>
  </si>
  <si>
    <t>Rentabilidade do Activo (%)</t>
  </si>
  <si>
    <t>Resultado Antes de Impostos / Activo (%)</t>
  </si>
  <si>
    <t>Vendas e Serviços Prestados por Empregado</t>
  </si>
  <si>
    <t>Resultado Líquido do Período por Empregado</t>
  </si>
  <si>
    <t>Activo / Vendas e Serviços Prestados (%)</t>
  </si>
  <si>
    <t>Valor Acrescentado Bruto (Vab)</t>
  </si>
  <si>
    <t>Vab por Vendas (%)</t>
  </si>
  <si>
    <t>Rentabilidade Económica (%)</t>
  </si>
  <si>
    <t>Rentabilidade do Investimento (%)</t>
  </si>
  <si>
    <t>Rentabilidade Líquida do Activo (%)</t>
  </si>
  <si>
    <t>Gastos com o Pessoal / Vendas e Serviços Prestados (%)</t>
  </si>
  <si>
    <t>Gasto Médio por Empregado</t>
  </si>
  <si>
    <t>Gastos com o Pessoal / EBIT (%)</t>
  </si>
  <si>
    <t>Custo Líquido de Financiamento</t>
  </si>
  <si>
    <t>EBITDA</t>
  </si>
  <si>
    <t>EBIT</t>
  </si>
  <si>
    <t>Margem Ebit (%)</t>
  </si>
  <si>
    <t xml:space="preserve"> Rendibilidade Financeira</t>
  </si>
  <si>
    <t>Rentabilidade das Vendas e Serviços Prestados (%)</t>
  </si>
  <si>
    <t>Rentabilidade do Capital Próprio (%)</t>
  </si>
  <si>
    <t>Rentabilidade dos Capitais Permanentes (%)</t>
  </si>
  <si>
    <t>Passivo / Vendas e Serviços Prestados (%)</t>
  </si>
  <si>
    <t>Passivo / Custo das Vendas (%)</t>
  </si>
  <si>
    <t>Vendas / Activo Corrente (%)</t>
  </si>
  <si>
    <t>Juros e Gastos Similares Suportados / Vendas e Serviços Prestados (%)</t>
  </si>
  <si>
    <t>Fundo De Maneio / Vendas e Serviços Prestados (%)</t>
  </si>
  <si>
    <t>Juros e Gastos Similares Suportados / EBITDA (%)</t>
  </si>
  <si>
    <t>Margem EBITDA (%)</t>
  </si>
  <si>
    <t>Cobertura do Activo Não Corrente (%)</t>
  </si>
  <si>
    <t>Setor</t>
  </si>
  <si>
    <t>Clientes</t>
  </si>
  <si>
    <t>Bastante superior</t>
  </si>
  <si>
    <t>Inventários</t>
  </si>
  <si>
    <t>Parecido tirando 2020</t>
  </si>
  <si>
    <t>Caixa e depósitos</t>
  </si>
  <si>
    <t>Restantes Ativos</t>
  </si>
  <si>
    <t>tirando 2016, tem menos</t>
  </si>
  <si>
    <t>Investimentos não financeiros</t>
  </si>
  <si>
    <t>menos em 2020 e 2016, mas de resto similar</t>
  </si>
  <si>
    <t>Investimentos financeiros</t>
  </si>
  <si>
    <t>bem menos!</t>
  </si>
  <si>
    <t>Total do Ativo</t>
  </si>
  <si>
    <t>FM/A</t>
  </si>
  <si>
    <t>FM</t>
  </si>
  <si>
    <t>(RT+Reservas)/A</t>
  </si>
  <si>
    <t>A</t>
  </si>
  <si>
    <t>EBIT/A</t>
  </si>
  <si>
    <t>RT+Reservas</t>
  </si>
  <si>
    <t>CP/P</t>
  </si>
  <si>
    <t>V/A</t>
  </si>
  <si>
    <t>CP</t>
  </si>
  <si>
    <t>P</t>
  </si>
  <si>
    <t>V</t>
  </si>
  <si>
    <t>Taxa de crescimento anual</t>
  </si>
  <si>
    <t xml:space="preserve">Z-Score </t>
  </si>
  <si>
    <t>A empresa esteve, em todos os anos numa zona segura, ou seja, a empresa pode estar a salvo, com base na sua capacidade financeira.</t>
  </si>
  <si>
    <t>A Avelab não esteve, em nenhum ano, em risco de falência.</t>
  </si>
  <si>
    <t>Modelo Multiplicativo de Análise Integrada de Rendibilidade</t>
  </si>
  <si>
    <t>Ano</t>
  </si>
  <si>
    <t>Montantes em falta</t>
  </si>
  <si>
    <t>Rácios</t>
  </si>
  <si>
    <t>Efeito dos Custos Variáveis</t>
  </si>
  <si>
    <t>Vendas</t>
  </si>
  <si>
    <t>Efeito dos Custos Fixos</t>
  </si>
  <si>
    <t>CV (CMVMC + 30%FSE)</t>
  </si>
  <si>
    <t>Rotação do Ativo</t>
  </si>
  <si>
    <t>MC (V - CV)</t>
  </si>
  <si>
    <t>Operações</t>
  </si>
  <si>
    <t>CF (70%FSE + GcP + DA + OGR (líquido))</t>
  </si>
  <si>
    <t>Efeito dos Encargos Financeiros</t>
  </si>
  <si>
    <t>Resultado Operacional (EBIT)</t>
  </si>
  <si>
    <t>Inverso da Autonomia Financeira</t>
  </si>
  <si>
    <t>RAI (EBT)</t>
  </si>
  <si>
    <t>Financiamento</t>
  </si>
  <si>
    <t>Efeito Fiscal</t>
  </si>
  <si>
    <t>Decomposição dos resultados (% rendimentos)</t>
  </si>
  <si>
    <t>Return on Equity (ROE)</t>
  </si>
  <si>
    <t>Return on Equity (ROE) - Real</t>
  </si>
  <si>
    <t>Margem Bruta (MC/Rendimentos)</t>
  </si>
  <si>
    <t>Return on Equity (ROE) - Setor</t>
  </si>
  <si>
    <t>Margem Bruta - Real</t>
  </si>
  <si>
    <t>N.A</t>
  </si>
  <si>
    <t>Margem Bruta - Setor</t>
  </si>
  <si>
    <t>Risco</t>
  </si>
  <si>
    <t>Margem EBIT (EBIT/Rendimentos)</t>
  </si>
  <si>
    <t>Margem EBIT (Resultado Operacional) - Real</t>
  </si>
  <si>
    <t>Margem EBIT (Resultado Operacional) - Setor</t>
  </si>
  <si>
    <t>GAO ou GEA</t>
  </si>
  <si>
    <t>Margem EBT (RAI/Rendimentos)</t>
  </si>
  <si>
    <t>GAF</t>
  </si>
  <si>
    <t>Margem EBT (RAI) - Real</t>
  </si>
  <si>
    <t>GAC</t>
  </si>
  <si>
    <t>Margem EBT (RAI) - Setor</t>
  </si>
  <si>
    <t>MS de afastamento</t>
  </si>
  <si>
    <t>Margem Líquida (RLP/Rendimentos)</t>
  </si>
  <si>
    <t>Ponto Crítico das Vendas (PCV)</t>
  </si>
  <si>
    <t>Margem Líquida (RLP) - Real</t>
  </si>
  <si>
    <t>CF/ECV</t>
  </si>
  <si>
    <t>Margem Líquida (RLP) - Setor</t>
  </si>
  <si>
    <t>Taxa de Crescimento Anual (item(i+1)/item(i) -1)</t>
  </si>
  <si>
    <t>Taxa Média de Crescimento Anual</t>
  </si>
  <si>
    <t>Estrutura de Financiamento</t>
  </si>
  <si>
    <t>Efeito de Alavancagem</t>
  </si>
  <si>
    <t>Índices ((item(i)/item(0))x100)</t>
  </si>
  <si>
    <t>Prazo Médio de Pagamentos (PMP)</t>
  </si>
  <si>
    <t>TCA</t>
  </si>
  <si>
    <t>Índices</t>
  </si>
  <si>
    <t>Existências Finais</t>
  </si>
  <si>
    <t>Existências Iniciais</t>
  </si>
  <si>
    <t>CMVMC</t>
  </si>
  <si>
    <t>Compras (Ef+CMVMC-Ei)</t>
  </si>
  <si>
    <t>FSE</t>
  </si>
  <si>
    <t>Compras e FSE (s/IVA)</t>
  </si>
  <si>
    <t>Compras e FSE (c/IVA)</t>
  </si>
  <si>
    <t>Fornecedores</t>
  </si>
  <si>
    <t>PMP</t>
  </si>
  <si>
    <t>PMP (Setor)</t>
  </si>
  <si>
    <t>Taxa IVA</t>
  </si>
  <si>
    <t>Prazo Médio de Recebimentos (PMR)</t>
  </si>
  <si>
    <t>PMR</t>
  </si>
  <si>
    <t>PMR (Setor)</t>
  </si>
  <si>
    <t xml:space="preserve">Clientes </t>
  </si>
  <si>
    <t>Vendas e serviços prestados</t>
  </si>
  <si>
    <t>PMR (verificação)</t>
  </si>
  <si>
    <t>Capital Próprio</t>
  </si>
  <si>
    <t>Capital Alheio Estável (PñC)</t>
  </si>
  <si>
    <t>Capitais Permanentes</t>
  </si>
  <si>
    <t>Ativo fixo líquido</t>
  </si>
  <si>
    <t>Importância</t>
  </si>
  <si>
    <t>Adiantamentos a Fornecedores</t>
  </si>
  <si>
    <t>Estado e outros entes públicos</t>
  </si>
  <si>
    <t>Outros devedores de exploração</t>
  </si>
  <si>
    <t>Diferimentos ativos de exploração</t>
  </si>
  <si>
    <t>Necessidades Cíclicas</t>
  </si>
  <si>
    <t xml:space="preserve"> Adiantamentos de clientes </t>
  </si>
  <si>
    <t>Outros credores de exploração</t>
  </si>
  <si>
    <t>Diferimentos passivos de exploração</t>
  </si>
  <si>
    <t>Recursos Cíclicos</t>
  </si>
  <si>
    <t>Necessidades de fundo de maneio</t>
  </si>
  <si>
    <t>Tesouraria Líquida</t>
  </si>
  <si>
    <t>Liquidez Geral(Setor)</t>
  </si>
  <si>
    <t>Liquidez Reduzida(Setor)</t>
  </si>
  <si>
    <t>Earning Power</t>
  </si>
  <si>
    <t>Ativos Fixos Tangíveis (ATF)</t>
  </si>
  <si>
    <t>Dados</t>
  </si>
  <si>
    <t>Taxa de Crescimento Anual (TCA)</t>
  </si>
  <si>
    <t>Terrenos e recursos naturais</t>
  </si>
  <si>
    <t>Edifícios e outras construções</t>
  </si>
  <si>
    <t>Equipamento básico</t>
  </si>
  <si>
    <t>Equipamento de transporte</t>
  </si>
  <si>
    <t>Equipamento administrativo</t>
  </si>
  <si>
    <t>Equipamentos biológicos</t>
  </si>
  <si>
    <t>Outros activos fixos tangíveis</t>
  </si>
  <si>
    <t>Depreciações acumuladas-activos fixos tangíveis</t>
  </si>
  <si>
    <t>Ativos Fixos Tangíveis (no Balanço)</t>
  </si>
  <si>
    <t>Edifícios e outras construções em AFT (no Balanço)</t>
  </si>
  <si>
    <t>Terrenos e recursos naturais em AFT (no Balanço)</t>
  </si>
  <si>
    <t>Equipamento de transporte em AFT (no Balanço)</t>
  </si>
  <si>
    <t>Outros activos fixos tangíveis em AFT (no Balanço)</t>
  </si>
  <si>
    <t>Inventários, Clientes, Caixa e Depósitos Bancários e Outras Contas a Receber</t>
  </si>
  <si>
    <t>Matérias (adquiridas em inventário)</t>
  </si>
  <si>
    <t>Matérias</t>
  </si>
  <si>
    <t>Matérias em Inventários (no Balanço)</t>
  </si>
  <si>
    <t>Clientes c/c</t>
  </si>
  <si>
    <t>Caixa</t>
  </si>
  <si>
    <t>Clientes c/c em Clientes (no Balanço)</t>
  </si>
  <si>
    <t>Depósitos à Ordem</t>
  </si>
  <si>
    <t>Caixa e DO em Caixa e Depósitos Bancários (no Balanço)</t>
  </si>
  <si>
    <t>Outros Devedores</t>
  </si>
  <si>
    <t>Outros Devedores em Outras Contas a Receber (no Balanço)</t>
  </si>
  <si>
    <t>Estado e Outros Entes Públicos</t>
  </si>
  <si>
    <t>Outros Devedores (excluíndo 2016)</t>
  </si>
  <si>
    <t>Capital Social, Reservas, Resultados Transitados e Resultados Líquidos</t>
  </si>
  <si>
    <t>Capital Realizado</t>
  </si>
  <si>
    <t>Reservas Legais</t>
  </si>
  <si>
    <t>Outras Reservas</t>
  </si>
  <si>
    <t>Suma Capital</t>
  </si>
  <si>
    <t>Resultados Transitados</t>
  </si>
  <si>
    <t>Resultado Líquido do Período</t>
  </si>
  <si>
    <t>(…) em Suma Capital (no Balanço)</t>
  </si>
  <si>
    <t>Suma Capital e RLP (no Balanço)</t>
  </si>
  <si>
    <t>Fornecedores e Outras Contas a Pagar Correntes</t>
  </si>
  <si>
    <t>Fornecedores c/c</t>
  </si>
  <si>
    <t>Fornecedores (no Balanço)</t>
  </si>
  <si>
    <t>Credores por Acréscimo de Gastos (CAG)</t>
  </si>
  <si>
    <t>Fornecedores c/c em Fornecedores (no Balanço)</t>
  </si>
  <si>
    <t>Outros credores</t>
  </si>
  <si>
    <t>Outras Contas a Pagar Correntes (no Balanço)</t>
  </si>
  <si>
    <t>CAG e Outros Credores em Outras Contas a Pagar Correntes (no Balanço)</t>
  </si>
  <si>
    <t>Financiamentos Obtidos não Correntes</t>
  </si>
  <si>
    <t>Financiamentos Obtidos Correntes</t>
  </si>
  <si>
    <t>Juros suportados</t>
  </si>
  <si>
    <t>Vendas e Serviços Prestados</t>
  </si>
  <si>
    <t>Prestações de Serviços</t>
  </si>
  <si>
    <t>Vendas e Serviços Prestados (na DR)</t>
  </si>
  <si>
    <t>Prestações de Serviços em Vendas e Serviços Prestados (na DR)</t>
  </si>
  <si>
    <t>Custo da Mercadoria Vendida e da Matéria Consumida e Depreciações do Período (AFT)</t>
  </si>
  <si>
    <t>Matérias (consumidas)</t>
  </si>
  <si>
    <t>CMVMC (na DR)</t>
  </si>
  <si>
    <t>Matérias em CMVMC (na DR)</t>
  </si>
  <si>
    <t>Depreciações do Período (AFT)</t>
  </si>
  <si>
    <t>Depreciações Acumuladas (AFT)</t>
  </si>
  <si>
    <t>Depreciações do Período em Depreciações Acumuladas (na DR)</t>
  </si>
  <si>
    <t>Gastos com o Pessoal</t>
  </si>
  <si>
    <t>Remunerações</t>
  </si>
  <si>
    <t>Encargos sobre Remunerações</t>
  </si>
  <si>
    <t>Seguros de acidentes no trabalho e doenças profissionais</t>
  </si>
  <si>
    <t>Outros gastos com o Pessoal</t>
  </si>
  <si>
    <t>Gastos com o Pessoal (na DR)</t>
  </si>
  <si>
    <t>Remunerações e encargos, seguros e OG em GcP (na DR)</t>
  </si>
  <si>
    <t>Fornecimentos e Serviços Externos (FSE)</t>
  </si>
  <si>
    <t>Subcontratos</t>
  </si>
  <si>
    <t>Serviços Especializados</t>
  </si>
  <si>
    <t>Materiais</t>
  </si>
  <si>
    <t>Energia e Fluidos</t>
  </si>
  <si>
    <t>Deslocações, Estadas e Transportes</t>
  </si>
  <si>
    <t>Serviços Diversos</t>
  </si>
  <si>
    <t>Fornecimentos e Serviços Externos (na DR)</t>
  </si>
  <si>
    <t>Subcontratos em Fornecimentos e Serviços Externos</t>
  </si>
  <si>
    <t>Serviços Especializados em Fornecimentos e Serviços Externos</t>
  </si>
  <si>
    <t>Serviços Diversos em Fornecimentos e Serviços Externos</t>
  </si>
  <si>
    <t>(…) em Fornecimentos e Serviços Externos (na DR)</t>
  </si>
  <si>
    <r>
      <t>Custos Fixos</t>
    </r>
    <r>
      <rPr>
        <sz val="14"/>
        <color theme="0"/>
        <rFont val="Calibri"/>
        <family val="2"/>
      </rPr>
      <t xml:space="preserve"> (Parcialmente Errado!)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</si>
</sst>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###,##0"/>
    <numFmt numFmtId="165" formatCode="0.0000"/>
    <numFmt numFmtId="166" formatCode="#,##0.00\ &quot;€&quot;"/>
    <numFmt numFmtId="167" formatCode="_-* #,##0\ &quot;€&quot;_-;\-* #,##0\ &quot;€&quot;_-;_-* &quot;-&quot;??\ &quot;€&quot;_-;_-@_-"/>
    <numFmt numFmtId="168" formatCode="0.0%"/>
    <numFmt numFmtId="169" formatCode="_-* #,##0.00\ _€_-;\-* #,##0.00\ _€_-;_-* &quot;-&quot;??????\ _€_-;_-@_-"/>
    <numFmt numFmtId="170" formatCode="_-* #,##0.000000_-;\-* #,##0.000000_-;_-* &quot;-&quot;??_-;_-@_-"/>
  </numFmts>
  <fonts count="2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.5"/>
      <color rgb="FF003366"/>
      <name val="Verdana"/>
      <family val="2"/>
    </font>
    <font>
      <b/>
      <sz val="8.5"/>
      <color rgb="FF003366"/>
      <name val="Verdana"/>
      <family val="2"/>
    </font>
    <font>
      <sz val="8.5"/>
      <color rgb="FF003366"/>
      <name val="Verdana"/>
      <family val="2"/>
    </font>
    <font>
      <sz val="8.5"/>
      <color rgb="FF000000"/>
      <name val="Verdana"/>
      <family val="2"/>
    </font>
    <font>
      <sz val="8.5"/>
      <color rgb="FF333333"/>
      <name val="Verdana"/>
      <family val="2"/>
    </font>
    <font>
      <b/>
      <sz val="8.5"/>
      <color rgb="FF333333"/>
      <name val="Verdana"/>
      <family val="2"/>
    </font>
    <font>
      <sz val="11"/>
      <color rgb="FF000000"/>
      <name val="Calibri"/>
      <family val="2"/>
    </font>
    <font>
      <sz val="14"/>
      <color theme="0"/>
      <name val="Calibri"/>
      <family val="2"/>
    </font>
    <font>
      <b/>
      <sz val="14"/>
      <color theme="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b/>
      <sz val="11"/>
      <color rgb="FF000000"/>
      <name val="Calibri"/>
      <family val="2"/>
    </font>
    <font>
      <b/>
      <sz val="18"/>
      <color theme="0"/>
      <name val="Calibri"/>
      <family val="2"/>
    </font>
    <font>
      <b/>
      <i/>
      <sz val="11"/>
      <color theme="0"/>
      <name val="Calibri"/>
      <family val="2"/>
    </font>
    <font>
      <b/>
      <sz val="16"/>
      <color theme="0"/>
      <name val="Calibri"/>
      <family val="2"/>
    </font>
    <font>
      <sz val="12"/>
      <color theme="0"/>
      <name val="Calibri"/>
      <family val="2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20"/>
      <color rgb="FF000000"/>
      <name val="Calibri"/>
      <family val="2"/>
    </font>
  </fonts>
  <fills count="4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B2CBEA"/>
      </patternFill>
    </fill>
    <fill>
      <patternFill patternType="solid">
        <fgColor rgb="FFF2F2F2"/>
      </patternFill>
    </fill>
    <fill>
      <patternFill patternType="solid">
        <fgColor rgb="FFFFFFFF"/>
      </patternFill>
    </fill>
    <fill>
      <patternFill patternType="solid">
        <fgColor rgb="FFD1D6DC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rgb="FF858585"/>
      </top>
      <bottom style="thin">
        <color rgb="FF858585"/>
      </bottom>
      <diagonal/>
    </border>
    <border>
      <left/>
      <right/>
      <top/>
      <bottom style="thin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 style="thin">
        <color rgb="FF858585"/>
      </top>
      <bottom style="thin">
        <color rgb="FF858585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 style="thin">
        <color auto="1"/>
      </top>
      <bottom style="thin">
        <color indexed="64"/>
      </bottom>
      <diagonal/>
    </border>
    <border>
      <left style="thin">
        <color theme="0"/>
      </left>
      <right style="thin">
        <color theme="2"/>
      </right>
      <top style="thin">
        <color auto="1"/>
      </top>
      <bottom style="thin">
        <color indexed="64"/>
      </bottom>
      <diagonal/>
    </border>
    <border>
      <left/>
      <right style="thin">
        <color theme="0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9" fillId="0" borderId="0"/>
    <xf numFmtId="9" fontId="12" fillId="0" borderId="0" applyFont="0" applyFill="0" applyBorder="0" applyAlignment="0" applyProtection="0"/>
    <xf numFmtId="0" fontId="2" fillId="36" borderId="0" applyNumberFormat="0" applyBorder="0" applyAlignment="0" applyProtection="0"/>
    <xf numFmtId="0" fontId="21" fillId="0" borderId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32">
    <xf numFmtId="0" fontId="0" fillId="0" borderId="0" xfId="0"/>
    <xf numFmtId="0" fontId="0" fillId="2" borderId="0" xfId="0" applyFill="1"/>
    <xf numFmtId="0" fontId="0" fillId="5" borderId="0" xfId="0" applyFill="1"/>
    <xf numFmtId="0" fontId="7" fillId="5" borderId="0" xfId="0" applyFont="1" applyFill="1" applyAlignment="1">
      <alignment horizontal="right" vertical="top" wrapText="1"/>
    </xf>
    <xf numFmtId="0" fontId="7" fillId="5" borderId="2" xfId="0" applyFont="1" applyFill="1" applyBorder="1" applyAlignment="1">
      <alignment horizontal="right" vertical="top" wrapText="1"/>
    </xf>
    <xf numFmtId="0" fontId="9" fillId="0" borderId="0" xfId="0" applyFont="1"/>
    <xf numFmtId="0" fontId="9" fillId="0" borderId="0" xfId="1"/>
    <xf numFmtId="0" fontId="9" fillId="5" borderId="0" xfId="1" applyFill="1"/>
    <xf numFmtId="0" fontId="7" fillId="5" borderId="2" xfId="1" applyFont="1" applyFill="1" applyBorder="1" applyAlignment="1">
      <alignment horizontal="right" vertical="top" wrapText="1"/>
    </xf>
    <xf numFmtId="0" fontId="7" fillId="5" borderId="0" xfId="1" applyFont="1" applyFill="1" applyAlignment="1">
      <alignment horizontal="right" vertical="top" wrapText="1"/>
    </xf>
    <xf numFmtId="165" fontId="0" fillId="10" borderId="3" xfId="0" applyNumberForma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44" fontId="0" fillId="10" borderId="3" xfId="0" applyNumberFormat="1" applyFill="1" applyBorder="1" applyAlignment="1">
      <alignment horizontal="center" vertical="center"/>
    </xf>
    <xf numFmtId="9" fontId="0" fillId="10" borderId="3" xfId="2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10" fontId="0" fillId="10" borderId="3" xfId="2" applyNumberFormat="1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/>
    </xf>
    <xf numFmtId="166" fontId="0" fillId="10" borderId="3" xfId="0" applyNumberFormat="1" applyFill="1" applyBorder="1" applyAlignment="1">
      <alignment horizontal="center" vertical="center"/>
    </xf>
    <xf numFmtId="0" fontId="9" fillId="5" borderId="10" xfId="1" applyFill="1" applyBorder="1"/>
    <xf numFmtId="165" fontId="0" fillId="11" borderId="3" xfId="0" applyNumberForma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 vertical="center"/>
    </xf>
    <xf numFmtId="0" fontId="0" fillId="8" borderId="0" xfId="0" applyFill="1"/>
    <xf numFmtId="0" fontId="15" fillId="13" borderId="3" xfId="0" applyFont="1" applyFill="1" applyBorder="1" applyAlignment="1">
      <alignment horizontal="center" vertical="center"/>
    </xf>
    <xf numFmtId="10" fontId="15" fillId="12" borderId="3" xfId="2" applyNumberFormat="1" applyFont="1" applyFill="1" applyBorder="1" applyAlignment="1">
      <alignment horizontal="center" vertical="center"/>
    </xf>
    <xf numFmtId="0" fontId="15" fillId="14" borderId="3" xfId="0" applyFont="1" applyFill="1" applyBorder="1" applyAlignment="1">
      <alignment horizontal="center" vertical="center"/>
    </xf>
    <xf numFmtId="10" fontId="15" fillId="15" borderId="3" xfId="2" applyNumberFormat="1" applyFont="1" applyFill="1" applyBorder="1" applyAlignment="1">
      <alignment horizontal="center" vertical="center"/>
    </xf>
    <xf numFmtId="0" fontId="15" fillId="9" borderId="3" xfId="0" applyFont="1" applyFill="1" applyBorder="1" applyAlignment="1">
      <alignment horizontal="center" vertical="center"/>
    </xf>
    <xf numFmtId="10" fontId="15" fillId="10" borderId="3" xfId="2" applyNumberFormat="1" applyFont="1" applyFill="1" applyBorder="1" applyAlignment="1">
      <alignment horizontal="center" vertical="center"/>
    </xf>
    <xf numFmtId="167" fontId="0" fillId="10" borderId="3" xfId="0" applyNumberFormat="1" applyFill="1" applyBorder="1" applyAlignment="1">
      <alignment horizontal="center" vertical="center"/>
    </xf>
    <xf numFmtId="0" fontId="0" fillId="9" borderId="16" xfId="0" applyFill="1" applyBorder="1" applyAlignment="1">
      <alignment horizontal="center"/>
    </xf>
    <xf numFmtId="0" fontId="0" fillId="7" borderId="17" xfId="0" applyFill="1" applyBorder="1"/>
    <xf numFmtId="0" fontId="0" fillId="0" borderId="15" xfId="0" applyBorder="1"/>
    <xf numFmtId="0" fontId="9" fillId="9" borderId="3" xfId="0" applyFont="1" applyFill="1" applyBorder="1" applyAlignment="1">
      <alignment horizontal="center" vertical="center" wrapText="1"/>
    </xf>
    <xf numFmtId="0" fontId="13" fillId="8" borderId="8" xfId="0" applyFont="1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 wrapText="1"/>
    </xf>
    <xf numFmtId="2" fontId="0" fillId="10" borderId="3" xfId="2" applyNumberFormat="1" applyFont="1" applyFill="1" applyBorder="1" applyAlignment="1">
      <alignment horizontal="center" vertical="center"/>
    </xf>
    <xf numFmtId="10" fontId="0" fillId="16" borderId="3" xfId="2" applyNumberFormat="1" applyFont="1" applyFill="1" applyBorder="1" applyAlignment="1">
      <alignment horizontal="center" vertical="center"/>
    </xf>
    <xf numFmtId="2" fontId="0" fillId="16" borderId="3" xfId="2" applyNumberFormat="1" applyFont="1" applyFill="1" applyBorder="1" applyAlignment="1">
      <alignment horizontal="center" vertical="center"/>
    </xf>
    <xf numFmtId="2" fontId="0" fillId="10" borderId="3" xfId="0" applyNumberFormat="1" applyFill="1" applyBorder="1" applyAlignment="1">
      <alignment horizontal="center" vertical="center"/>
    </xf>
    <xf numFmtId="1" fontId="0" fillId="10" borderId="3" xfId="0" applyNumberForma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166" fontId="0" fillId="19" borderId="3" xfId="0" applyNumberFormat="1" applyFill="1" applyBorder="1" applyAlignment="1">
      <alignment horizontal="center" vertical="center"/>
    </xf>
    <xf numFmtId="0" fontId="9" fillId="0" borderId="19" xfId="0" applyFont="1" applyBorder="1" applyAlignment="1">
      <alignment vertical="top" textRotation="255"/>
    </xf>
    <xf numFmtId="0" fontId="0" fillId="0" borderId="19" xfId="0" applyBorder="1" applyAlignment="1">
      <alignment vertical="top" textRotation="255"/>
    </xf>
    <xf numFmtId="0" fontId="17" fillId="20" borderId="3" xfId="0" applyFont="1" applyFill="1" applyBorder="1" applyAlignment="1">
      <alignment horizontal="center" vertical="center"/>
    </xf>
    <xf numFmtId="10" fontId="0" fillId="19" borderId="3" xfId="2" applyNumberFormat="1" applyFont="1" applyFill="1" applyBorder="1" applyAlignment="1">
      <alignment horizontal="center" vertical="center"/>
    </xf>
    <xf numFmtId="2" fontId="0" fillId="19" borderId="3" xfId="2" applyNumberFormat="1" applyFont="1" applyFill="1" applyBorder="1" applyAlignment="1">
      <alignment horizontal="center" vertical="center"/>
    </xf>
    <xf numFmtId="10" fontId="0" fillId="13" borderId="3" xfId="2" applyNumberFormat="1" applyFont="1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 wrapText="1"/>
    </xf>
    <xf numFmtId="0" fontId="0" fillId="22" borderId="3" xfId="0" applyFill="1" applyBorder="1" applyAlignment="1">
      <alignment horizontal="center" vertical="center"/>
    </xf>
    <xf numFmtId="0" fontId="9" fillId="22" borderId="3" xfId="0" applyFont="1" applyFill="1" applyBorder="1" applyAlignment="1">
      <alignment horizontal="center" vertical="center"/>
    </xf>
    <xf numFmtId="0" fontId="0" fillId="22" borderId="19" xfId="0" applyFill="1" applyBorder="1" applyAlignment="1">
      <alignment horizontal="center" vertical="center"/>
    </xf>
    <xf numFmtId="166" fontId="0" fillId="24" borderId="3" xfId="0" applyNumberFormat="1" applyFill="1" applyBorder="1" applyAlignment="1">
      <alignment horizontal="center" vertical="center"/>
    </xf>
    <xf numFmtId="10" fontId="0" fillId="24" borderId="3" xfId="2" applyNumberFormat="1" applyFont="1" applyFill="1" applyBorder="1" applyAlignment="1">
      <alignment horizontal="center" vertical="center"/>
    </xf>
    <xf numFmtId="0" fontId="0" fillId="22" borderId="3" xfId="0" applyFill="1" applyBorder="1" applyAlignment="1">
      <alignment horizontal="center" vertical="center" wrapText="1"/>
    </xf>
    <xf numFmtId="2" fontId="0" fillId="24" borderId="3" xfId="2" applyNumberFormat="1" applyFont="1" applyFill="1" applyBorder="1" applyAlignment="1">
      <alignment horizontal="center" vertical="center"/>
    </xf>
    <xf numFmtId="0" fontId="17" fillId="23" borderId="3" xfId="0" applyFont="1" applyFill="1" applyBorder="1" applyAlignment="1">
      <alignment horizontal="center" vertical="center"/>
    </xf>
    <xf numFmtId="0" fontId="9" fillId="11" borderId="3" xfId="0" applyFont="1" applyFill="1" applyBorder="1" applyAlignment="1">
      <alignment horizontal="center" vertical="center"/>
    </xf>
    <xf numFmtId="166" fontId="0" fillId="27" borderId="3" xfId="0" applyNumberFormat="1" applyFill="1" applyBorder="1" applyAlignment="1">
      <alignment horizontal="center" vertical="center"/>
    </xf>
    <xf numFmtId="0" fontId="9" fillId="11" borderId="3" xfId="0" applyFont="1" applyFill="1" applyBorder="1" applyAlignment="1">
      <alignment horizontal="center" vertical="center" wrapText="1"/>
    </xf>
    <xf numFmtId="10" fontId="0" fillId="27" borderId="3" xfId="2" applyNumberFormat="1" applyFont="1" applyFill="1" applyBorder="1" applyAlignment="1">
      <alignment horizontal="center" vertical="center"/>
    </xf>
    <xf numFmtId="2" fontId="0" fillId="27" borderId="3" xfId="2" applyNumberFormat="1" applyFont="1" applyFill="1" applyBorder="1" applyAlignment="1">
      <alignment horizontal="center" vertical="center"/>
    </xf>
    <xf numFmtId="0" fontId="17" fillId="26" borderId="3" xfId="0" applyFont="1" applyFill="1" applyBorder="1" applyAlignment="1">
      <alignment horizontal="center" vertical="center"/>
    </xf>
    <xf numFmtId="0" fontId="17" fillId="31" borderId="0" xfId="0" applyFont="1" applyFill="1" applyAlignment="1">
      <alignment horizontal="center" vertical="center"/>
    </xf>
    <xf numFmtId="166" fontId="0" fillId="29" borderId="3" xfId="0" applyNumberFormat="1" applyFill="1" applyBorder="1" applyAlignment="1">
      <alignment horizontal="center" vertical="center"/>
    </xf>
    <xf numFmtId="10" fontId="0" fillId="29" borderId="3" xfId="2" applyNumberFormat="1" applyFont="1" applyFill="1" applyBorder="1" applyAlignment="1">
      <alignment horizontal="center" vertical="center"/>
    </xf>
    <xf numFmtId="0" fontId="9" fillId="28" borderId="3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28" borderId="3" xfId="0" applyFont="1" applyFill="1" applyBorder="1" applyAlignment="1">
      <alignment horizontal="center" vertical="center" wrapText="1"/>
    </xf>
    <xf numFmtId="2" fontId="0" fillId="29" borderId="3" xfId="2" applyNumberFormat="1" applyFont="1" applyFill="1" applyBorder="1" applyAlignment="1">
      <alignment horizontal="center" vertical="center"/>
    </xf>
    <xf numFmtId="0" fontId="9" fillId="28" borderId="19" xfId="0" applyFont="1" applyFill="1" applyBorder="1" applyAlignment="1">
      <alignment horizontal="center" vertical="center"/>
    </xf>
    <xf numFmtId="0" fontId="13" fillId="34" borderId="3" xfId="0" applyFont="1" applyFill="1" applyBorder="1" applyAlignment="1">
      <alignment horizontal="center" vertical="center"/>
    </xf>
    <xf numFmtId="10" fontId="9" fillId="13" borderId="3" xfId="2" applyNumberFormat="1" applyFont="1" applyFill="1" applyBorder="1" applyAlignment="1">
      <alignment horizontal="center" vertical="center"/>
    </xf>
    <xf numFmtId="166" fontId="0" fillId="35" borderId="3" xfId="0" applyNumberFormat="1" applyFill="1" applyBorder="1" applyAlignment="1">
      <alignment horizontal="center" vertical="center"/>
    </xf>
    <xf numFmtId="0" fontId="17" fillId="33" borderId="3" xfId="0" applyFont="1" applyFill="1" applyBorder="1" applyAlignment="1">
      <alignment horizontal="center" vertical="center"/>
    </xf>
    <xf numFmtId="0" fontId="13" fillId="34" borderId="3" xfId="0" applyFont="1" applyFill="1" applyBorder="1" applyAlignment="1">
      <alignment horizontal="center" vertical="center" wrapText="1"/>
    </xf>
    <xf numFmtId="10" fontId="0" fillId="35" borderId="3" xfId="2" applyNumberFormat="1" applyFont="1" applyFill="1" applyBorder="1" applyAlignment="1">
      <alignment horizontal="center" vertical="center"/>
    </xf>
    <xf numFmtId="2" fontId="0" fillId="35" borderId="3" xfId="2" applyNumberFormat="1" applyFont="1" applyFill="1" applyBorder="1" applyAlignment="1">
      <alignment horizontal="center" vertical="center"/>
    </xf>
    <xf numFmtId="0" fontId="2" fillId="36" borderId="0" xfId="3"/>
    <xf numFmtId="9" fontId="0" fillId="0" borderId="0" xfId="2" applyFont="1"/>
    <xf numFmtId="166" fontId="0" fillId="0" borderId="0" xfId="0" applyNumberFormat="1"/>
    <xf numFmtId="2" fontId="2" fillId="36" borderId="0" xfId="3" applyNumberFormat="1"/>
    <xf numFmtId="168" fontId="0" fillId="0" borderId="0" xfId="2" applyNumberFormat="1" applyFont="1"/>
    <xf numFmtId="164" fontId="0" fillId="0" borderId="0" xfId="0" applyNumberFormat="1"/>
    <xf numFmtId="166" fontId="0" fillId="0" borderId="0" xfId="0" applyNumberFormat="1" applyAlignment="1">
      <alignment horizontal="center"/>
    </xf>
    <xf numFmtId="166" fontId="0" fillId="10" borderId="3" xfId="0" applyNumberFormat="1" applyFill="1" applyBorder="1" applyAlignment="1">
      <alignment horizontal="center"/>
    </xf>
    <xf numFmtId="10" fontId="0" fillId="10" borderId="3" xfId="2" applyNumberFormat="1" applyFont="1" applyFill="1" applyBorder="1" applyAlignment="1">
      <alignment horizontal="center"/>
    </xf>
    <xf numFmtId="0" fontId="13" fillId="8" borderId="0" xfId="0" applyFont="1" applyFill="1" applyAlignment="1">
      <alignment horizontal="center" vertical="center"/>
    </xf>
    <xf numFmtId="0" fontId="21" fillId="0" borderId="0" xfId="4"/>
    <xf numFmtId="0" fontId="22" fillId="0" borderId="0" xfId="4" applyFont="1"/>
    <xf numFmtId="0" fontId="23" fillId="0" borderId="0" xfId="4" applyFont="1"/>
    <xf numFmtId="0" fontId="21" fillId="0" borderId="22" xfId="4" applyBorder="1"/>
    <xf numFmtId="10" fontId="0" fillId="0" borderId="0" xfId="5" applyNumberFormat="1" applyFont="1"/>
    <xf numFmtId="10" fontId="0" fillId="0" borderId="3" xfId="5" applyNumberFormat="1" applyFont="1" applyBorder="1"/>
    <xf numFmtId="10" fontId="25" fillId="0" borderId="3" xfId="5" applyNumberFormat="1" applyFont="1" applyBorder="1"/>
    <xf numFmtId="0" fontId="21" fillId="9" borderId="3" xfId="4" applyFill="1" applyBorder="1"/>
    <xf numFmtId="0" fontId="21" fillId="0" borderId="23" xfId="4" applyBorder="1"/>
    <xf numFmtId="0" fontId="21" fillId="0" borderId="24" xfId="4" applyBorder="1"/>
    <xf numFmtId="0" fontId="21" fillId="0" borderId="25" xfId="4" applyBorder="1"/>
    <xf numFmtId="0" fontId="21" fillId="0" borderId="26" xfId="4" applyBorder="1"/>
    <xf numFmtId="169" fontId="21" fillId="0" borderId="16" xfId="4" applyNumberFormat="1" applyBorder="1" applyAlignment="1">
      <alignment horizontal="center"/>
    </xf>
    <xf numFmtId="169" fontId="21" fillId="0" borderId="3" xfId="4" applyNumberFormat="1" applyBorder="1"/>
    <xf numFmtId="169" fontId="26" fillId="0" borderId="3" xfId="4" applyNumberFormat="1" applyFont="1" applyBorder="1"/>
    <xf numFmtId="169" fontId="21" fillId="0" borderId="3" xfId="4" applyNumberFormat="1" applyBorder="1" applyAlignment="1">
      <alignment horizontal="center"/>
    </xf>
    <xf numFmtId="0" fontId="21" fillId="0" borderId="3" xfId="4" applyBorder="1" applyAlignment="1">
      <alignment horizontal="center"/>
    </xf>
    <xf numFmtId="0" fontId="21" fillId="0" borderId="27" xfId="4" applyBorder="1"/>
    <xf numFmtId="0" fontId="21" fillId="37" borderId="8" xfId="4" applyFill="1" applyBorder="1" applyAlignment="1">
      <alignment horizontal="center"/>
    </xf>
    <xf numFmtId="0" fontId="21" fillId="37" borderId="3" xfId="4" applyFill="1" applyBorder="1" applyAlignment="1">
      <alignment horizontal="center"/>
    </xf>
    <xf numFmtId="0" fontId="21" fillId="37" borderId="3" xfId="4" applyFill="1" applyBorder="1"/>
    <xf numFmtId="0" fontId="21" fillId="0" borderId="18" xfId="4" applyBorder="1"/>
    <xf numFmtId="43" fontId="0" fillId="0" borderId="0" xfId="6" applyFont="1" applyBorder="1" applyAlignment="1">
      <alignment horizontal="center"/>
    </xf>
    <xf numFmtId="0" fontId="21" fillId="0" borderId="8" xfId="4" applyBorder="1" applyAlignment="1">
      <alignment horizontal="center"/>
    </xf>
    <xf numFmtId="10" fontId="26" fillId="0" borderId="3" xfId="5" applyNumberFormat="1" applyFont="1" applyBorder="1"/>
    <xf numFmtId="43" fontId="0" fillId="0" borderId="0" xfId="6" applyFont="1" applyBorder="1"/>
    <xf numFmtId="0" fontId="21" fillId="0" borderId="0" xfId="4" applyAlignment="1">
      <alignment horizontal="center"/>
    </xf>
    <xf numFmtId="43" fontId="0" fillId="0" borderId="3" xfId="6" applyFont="1" applyBorder="1" applyAlignment="1">
      <alignment horizontal="center"/>
    </xf>
    <xf numFmtId="43" fontId="26" fillId="0" borderId="3" xfId="6" applyFont="1" applyBorder="1" applyAlignment="1">
      <alignment horizontal="center"/>
    </xf>
    <xf numFmtId="43" fontId="0" fillId="0" borderId="3" xfId="6" applyFont="1" applyBorder="1"/>
    <xf numFmtId="0" fontId="21" fillId="0" borderId="13" xfId="4" applyBorder="1"/>
    <xf numFmtId="0" fontId="21" fillId="0" borderId="12" xfId="4" applyBorder="1"/>
    <xf numFmtId="43" fontId="25" fillId="0" borderId="3" xfId="6" applyFont="1" applyBorder="1" applyAlignment="1">
      <alignment horizontal="center"/>
    </xf>
    <xf numFmtId="170" fontId="0" fillId="0" borderId="3" xfId="6" applyNumberFormat="1" applyFont="1" applyBorder="1"/>
    <xf numFmtId="43" fontId="25" fillId="0" borderId="3" xfId="6" applyFont="1" applyBorder="1"/>
    <xf numFmtId="0" fontId="1" fillId="0" borderId="0" xfId="7"/>
    <xf numFmtId="168" fontId="1" fillId="0" borderId="0" xfId="7" applyNumberFormat="1"/>
    <xf numFmtId="10" fontId="1" fillId="0" borderId="0" xfId="7" applyNumberFormat="1"/>
    <xf numFmtId="0" fontId="1" fillId="0" borderId="12" xfId="7" applyBorder="1"/>
    <xf numFmtId="0" fontId="1" fillId="0" borderId="28" xfId="7" applyBorder="1"/>
    <xf numFmtId="0" fontId="20" fillId="8" borderId="3" xfId="7" applyFont="1" applyFill="1" applyBorder="1"/>
    <xf numFmtId="168" fontId="1" fillId="24" borderId="3" xfId="7" applyNumberFormat="1" applyFill="1" applyBorder="1"/>
    <xf numFmtId="168" fontId="0" fillId="10" borderId="3" xfId="8" applyNumberFormat="1" applyFont="1" applyFill="1" applyBorder="1"/>
    <xf numFmtId="0" fontId="1" fillId="10" borderId="3" xfId="7" applyFill="1" applyBorder="1"/>
    <xf numFmtId="10" fontId="1" fillId="24" borderId="3" xfId="7" applyNumberFormat="1" applyFill="1" applyBorder="1"/>
    <xf numFmtId="10" fontId="1" fillId="10" borderId="3" xfId="7" applyNumberFormat="1" applyFill="1" applyBorder="1"/>
    <xf numFmtId="0" fontId="20" fillId="38" borderId="3" xfId="7" applyFont="1" applyFill="1" applyBorder="1"/>
    <xf numFmtId="0" fontId="20" fillId="39" borderId="3" xfId="7" applyFont="1" applyFill="1" applyBorder="1"/>
    <xf numFmtId="0" fontId="20" fillId="40" borderId="3" xfId="7" applyFont="1" applyFill="1" applyBorder="1"/>
    <xf numFmtId="0" fontId="20" fillId="41" borderId="3" xfId="7" applyFont="1" applyFill="1" applyBorder="1"/>
    <xf numFmtId="0" fontId="20" fillId="42" borderId="3" xfId="7" applyFont="1" applyFill="1" applyBorder="1"/>
    <xf numFmtId="0" fontId="20" fillId="43" borderId="3" xfId="7" applyFont="1" applyFill="1" applyBorder="1"/>
    <xf numFmtId="0" fontId="1" fillId="14" borderId="3" xfId="7" applyFill="1" applyBorder="1" applyAlignment="1">
      <alignment horizontal="center"/>
    </xf>
    <xf numFmtId="0" fontId="27" fillId="14" borderId="3" xfId="7" applyFont="1" applyFill="1" applyBorder="1" applyAlignment="1">
      <alignment horizontal="center"/>
    </xf>
    <xf numFmtId="170" fontId="0" fillId="10" borderId="3" xfId="6" applyNumberFormat="1" applyFont="1" applyFill="1" applyBorder="1"/>
    <xf numFmtId="10" fontId="25" fillId="10" borderId="3" xfId="5" applyNumberFormat="1" applyFont="1" applyFill="1" applyBorder="1"/>
    <xf numFmtId="10" fontId="0" fillId="10" borderId="3" xfId="5" applyNumberFormat="1" applyFont="1" applyFill="1" applyBorder="1"/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5" borderId="2" xfId="1" applyFill="1" applyBorder="1" applyAlignment="1"/>
    <xf numFmtId="0" fontId="7" fillId="5" borderId="2" xfId="1" applyFont="1" applyFill="1" applyBorder="1" applyAlignment="1">
      <alignment horizontal="right" vertical="top" wrapText="1"/>
    </xf>
    <xf numFmtId="0" fontId="6" fillId="5" borderId="2" xfId="1" applyFont="1" applyFill="1" applyBorder="1" applyAlignment="1">
      <alignment horizontal="left" vertical="top" wrapText="1"/>
    </xf>
    <xf numFmtId="164" fontId="7" fillId="5" borderId="2" xfId="1" applyNumberFormat="1" applyFont="1" applyFill="1" applyBorder="1" applyAlignment="1">
      <alignment horizontal="right" vertical="top"/>
    </xf>
    <xf numFmtId="164" fontId="7" fillId="17" borderId="2" xfId="1" applyNumberFormat="1" applyFont="1" applyFill="1" applyBorder="1" applyAlignment="1">
      <alignment horizontal="right" vertical="top"/>
    </xf>
    <xf numFmtId="0" fontId="9" fillId="17" borderId="2" xfId="1" applyFill="1" applyBorder="1" applyAlignment="1"/>
    <xf numFmtId="0" fontId="9" fillId="6" borderId="2" xfId="1" applyFill="1" applyBorder="1" applyAlignment="1"/>
    <xf numFmtId="0" fontId="8" fillId="5" borderId="2" xfId="1" applyFont="1" applyFill="1" applyBorder="1" applyAlignment="1">
      <alignment horizontal="left" vertical="top" wrapText="1"/>
    </xf>
    <xf numFmtId="0" fontId="8" fillId="6" borderId="2" xfId="1" applyFont="1" applyFill="1" applyBorder="1" applyAlignment="1">
      <alignment horizontal="left" vertical="top" wrapText="1"/>
    </xf>
    <xf numFmtId="0" fontId="9" fillId="5" borderId="0" xfId="1" applyFill="1" applyAlignment="1"/>
    <xf numFmtId="0" fontId="7" fillId="5" borderId="0" xfId="1" applyFont="1" applyFill="1" applyAlignment="1">
      <alignment horizontal="right" vertical="top" wrapText="1"/>
    </xf>
    <xf numFmtId="0" fontId="9" fillId="4" borderId="0" xfId="1" applyFill="1" applyAlignment="1"/>
    <xf numFmtId="0" fontId="6" fillId="4" borderId="0" xfId="1" applyFont="1" applyFill="1" applyAlignment="1">
      <alignment horizontal="right" vertical="top" wrapText="1"/>
    </xf>
    <xf numFmtId="0" fontId="6" fillId="4" borderId="2" xfId="1" applyFont="1" applyFill="1" applyBorder="1" applyAlignment="1">
      <alignment horizontal="right" vertical="top" wrapText="1"/>
    </xf>
    <xf numFmtId="0" fontId="3" fillId="5" borderId="0" xfId="1" applyFont="1" applyFill="1" applyAlignment="1">
      <alignment horizontal="left" vertical="center" wrapText="1"/>
    </xf>
    <xf numFmtId="0" fontId="4" fillId="3" borderId="1" xfId="1" applyFont="1" applyFill="1" applyBorder="1" applyAlignment="1">
      <alignment horizontal="left" vertical="top"/>
    </xf>
    <xf numFmtId="0" fontId="9" fillId="5" borderId="1" xfId="1" applyFill="1" applyBorder="1" applyAlignment="1"/>
    <xf numFmtId="0" fontId="5" fillId="4" borderId="0" xfId="1" applyFont="1" applyFill="1" applyAlignment="1">
      <alignment horizontal="left" vertical="top" wrapText="1"/>
    </xf>
    <xf numFmtId="0" fontId="3" fillId="5" borderId="10" xfId="1" applyFont="1" applyFill="1" applyBorder="1" applyAlignment="1">
      <alignment horizontal="left" vertical="center" wrapText="1"/>
    </xf>
    <xf numFmtId="0" fontId="9" fillId="5" borderId="10" xfId="1" applyFill="1" applyBorder="1" applyAlignment="1"/>
    <xf numFmtId="0" fontId="4" fillId="3" borderId="11" xfId="1" applyFont="1" applyFill="1" applyBorder="1" applyAlignment="1">
      <alignment horizontal="left" vertical="top"/>
    </xf>
    <xf numFmtId="3" fontId="7" fillId="5" borderId="2" xfId="1" applyNumberFormat="1" applyFont="1" applyFill="1" applyBorder="1" applyAlignment="1">
      <alignment horizontal="right" vertical="top"/>
    </xf>
    <xf numFmtId="4" fontId="7" fillId="5" borderId="2" xfId="1" applyNumberFormat="1" applyFont="1" applyFill="1" applyBorder="1" applyAlignment="1">
      <alignment horizontal="right" vertical="top"/>
    </xf>
    <xf numFmtId="0" fontId="7" fillId="5" borderId="0" xfId="0" applyFont="1" applyFill="1" applyAlignment="1">
      <alignment horizontal="right" vertical="top" wrapText="1"/>
    </xf>
    <xf numFmtId="0" fontId="0" fillId="5" borderId="0" xfId="0" applyFill="1" applyAlignment="1"/>
    <xf numFmtId="0" fontId="3" fillId="5" borderId="0" xfId="0" applyFont="1" applyFill="1" applyAlignment="1">
      <alignment horizontal="left" vertical="center" wrapText="1"/>
    </xf>
    <xf numFmtId="0" fontId="4" fillId="3" borderId="1" xfId="0" applyFont="1" applyFill="1" applyBorder="1" applyAlignment="1">
      <alignment horizontal="left" vertical="top"/>
    </xf>
    <xf numFmtId="0" fontId="0" fillId="5" borderId="1" xfId="0" applyFill="1" applyBorder="1" applyAlignment="1"/>
    <xf numFmtId="0" fontId="5" fillId="4" borderId="0" xfId="0" applyFont="1" applyFill="1" applyAlignment="1">
      <alignment horizontal="left" vertical="top" wrapText="1"/>
    </xf>
    <xf numFmtId="0" fontId="0" fillId="5" borderId="2" xfId="0" applyFill="1" applyBorder="1" applyAlignment="1"/>
    <xf numFmtId="0" fontId="0" fillId="4" borderId="0" xfId="0" applyFill="1" applyAlignment="1"/>
    <xf numFmtId="0" fontId="6" fillId="4" borderId="0" xfId="0" applyFont="1" applyFill="1" applyAlignment="1">
      <alignment horizontal="right" vertical="top" wrapText="1"/>
    </xf>
    <xf numFmtId="0" fontId="6" fillId="4" borderId="2" xfId="0" applyFont="1" applyFill="1" applyBorder="1" applyAlignment="1">
      <alignment horizontal="right" vertical="top" wrapText="1"/>
    </xf>
    <xf numFmtId="0" fontId="7" fillId="5" borderId="2" xfId="0" applyFont="1" applyFill="1" applyBorder="1" applyAlignment="1">
      <alignment horizontal="right" vertical="top" wrapText="1"/>
    </xf>
    <xf numFmtId="0" fontId="0" fillId="6" borderId="2" xfId="0" applyFill="1" applyBorder="1" applyAlignment="1"/>
    <xf numFmtId="0" fontId="8" fillId="6" borderId="2" xfId="0" applyFont="1" applyFill="1" applyBorder="1" applyAlignment="1">
      <alignment horizontal="left" vertical="top" wrapText="1"/>
    </xf>
    <xf numFmtId="0" fontId="6" fillId="5" borderId="2" xfId="0" applyFont="1" applyFill="1" applyBorder="1" applyAlignment="1">
      <alignment horizontal="left" vertical="top" wrapText="1"/>
    </xf>
    <xf numFmtId="4" fontId="7" fillId="5" borderId="2" xfId="0" applyNumberFormat="1" applyFont="1" applyFill="1" applyBorder="1" applyAlignment="1">
      <alignment horizontal="right" vertical="top"/>
    </xf>
    <xf numFmtId="164" fontId="7" fillId="5" borderId="2" xfId="0" applyNumberFormat="1" applyFont="1" applyFill="1" applyBorder="1" applyAlignment="1">
      <alignment horizontal="right" vertical="top"/>
    </xf>
    <xf numFmtId="164" fontId="7" fillId="17" borderId="2" xfId="0" applyNumberFormat="1" applyFont="1" applyFill="1" applyBorder="1" applyAlignment="1">
      <alignment horizontal="right" vertical="top"/>
    </xf>
    <xf numFmtId="0" fontId="0" fillId="17" borderId="2" xfId="0" applyFill="1" applyBorder="1" applyAlignment="1"/>
    <xf numFmtId="0" fontId="1" fillId="10" borderId="3" xfId="7" applyFill="1" applyBorder="1" applyAlignment="1">
      <alignment horizontal="center"/>
    </xf>
    <xf numFmtId="0" fontId="20" fillId="7" borderId="3" xfId="7" applyFont="1" applyFill="1" applyBorder="1" applyAlignment="1">
      <alignment horizontal="center"/>
    </xf>
    <xf numFmtId="0" fontId="1" fillId="0" borderId="0" xfId="7" applyAlignment="1">
      <alignment horizontal="left"/>
    </xf>
    <xf numFmtId="0" fontId="21" fillId="9" borderId="3" xfId="4" applyFill="1" applyBorder="1" applyAlignment="1">
      <alignment horizontal="center"/>
    </xf>
    <xf numFmtId="0" fontId="11" fillId="7" borderId="0" xfId="0" applyFont="1" applyFill="1" applyAlignment="1">
      <alignment horizontal="center" vertical="center"/>
    </xf>
    <xf numFmtId="0" fontId="11" fillId="7" borderId="6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19" fillId="8" borderId="13" xfId="0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4" fillId="8" borderId="12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8" borderId="14" xfId="0" applyFont="1" applyFill="1" applyBorder="1" applyAlignment="1">
      <alignment horizontal="center" vertical="center"/>
    </xf>
    <xf numFmtId="0" fontId="11" fillId="8" borderId="18" xfId="0" applyFont="1" applyFill="1" applyBorder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5" fillId="9" borderId="20" xfId="0" applyFont="1" applyFill="1" applyBorder="1" applyAlignment="1">
      <alignment horizontal="center" vertical="center"/>
    </xf>
    <xf numFmtId="0" fontId="15" fillId="9" borderId="21" xfId="0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18" borderId="0" xfId="0" applyFont="1" applyFill="1" applyAlignment="1">
      <alignment horizontal="center" vertical="center"/>
    </xf>
    <xf numFmtId="0" fontId="18" fillId="32" borderId="0" xfId="0" applyFont="1" applyFill="1" applyAlignment="1">
      <alignment horizontal="center" vertical="center"/>
    </xf>
    <xf numFmtId="0" fontId="18" fillId="21" borderId="0" xfId="0" applyFont="1" applyFill="1" applyAlignment="1">
      <alignment horizontal="center" vertical="center"/>
    </xf>
    <xf numFmtId="0" fontId="18" fillId="25" borderId="0" xfId="0" applyFont="1" applyFill="1" applyAlignment="1">
      <alignment horizontal="center" vertical="center"/>
    </xf>
    <xf numFmtId="0" fontId="18" fillId="30" borderId="0" xfId="0" applyFont="1" applyFill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0" fontId="10" fillId="8" borderId="0" xfId="0" applyFont="1" applyFill="1" applyAlignment="1">
      <alignment horizontal="center" vertical="center"/>
    </xf>
  </cellXfs>
  <cellStyles count="9">
    <cellStyle name="20% - Cor1" xfId="3" builtinId="30"/>
    <cellStyle name="Normal" xfId="0" builtinId="0"/>
    <cellStyle name="Normal 2" xfId="1" xr:uid="{BF4B1549-818F-4D78-B14B-F3FA6B7754DD}"/>
    <cellStyle name="Normal 3" xfId="4" xr:uid="{7E17A6EE-38FA-41AE-8109-6453DE8E0920}"/>
    <cellStyle name="Normal 4" xfId="7" xr:uid="{7F687D85-146C-45BE-BEE7-554E0C8DE8C2}"/>
    <cellStyle name="Percentagem" xfId="2" builtinId="5"/>
    <cellStyle name="Percentagem 2" xfId="5" xr:uid="{CD36BD19-5FE8-490A-B6B5-D143B5A6D547}"/>
    <cellStyle name="Percentagem 3" xfId="8" xr:uid="{A414CBCC-01A4-462D-999D-F4EDF85E0F12}"/>
    <cellStyle name="Vírgula 2" xfId="6" xr:uid="{D1AE4998-8037-4066-BB74-EC399156CE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934650910924876E-2"/>
          <c:y val="9.1223721135255689E-2"/>
          <c:w val="0.85964905230458866"/>
          <c:h val="0.82986924881228963"/>
        </c:manualLayout>
      </c:layout>
      <c:pieChart>
        <c:varyColors val="1"/>
        <c:ser>
          <c:idx val="0"/>
          <c:order val="0"/>
          <c:tx>
            <c:strRef>
              <c:f>'Estrutura do balanço'!$A$2:$A$7</c:f>
              <c:strCache>
                <c:ptCount val="6"/>
                <c:pt idx="0">
                  <c:v>Clientes</c:v>
                </c:pt>
                <c:pt idx="1">
                  <c:v>Inventários</c:v>
                </c:pt>
                <c:pt idx="2">
                  <c:v>Caixa e depósitos</c:v>
                </c:pt>
                <c:pt idx="3">
                  <c:v>Restantes Ativos</c:v>
                </c:pt>
                <c:pt idx="4">
                  <c:v>Investimentos não financeiros</c:v>
                </c:pt>
                <c:pt idx="5">
                  <c:v>Investimentos financeiros</c:v>
                </c:pt>
              </c:strCache>
            </c:strRef>
          </c:tx>
          <c:explosion val="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43A-49CA-B625-DFF89FEBE4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43A-49CA-B625-DFF89FEBE4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43A-49CA-B625-DFF89FEBE4C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43A-49CA-B625-DFF89FEBE4C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43A-49CA-B625-DFF89FEBE4C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43A-49CA-B625-DFF89FEBE4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'Estrutura do balanço'!$C$2:$C$7</c:f>
              <c:numCache>
                <c:formatCode>0.0%</c:formatCode>
                <c:ptCount val="6"/>
                <c:pt idx="0">
                  <c:v>0.61992234573421789</c:v>
                </c:pt>
                <c:pt idx="1">
                  <c:v>4.6032557628938639E-2</c:v>
                </c:pt>
                <c:pt idx="2">
                  <c:v>8.0502398766296043E-2</c:v>
                </c:pt>
                <c:pt idx="3">
                  <c:v>7.0932576520709667E-2</c:v>
                </c:pt>
                <c:pt idx="4">
                  <c:v>0.13157076606131476</c:v>
                </c:pt>
                <c:pt idx="5">
                  <c:v>5.1039355288522936E-2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43A-49CA-B625-DFF89FEBE4C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601990049751242E-2"/>
          <c:y val="7.5082768119331622E-2"/>
          <c:w val="0.85406301824212272"/>
          <c:h val="0.84983498349834985"/>
        </c:manualLayout>
      </c:layout>
      <c:pieChart>
        <c:varyColors val="1"/>
        <c:ser>
          <c:idx val="0"/>
          <c:order val="0"/>
          <c:tx>
            <c:strRef>
              <c:f>'Estrutura do balanço'!$A$2:$A$7</c:f>
              <c:strCache>
                <c:ptCount val="6"/>
                <c:pt idx="0">
                  <c:v>Clientes</c:v>
                </c:pt>
                <c:pt idx="1">
                  <c:v>Inventários</c:v>
                </c:pt>
                <c:pt idx="2">
                  <c:v>Caixa e depósitos</c:v>
                </c:pt>
                <c:pt idx="3">
                  <c:v>Restantes Ativos</c:v>
                </c:pt>
                <c:pt idx="4">
                  <c:v>Investimentos não financeiros</c:v>
                </c:pt>
                <c:pt idx="5">
                  <c:v>Investimentos financeiros</c:v>
                </c:pt>
              </c:strCache>
            </c:strRef>
          </c:tx>
          <c:explosion val="8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34B-42D9-BDB6-B68EC2B5CC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34B-42D9-BDB6-B68EC2B5CC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34B-42D9-BDB6-B68EC2B5CC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34B-42D9-BDB6-B68EC2B5CCF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34B-42D9-BDB6-B68EC2B5CCF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34B-42D9-BDB6-B68EC2B5CC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'Estrutura do balanço'!$F$2:$F$7</c:f>
              <c:numCache>
                <c:formatCode>0.0%</c:formatCode>
                <c:ptCount val="6"/>
                <c:pt idx="0">
                  <c:v>0.57267238141960297</c:v>
                </c:pt>
                <c:pt idx="1">
                  <c:v>1.3386492613024667E-2</c:v>
                </c:pt>
                <c:pt idx="2">
                  <c:v>0.12976141410097511</c:v>
                </c:pt>
                <c:pt idx="3">
                  <c:v>5.7784923456688508E-2</c:v>
                </c:pt>
                <c:pt idx="4">
                  <c:v>0.2184485661581651</c:v>
                </c:pt>
                <c:pt idx="5">
                  <c:v>7.9462222515435006E-3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34B-42D9-BDB6-B68EC2B5CCF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'Estrutura do balanço'!$A$2:$A$7</c:f>
              <c:strCache>
                <c:ptCount val="6"/>
                <c:pt idx="0">
                  <c:v>Clientes</c:v>
                </c:pt>
                <c:pt idx="1">
                  <c:v>Inventários</c:v>
                </c:pt>
                <c:pt idx="2">
                  <c:v>Caixa e depósitos</c:v>
                </c:pt>
                <c:pt idx="3">
                  <c:v>Restantes Ativos</c:v>
                </c:pt>
                <c:pt idx="4">
                  <c:v>Investimentos não financeiros</c:v>
                </c:pt>
                <c:pt idx="5">
                  <c:v>Investimentos financeiros</c:v>
                </c:pt>
              </c:strCache>
            </c:strRef>
          </c:tx>
          <c:explosion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7BE-45ED-8706-93B29F816C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7BE-45ED-8706-93B29F816C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7BE-45ED-8706-93B29F816CB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7BE-45ED-8706-93B29F816CB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7BE-45ED-8706-93B29F816CB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7BE-45ED-8706-93B29F816C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'Estrutura do balanço'!$I$2:$I$7</c:f>
              <c:numCache>
                <c:formatCode>0.0%</c:formatCode>
                <c:ptCount val="6"/>
                <c:pt idx="0">
                  <c:v>0.6356787317113084</c:v>
                </c:pt>
                <c:pt idx="1">
                  <c:v>1.1888392836715497E-2</c:v>
                </c:pt>
                <c:pt idx="2">
                  <c:v>0.10839673541208356</c:v>
                </c:pt>
                <c:pt idx="3">
                  <c:v>6.8736653817579291E-2</c:v>
                </c:pt>
                <c:pt idx="4">
                  <c:v>0.17327641122840567</c:v>
                </c:pt>
                <c:pt idx="5">
                  <c:v>2.0230749939076386E-3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7BE-45ED-8706-93B29F816CB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'Estrutura do balanço'!$A$2:$A$7</c:f>
              <c:strCache>
                <c:ptCount val="6"/>
                <c:pt idx="0">
                  <c:v>Clientes</c:v>
                </c:pt>
                <c:pt idx="1">
                  <c:v>Inventários</c:v>
                </c:pt>
                <c:pt idx="2">
                  <c:v>Caixa e depósitos</c:v>
                </c:pt>
                <c:pt idx="3">
                  <c:v>Restantes Ativos</c:v>
                </c:pt>
                <c:pt idx="4">
                  <c:v>Investimentos não financeiros</c:v>
                </c:pt>
                <c:pt idx="5">
                  <c:v>Investimentos financeiros</c:v>
                </c:pt>
              </c:strCache>
            </c:strRef>
          </c:tx>
          <c:explosion val="7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32F-4030-A04B-A1275DACDB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32F-4030-A04B-A1275DACDB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32F-4030-A04B-A1275DACDB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32F-4030-A04B-A1275DACDB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32F-4030-A04B-A1275DACDBF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32F-4030-A04B-A1275DACDB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'Estrutura do balanço'!$L$2:$L$7</c:f>
              <c:numCache>
                <c:formatCode>0.00%</c:formatCode>
                <c:ptCount val="6"/>
                <c:pt idx="0">
                  <c:v>0.64732715103448957</c:v>
                </c:pt>
                <c:pt idx="1">
                  <c:v>1.2078628045837057E-2</c:v>
                </c:pt>
                <c:pt idx="2">
                  <c:v>9.0384487404845337E-2</c:v>
                </c:pt>
                <c:pt idx="3">
                  <c:v>6.7025734605787132E-2</c:v>
                </c:pt>
                <c:pt idx="4">
                  <c:v>0.18186309350414265</c:v>
                </c:pt>
                <c:pt idx="5">
                  <c:v>1.320905404898261E-3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32F-4030-A04B-A1275DACDB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329566854990579E-2"/>
          <c:y val="0.16416692913385825"/>
          <c:w val="0.83427495291902076"/>
          <c:h val="0.73833333333333329"/>
        </c:manualLayout>
      </c:layout>
      <c:pieChart>
        <c:varyColors val="1"/>
        <c:ser>
          <c:idx val="0"/>
          <c:order val="0"/>
          <c:tx>
            <c:strRef>
              <c:f>'Estrutura do balanço'!$A$2:$A$7</c:f>
              <c:strCache>
                <c:ptCount val="6"/>
                <c:pt idx="0">
                  <c:v>Clientes</c:v>
                </c:pt>
                <c:pt idx="1">
                  <c:v>Inventários</c:v>
                </c:pt>
                <c:pt idx="2">
                  <c:v>Caixa e depósitos</c:v>
                </c:pt>
                <c:pt idx="3">
                  <c:v>Restantes Ativos</c:v>
                </c:pt>
                <c:pt idx="4">
                  <c:v>Investimentos não financeiros</c:v>
                </c:pt>
                <c:pt idx="5">
                  <c:v>Investimentos financeiros</c:v>
                </c:pt>
              </c:strCache>
            </c:strRef>
          </c:tx>
          <c:explosion val="8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C80-4AFF-9E32-36FBFFF3E4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C80-4AFF-9E32-36FBFFF3E4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C80-4AFF-9E32-36FBFFF3E4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C80-4AFF-9E32-36FBFFF3E4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C80-4AFF-9E32-36FBFFF3E4B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C80-4AFF-9E32-36FBFFF3E4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'Estrutura do balanço'!$O$2:$O$7</c:f>
              <c:numCache>
                <c:formatCode>0.0%</c:formatCode>
                <c:ptCount val="6"/>
                <c:pt idx="0">
                  <c:v>0.52609406814677195</c:v>
                </c:pt>
                <c:pt idx="1">
                  <c:v>2.0244280604675254E-2</c:v>
                </c:pt>
                <c:pt idx="2">
                  <c:v>8.4189542259336132E-3</c:v>
                </c:pt>
                <c:pt idx="3">
                  <c:v>0.30661227061123109</c:v>
                </c:pt>
                <c:pt idx="4">
                  <c:v>0.13791458780485655</c:v>
                </c:pt>
                <c:pt idx="5">
                  <c:v>7.1583860653168154E-4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C80-4AFF-9E32-36FBFFF3E4B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'Estrutura do balanço'!$A$2:$A$7</c:f>
              <c:strCache>
                <c:ptCount val="6"/>
                <c:pt idx="0">
                  <c:v>Clientes</c:v>
                </c:pt>
                <c:pt idx="1">
                  <c:v>Inventários</c:v>
                </c:pt>
                <c:pt idx="2">
                  <c:v>Caixa e depósitos</c:v>
                </c:pt>
                <c:pt idx="3">
                  <c:v>Restantes Ativos</c:v>
                </c:pt>
                <c:pt idx="4">
                  <c:v>Investimentos não financeiros</c:v>
                </c:pt>
                <c:pt idx="5">
                  <c:v>Investimentos financeiros</c:v>
                </c:pt>
              </c:strCache>
            </c:strRef>
          </c:tx>
          <c:explosion val="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861-43CD-9F57-0AB5D7A834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861-43CD-9F57-0AB5D7A834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861-43CD-9F57-0AB5D7A834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861-43CD-9F57-0AB5D7A8345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861-43CD-9F57-0AB5D7A8345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861-43CD-9F57-0AB5D7A834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'Estrutura do balanço'!$D$2:$D$7</c:f>
              <c:numCache>
                <c:formatCode>0.0%</c:formatCode>
                <c:ptCount val="6"/>
                <c:pt idx="0">
                  <c:v>0.106</c:v>
                </c:pt>
                <c:pt idx="1">
                  <c:v>0.11899999999999999</c:v>
                </c:pt>
                <c:pt idx="2">
                  <c:v>9.1999999999999998E-2</c:v>
                </c:pt>
                <c:pt idx="3">
                  <c:v>0.16300000000000001</c:v>
                </c:pt>
                <c:pt idx="4">
                  <c:v>0.34300000000000003</c:v>
                </c:pt>
                <c:pt idx="5">
                  <c:v>0.17799999999999999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861-43CD-9F57-0AB5D7A8345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047619047619051E-2"/>
          <c:y val="0.16266050878255603"/>
          <c:w val="0.83238095238095233"/>
          <c:h val="0.70032051282051277"/>
        </c:manualLayout>
      </c:layout>
      <c:pieChart>
        <c:varyColors val="1"/>
        <c:ser>
          <c:idx val="0"/>
          <c:order val="0"/>
          <c:tx>
            <c:strRef>
              <c:f>'Estrutura do balanço'!$A$2:$A$7</c:f>
              <c:strCache>
                <c:ptCount val="6"/>
                <c:pt idx="0">
                  <c:v>Clientes</c:v>
                </c:pt>
                <c:pt idx="1">
                  <c:v>Inventários</c:v>
                </c:pt>
                <c:pt idx="2">
                  <c:v>Caixa e depósitos</c:v>
                </c:pt>
                <c:pt idx="3">
                  <c:v>Restantes Ativos</c:v>
                </c:pt>
                <c:pt idx="4">
                  <c:v>Investimentos não financeiros</c:v>
                </c:pt>
                <c:pt idx="5">
                  <c:v>Investimentos financeiros</c:v>
                </c:pt>
              </c:strCache>
            </c:strRef>
          </c:tx>
          <c:explosion val="7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9D6-442D-96CF-9171E50E92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9D6-442D-96CF-9171E50E92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9D6-442D-96CF-9171E50E92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9D6-442D-96CF-9171E50E920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9D6-442D-96CF-9171E50E920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9D6-442D-96CF-9171E50E92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'Estrutura do balanço'!$G$2:$G$7</c:f>
              <c:numCache>
                <c:formatCode>0.0%</c:formatCode>
                <c:ptCount val="6"/>
                <c:pt idx="0">
                  <c:v>0.11899999999999999</c:v>
                </c:pt>
                <c:pt idx="1">
                  <c:v>0.01</c:v>
                </c:pt>
                <c:pt idx="2">
                  <c:v>6.0999999999999999E-2</c:v>
                </c:pt>
                <c:pt idx="3">
                  <c:v>0.214</c:v>
                </c:pt>
                <c:pt idx="4">
                  <c:v>0.20699999999999999</c:v>
                </c:pt>
                <c:pt idx="5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9D6-442D-96CF-9171E50E920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</xdr:colOff>
      <xdr:row>9</xdr:row>
      <xdr:rowOff>180975</xdr:rowOff>
    </xdr:from>
    <xdr:to>
      <xdr:col>3</xdr:col>
      <xdr:colOff>381000</xdr:colOff>
      <xdr:row>20</xdr:row>
      <xdr:rowOff>42861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8BE56B-10C4-4494-90A2-E3AB5A9641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10</xdr:row>
      <xdr:rowOff>0</xdr:rowOff>
    </xdr:from>
    <xdr:to>
      <xdr:col>6</xdr:col>
      <xdr:colOff>323850</xdr:colOff>
      <xdr:row>20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D049AF-50F8-4BC7-9009-21EBBA5A0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10</xdr:row>
      <xdr:rowOff>9525</xdr:rowOff>
    </xdr:from>
    <xdr:to>
      <xdr:col>9</xdr:col>
      <xdr:colOff>323850</xdr:colOff>
      <xdr:row>20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2A4F7EC-6862-413D-8B9A-D9E686A25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10</xdr:row>
      <xdr:rowOff>9525</xdr:rowOff>
    </xdr:from>
    <xdr:to>
      <xdr:col>12</xdr:col>
      <xdr:colOff>342900</xdr:colOff>
      <xdr:row>19</xdr:row>
      <xdr:rowOff>190499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ABA6440-43E8-4939-95E0-B58B4B932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10</xdr:row>
      <xdr:rowOff>0</xdr:rowOff>
    </xdr:from>
    <xdr:to>
      <xdr:col>15</xdr:col>
      <xdr:colOff>342900</xdr:colOff>
      <xdr:row>20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28CFB54-EA55-47C4-871A-237A54AC1C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1876425</xdr:colOff>
      <xdr:row>23</xdr:row>
      <xdr:rowOff>23812</xdr:rowOff>
    </xdr:from>
    <xdr:to>
      <xdr:col>3</xdr:col>
      <xdr:colOff>485775</xdr:colOff>
      <xdr:row>33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0BAD5AC-A299-472F-914D-6C24BA05E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9525</xdr:colOff>
      <xdr:row>23</xdr:row>
      <xdr:rowOff>19049</xdr:rowOff>
    </xdr:from>
    <xdr:to>
      <xdr:col>6</xdr:col>
      <xdr:colOff>390525</xdr:colOff>
      <xdr:row>33</xdr:row>
      <xdr:rowOff>57150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9324D7E-4E4B-45C3-9744-01E759E28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uish@ua.pt" id="{D88CD00A-AA55-486D-8FC8-56A468C790B4}" userId="luish@ua.pt" providerId="Non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" dT="2021-12-18T23:08:00.13" personId="{D88CD00A-AA55-486D-8FC8-56A468C790B4}" id="{E6B7C23F-8247-491E-A575-FEDD24C4B90A}">
    <text>Seria isto a Margem EBITDA? (acredito que sim)</text>
  </threadedComment>
  <threadedComment ref="A6" dT="2021-12-18T23:38:36.82" personId="{D88CD00A-AA55-486D-8FC8-56A468C790B4}" id="{BBAF5F47-29E8-4E11-8928-3DFAFF6B3E48}">
    <text>Falar c/a prof sobre os componetes dos custos variáveis e fixos para determinar a margem de contribuição bruta!
Seria interessante entrar em contacto com a Avelab para, entre outros assuntos, perceber a fundo quais seriam os seus custos variáveis?</text>
  </threadedComment>
  <threadedComment ref="A13" dT="2021-12-18T23:33:25.60" personId="{D88CD00A-AA55-486D-8FC8-56A468C790B4}" id="{337A2AFD-3482-4E5D-9F12-672A74C865F1}">
    <text>Segundo a Sabi e a análise feita aqui (os valores coincidem) com base nos valores por esta fornecidos, em 2018 o ROE é superior a 200%, algo que não faz sentido porque o os resultados fazem parte dos capitais próprios, ou seja, os capitais próprios são sempre superiores aos resultados do período!</text>
  </threadedComment>
</ThreadedComment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0250E-ECAE-4C42-9EA5-0C62454941CE}">
  <dimension ref="A1:BA115"/>
  <sheetViews>
    <sheetView showGridLines="0" topLeftCell="A71" zoomScaleNormal="100" workbookViewId="0">
      <selection activeCell="AL51" sqref="AL51:AN51"/>
    </sheetView>
  </sheetViews>
  <sheetFormatPr defaultRowHeight="15" x14ac:dyDescent="0.25"/>
  <cols>
    <col min="1" max="1" width="0.5703125" style="7" customWidth="1"/>
    <col min="2" max="2" width="43.85546875" style="7" customWidth="1"/>
    <col min="3" max="3" width="2.42578125" style="7" customWidth="1"/>
    <col min="4" max="4" width="2" style="7" customWidth="1"/>
    <col min="5" max="5" width="9" style="7" customWidth="1"/>
    <col min="6" max="6" width="2.42578125" style="7" customWidth="1"/>
    <col min="7" max="7" width="2" style="7" customWidth="1"/>
    <col min="8" max="8" width="9" style="7" customWidth="1"/>
    <col min="9" max="9" width="2.42578125" style="7" customWidth="1"/>
    <col min="10" max="10" width="2" style="7" customWidth="1"/>
    <col min="11" max="11" width="9" style="7" customWidth="1"/>
    <col min="12" max="12" width="2.42578125" style="7" customWidth="1"/>
    <col min="13" max="13" width="2" style="7" customWidth="1"/>
    <col min="14" max="14" width="9" style="7" customWidth="1"/>
    <col min="15" max="15" width="2.42578125" style="7" customWidth="1"/>
    <col min="16" max="16" width="1.140625" style="7" customWidth="1"/>
    <col min="17" max="17" width="0.5703125" style="7" customWidth="1"/>
    <col min="18" max="18" width="0.140625" style="7" customWidth="1"/>
    <col min="19" max="19" width="9" style="7" customWidth="1"/>
    <col min="20" max="20" width="2.42578125" style="7" customWidth="1"/>
    <col min="21" max="21" width="2" style="7" customWidth="1"/>
    <col min="22" max="22" width="9" style="7" customWidth="1"/>
    <col min="23" max="23" width="2.42578125" style="7" customWidth="1"/>
    <col min="24" max="24" width="2" style="7" customWidth="1"/>
    <col min="25" max="25" width="9" style="7" customWidth="1"/>
    <col min="26" max="26" width="2.42578125" style="7" customWidth="1"/>
    <col min="27" max="27" width="2" style="7" customWidth="1"/>
    <col min="28" max="28" width="9" style="7" customWidth="1"/>
    <col min="29" max="29" width="2.42578125" style="7" customWidth="1"/>
    <col min="30" max="30" width="2" style="7" customWidth="1"/>
    <col min="31" max="31" width="9" style="7" customWidth="1"/>
    <col min="32" max="32" width="2.42578125" style="7" customWidth="1"/>
    <col min="33" max="33" width="2" style="7" customWidth="1"/>
    <col min="34" max="34" width="9" style="7" customWidth="1"/>
    <col min="35" max="35" width="2.42578125" style="7" customWidth="1"/>
    <col min="36" max="36" width="2" style="7" customWidth="1"/>
    <col min="37" max="37" width="9" style="7" customWidth="1"/>
    <col min="38" max="38" width="2.42578125" style="7" customWidth="1"/>
    <col min="39" max="39" width="2" style="7" customWidth="1"/>
    <col min="40" max="40" width="9" style="7" customWidth="1"/>
    <col min="41" max="41" width="2.42578125" style="7" customWidth="1"/>
    <col min="42" max="42" width="2" style="7" customWidth="1"/>
    <col min="43" max="43" width="9" style="7" customWidth="1"/>
    <col min="44" max="44" width="2.42578125" style="7" customWidth="1"/>
    <col min="45" max="45" width="2" style="7" customWidth="1"/>
    <col min="46" max="46" width="9" style="7" customWidth="1"/>
    <col min="47" max="47" width="2.42578125" style="7" customWidth="1"/>
    <col min="48" max="48" width="2" style="7" customWidth="1"/>
    <col min="49" max="49" width="9" style="7" customWidth="1"/>
    <col min="50" max="50" width="2.42578125" style="7" customWidth="1"/>
    <col min="51" max="51" width="2" style="7" customWidth="1"/>
    <col min="52" max="52" width="6.5703125" style="7" customWidth="1"/>
    <col min="53" max="53" width="2.42578125" style="7" customWidth="1"/>
    <col min="54" max="16384" width="9.140625" style="6"/>
  </cols>
  <sheetData>
    <row r="1" spans="1:53" ht="20.45" customHeight="1" x14ac:dyDescent="0.25">
      <c r="B1" s="170" t="s">
        <v>0</v>
      </c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</row>
    <row r="2" spans="1:53" ht="13.15" customHeight="1" x14ac:dyDescent="0.25">
      <c r="A2" s="165"/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</row>
    <row r="3" spans="1:53" ht="19.149999999999999" customHeight="1" x14ac:dyDescent="0.25">
      <c r="A3" s="171" t="s">
        <v>1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2"/>
      <c r="AF3" s="172"/>
      <c r="AG3" s="172"/>
      <c r="AH3" s="172"/>
      <c r="AI3" s="172"/>
      <c r="AJ3" s="172"/>
      <c r="AK3" s="172"/>
      <c r="AL3" s="172"/>
      <c r="AM3" s="172"/>
      <c r="AN3" s="172"/>
      <c r="AO3" s="172"/>
      <c r="AP3" s="172"/>
      <c r="AQ3" s="172"/>
      <c r="AR3" s="172"/>
      <c r="AS3" s="172"/>
      <c r="AT3" s="172"/>
      <c r="AU3" s="172"/>
      <c r="AV3" s="172"/>
      <c r="AW3" s="172"/>
      <c r="AX3" s="172"/>
      <c r="AY3" s="172"/>
      <c r="AZ3" s="172"/>
    </row>
    <row r="4" spans="1:53" ht="13.15" customHeight="1" x14ac:dyDescent="0.25">
      <c r="A4" s="165"/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</row>
    <row r="5" spans="1:53" ht="14.45" customHeight="1" x14ac:dyDescent="0.25">
      <c r="A5" s="173" t="s">
        <v>2</v>
      </c>
      <c r="B5" s="165"/>
      <c r="C5" s="167"/>
      <c r="D5" s="168" t="s">
        <v>3</v>
      </c>
      <c r="E5" s="165"/>
      <c r="F5" s="167"/>
      <c r="G5" s="168" t="s">
        <v>4</v>
      </c>
      <c r="H5" s="165"/>
      <c r="I5" s="167"/>
      <c r="J5" s="168" t="s">
        <v>5</v>
      </c>
      <c r="K5" s="165"/>
      <c r="L5" s="167"/>
      <c r="M5" s="168" t="s">
        <v>6</v>
      </c>
      <c r="N5" s="165"/>
      <c r="O5" s="167"/>
      <c r="P5" s="168" t="s">
        <v>7</v>
      </c>
      <c r="Q5" s="165"/>
      <c r="R5" s="165"/>
      <c r="S5" s="165"/>
      <c r="T5" s="167"/>
      <c r="U5" s="168" t="s">
        <v>8</v>
      </c>
      <c r="V5" s="165"/>
      <c r="W5" s="167"/>
      <c r="X5" s="168" t="s">
        <v>9</v>
      </c>
      <c r="Y5" s="165"/>
      <c r="Z5" s="167"/>
      <c r="AA5" s="168" t="s">
        <v>10</v>
      </c>
      <c r="AB5" s="165"/>
      <c r="AC5" s="167"/>
      <c r="AD5" s="168" t="s">
        <v>11</v>
      </c>
      <c r="AE5" s="165"/>
      <c r="AF5" s="167"/>
      <c r="AG5" s="168" t="s">
        <v>12</v>
      </c>
      <c r="AH5" s="165"/>
      <c r="AI5" s="167"/>
      <c r="AJ5" s="168" t="s">
        <v>13</v>
      </c>
      <c r="AK5" s="165"/>
      <c r="AL5" s="167"/>
      <c r="AM5" s="168" t="s">
        <v>14</v>
      </c>
      <c r="AN5" s="165"/>
      <c r="AO5" s="167"/>
      <c r="AP5" s="168" t="s">
        <v>15</v>
      </c>
      <c r="AQ5" s="165"/>
      <c r="AR5" s="167"/>
      <c r="AS5" s="168" t="s">
        <v>16</v>
      </c>
      <c r="AT5" s="165"/>
      <c r="AU5" s="167"/>
      <c r="AV5" s="168" t="s">
        <v>17</v>
      </c>
      <c r="AW5" s="165"/>
      <c r="AX5" s="167"/>
      <c r="AY5" s="168" t="s">
        <v>18</v>
      </c>
      <c r="AZ5" s="165"/>
      <c r="BA5" s="165"/>
    </row>
    <row r="6" spans="1:53" ht="14.45" customHeight="1" x14ac:dyDescent="0.25">
      <c r="A6" s="156"/>
      <c r="B6" s="156"/>
      <c r="C6" s="156"/>
      <c r="D6" s="169" t="s">
        <v>19</v>
      </c>
      <c r="E6" s="156"/>
      <c r="F6" s="156"/>
      <c r="G6" s="169" t="s">
        <v>19</v>
      </c>
      <c r="H6" s="156"/>
      <c r="I6" s="156"/>
      <c r="J6" s="169" t="s">
        <v>19</v>
      </c>
      <c r="K6" s="156"/>
      <c r="L6" s="156"/>
      <c r="M6" s="169" t="s">
        <v>19</v>
      </c>
      <c r="N6" s="156"/>
      <c r="O6" s="156"/>
      <c r="P6" s="169" t="s">
        <v>19</v>
      </c>
      <c r="Q6" s="156"/>
      <c r="R6" s="156"/>
      <c r="S6" s="156"/>
      <c r="T6" s="156"/>
      <c r="U6" s="169" t="s">
        <v>19</v>
      </c>
      <c r="V6" s="156"/>
      <c r="W6" s="156"/>
      <c r="X6" s="169" t="s">
        <v>19</v>
      </c>
      <c r="Y6" s="156"/>
      <c r="Z6" s="156"/>
      <c r="AA6" s="169" t="s">
        <v>19</v>
      </c>
      <c r="AB6" s="156"/>
      <c r="AC6" s="156"/>
      <c r="AD6" s="169" t="s">
        <v>19</v>
      </c>
      <c r="AE6" s="156"/>
      <c r="AF6" s="156"/>
      <c r="AG6" s="169" t="s">
        <v>19</v>
      </c>
      <c r="AH6" s="156"/>
      <c r="AI6" s="156"/>
      <c r="AJ6" s="169" t="s">
        <v>19</v>
      </c>
      <c r="AK6" s="156"/>
      <c r="AL6" s="156"/>
      <c r="AM6" s="169" t="s">
        <v>19</v>
      </c>
      <c r="AN6" s="156"/>
      <c r="AO6" s="156"/>
      <c r="AP6" s="169" t="s">
        <v>19</v>
      </c>
      <c r="AQ6" s="156"/>
      <c r="AR6" s="156"/>
      <c r="AS6" s="169" t="s">
        <v>19</v>
      </c>
      <c r="AT6" s="156"/>
      <c r="AU6" s="156"/>
      <c r="AV6" s="169" t="s">
        <v>19</v>
      </c>
      <c r="AW6" s="156"/>
      <c r="AX6" s="156"/>
      <c r="AY6" s="169" t="s">
        <v>19</v>
      </c>
      <c r="AZ6" s="156"/>
      <c r="BA6" s="156"/>
    </row>
    <row r="7" spans="1:53" ht="14.45" customHeight="1" x14ac:dyDescent="0.25">
      <c r="A7" s="165"/>
      <c r="B7" s="165"/>
      <c r="C7" s="165"/>
      <c r="D7" s="165"/>
      <c r="E7" s="9" t="s">
        <v>20</v>
      </c>
      <c r="F7" s="165"/>
      <c r="G7" s="165"/>
      <c r="H7" s="9" t="s">
        <v>20</v>
      </c>
      <c r="I7" s="165"/>
      <c r="J7" s="165"/>
      <c r="K7" s="9" t="s">
        <v>20</v>
      </c>
      <c r="L7" s="165"/>
      <c r="M7" s="165"/>
      <c r="N7" s="9" t="s">
        <v>20</v>
      </c>
      <c r="O7" s="165"/>
      <c r="P7" s="165"/>
      <c r="Q7" s="165"/>
      <c r="R7" s="165"/>
      <c r="S7" s="9" t="s">
        <v>20</v>
      </c>
      <c r="T7" s="165"/>
      <c r="U7" s="165"/>
      <c r="V7" s="9" t="s">
        <v>20</v>
      </c>
      <c r="W7" s="165"/>
      <c r="X7" s="165"/>
      <c r="Y7" s="9" t="s">
        <v>20</v>
      </c>
      <c r="Z7" s="165"/>
      <c r="AA7" s="165"/>
      <c r="AB7" s="9" t="s">
        <v>20</v>
      </c>
      <c r="AC7" s="165"/>
      <c r="AD7" s="165"/>
      <c r="AE7" s="9" t="s">
        <v>20</v>
      </c>
      <c r="AF7" s="165"/>
      <c r="AG7" s="165"/>
      <c r="AH7" s="9" t="s">
        <v>20</v>
      </c>
      <c r="AI7" s="165"/>
      <c r="AJ7" s="165"/>
      <c r="AK7" s="9" t="s">
        <v>20</v>
      </c>
      <c r="AL7" s="165"/>
      <c r="AM7" s="165"/>
      <c r="AN7" s="9" t="s">
        <v>20</v>
      </c>
      <c r="AO7" s="165"/>
      <c r="AP7" s="165"/>
      <c r="AQ7" s="9" t="s">
        <v>20</v>
      </c>
      <c r="AR7" s="165"/>
      <c r="AS7" s="165"/>
      <c r="AT7" s="9" t="s">
        <v>20</v>
      </c>
      <c r="AU7" s="165"/>
      <c r="AV7" s="165"/>
      <c r="AW7" s="9" t="s">
        <v>20</v>
      </c>
      <c r="AX7" s="165"/>
      <c r="AY7" s="165"/>
      <c r="AZ7" s="166" t="s">
        <v>20</v>
      </c>
      <c r="BA7" s="165"/>
    </row>
    <row r="8" spans="1:53" ht="14.45" customHeight="1" x14ac:dyDescent="0.25">
      <c r="A8" s="165"/>
      <c r="B8" s="165"/>
      <c r="C8" s="165"/>
      <c r="D8" s="165"/>
      <c r="E8" s="9" t="s">
        <v>21</v>
      </c>
      <c r="F8" s="165"/>
      <c r="G8" s="165"/>
      <c r="I8" s="165"/>
      <c r="J8" s="165"/>
      <c r="K8" s="9" t="s">
        <v>21</v>
      </c>
      <c r="L8" s="165"/>
      <c r="M8" s="165"/>
      <c r="N8" s="9" t="s">
        <v>21</v>
      </c>
      <c r="O8" s="165"/>
      <c r="P8" s="165"/>
      <c r="Q8" s="165"/>
      <c r="R8" s="165"/>
      <c r="S8" s="9" t="s">
        <v>21</v>
      </c>
      <c r="T8" s="165"/>
      <c r="U8" s="165"/>
      <c r="V8" s="9" t="s">
        <v>21</v>
      </c>
      <c r="W8" s="165"/>
      <c r="X8" s="165"/>
      <c r="Z8" s="165"/>
      <c r="AA8" s="165"/>
      <c r="AC8" s="165"/>
      <c r="AD8" s="165"/>
      <c r="AF8" s="165"/>
      <c r="AG8" s="165"/>
      <c r="AI8" s="165"/>
      <c r="AJ8" s="165"/>
      <c r="AL8" s="165"/>
      <c r="AM8" s="165"/>
      <c r="AO8" s="165"/>
      <c r="AP8" s="165"/>
      <c r="AR8" s="165"/>
      <c r="AS8" s="165"/>
      <c r="AU8" s="165"/>
      <c r="AV8" s="165"/>
      <c r="AX8" s="165"/>
      <c r="AY8" s="165"/>
      <c r="AZ8" s="165"/>
      <c r="BA8" s="165"/>
    </row>
    <row r="9" spans="1:53" ht="14.45" customHeight="1" x14ac:dyDescent="0.25">
      <c r="A9" s="156"/>
      <c r="B9" s="156"/>
      <c r="C9" s="156"/>
      <c r="D9" s="156"/>
      <c r="E9" s="8" t="s">
        <v>22</v>
      </c>
      <c r="F9" s="156"/>
      <c r="G9" s="156"/>
      <c r="H9" s="8" t="s">
        <v>22</v>
      </c>
      <c r="I9" s="156"/>
      <c r="J9" s="156"/>
      <c r="K9" s="8" t="s">
        <v>22</v>
      </c>
      <c r="L9" s="156"/>
      <c r="M9" s="156"/>
      <c r="N9" s="8" t="s">
        <v>22</v>
      </c>
      <c r="O9" s="156"/>
      <c r="P9" s="156"/>
      <c r="Q9" s="156"/>
      <c r="R9" s="156"/>
      <c r="S9" s="8" t="s">
        <v>22</v>
      </c>
      <c r="T9" s="156"/>
      <c r="U9" s="156"/>
      <c r="V9" s="8" t="s">
        <v>22</v>
      </c>
      <c r="W9" s="156"/>
      <c r="X9" s="156"/>
      <c r="Y9" s="8" t="s">
        <v>22</v>
      </c>
      <c r="Z9" s="156"/>
      <c r="AA9" s="156"/>
      <c r="AB9" s="8" t="s">
        <v>22</v>
      </c>
      <c r="AC9" s="156"/>
      <c r="AD9" s="156"/>
      <c r="AE9" s="8" t="s">
        <v>22</v>
      </c>
      <c r="AF9" s="156"/>
      <c r="AG9" s="156"/>
      <c r="AH9" s="8" t="s">
        <v>22</v>
      </c>
      <c r="AI9" s="156"/>
      <c r="AJ9" s="156"/>
      <c r="AK9" s="8" t="s">
        <v>22</v>
      </c>
      <c r="AL9" s="156"/>
      <c r="AM9" s="156"/>
      <c r="AN9" s="8" t="s">
        <v>23</v>
      </c>
      <c r="AO9" s="156"/>
      <c r="AP9" s="156"/>
      <c r="AQ9" s="8" t="s">
        <v>23</v>
      </c>
      <c r="AR9" s="156"/>
      <c r="AS9" s="156"/>
      <c r="AT9" s="8" t="s">
        <v>23</v>
      </c>
      <c r="AU9" s="156"/>
      <c r="AV9" s="156"/>
      <c r="AW9" s="8" t="s">
        <v>23</v>
      </c>
      <c r="AX9" s="156"/>
      <c r="AY9" s="156"/>
      <c r="AZ9" s="157" t="s">
        <v>23</v>
      </c>
      <c r="BA9" s="156"/>
    </row>
    <row r="10" spans="1:53" ht="14.45" customHeight="1" x14ac:dyDescent="0.25">
      <c r="A10" s="164" t="s">
        <v>24</v>
      </c>
      <c r="B10" s="156"/>
      <c r="C10" s="162"/>
      <c r="D10" s="156"/>
      <c r="E10" s="156"/>
      <c r="F10" s="162"/>
      <c r="G10" s="156"/>
      <c r="H10" s="156"/>
      <c r="I10" s="162"/>
      <c r="J10" s="156"/>
      <c r="K10" s="156"/>
      <c r="L10" s="162"/>
      <c r="M10" s="156"/>
      <c r="N10" s="156"/>
      <c r="O10" s="162"/>
      <c r="P10" s="156"/>
      <c r="Q10" s="156"/>
      <c r="R10" s="156"/>
      <c r="S10" s="156"/>
      <c r="T10" s="162"/>
      <c r="U10" s="156"/>
      <c r="V10" s="156"/>
      <c r="W10" s="162"/>
      <c r="X10" s="156"/>
      <c r="Y10" s="156"/>
      <c r="Z10" s="162"/>
      <c r="AA10" s="156"/>
      <c r="AB10" s="156"/>
      <c r="AC10" s="162"/>
      <c r="AD10" s="156"/>
      <c r="AE10" s="156"/>
      <c r="AF10" s="162"/>
      <c r="AG10" s="156"/>
      <c r="AH10" s="156"/>
      <c r="AI10" s="162"/>
      <c r="AJ10" s="156"/>
      <c r="AK10" s="156"/>
      <c r="AL10" s="162"/>
      <c r="AM10" s="156"/>
      <c r="AN10" s="156"/>
      <c r="AO10" s="162"/>
      <c r="AP10" s="156"/>
      <c r="AQ10" s="156"/>
      <c r="AR10" s="162"/>
      <c r="AS10" s="156"/>
      <c r="AT10" s="156"/>
      <c r="AU10" s="162"/>
      <c r="AV10" s="156"/>
      <c r="AW10" s="156"/>
      <c r="AX10" s="162"/>
      <c r="AY10" s="156"/>
      <c r="AZ10" s="156"/>
      <c r="BA10" s="156"/>
    </row>
    <row r="11" spans="1:53" ht="14.45" customHeight="1" x14ac:dyDescent="0.25">
      <c r="A11" s="163" t="s">
        <v>25</v>
      </c>
      <c r="B11" s="156"/>
      <c r="C11" s="156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  <c r="AX11" s="156"/>
      <c r="AY11" s="156"/>
      <c r="AZ11" s="156"/>
      <c r="BA11" s="156"/>
    </row>
    <row r="12" spans="1:53" ht="14.45" customHeight="1" x14ac:dyDescent="0.25">
      <c r="A12" s="163" t="s">
        <v>26</v>
      </c>
      <c r="B12" s="156"/>
      <c r="C12" s="15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156"/>
      <c r="AN12" s="156"/>
      <c r="AO12" s="156"/>
      <c r="AP12" s="156"/>
      <c r="AQ12" s="156"/>
      <c r="AR12" s="156"/>
      <c r="AS12" s="156"/>
      <c r="AT12" s="156"/>
      <c r="AU12" s="156"/>
      <c r="AV12" s="156"/>
      <c r="AW12" s="156"/>
      <c r="AX12" s="156"/>
      <c r="AY12" s="156"/>
      <c r="AZ12" s="156"/>
      <c r="BA12" s="156"/>
    </row>
    <row r="13" spans="1:53" ht="14.45" customHeight="1" x14ac:dyDescent="0.25">
      <c r="A13" s="158" t="s">
        <v>27</v>
      </c>
      <c r="B13" s="156"/>
      <c r="C13" s="160">
        <v>843192.45</v>
      </c>
      <c r="D13" s="161"/>
      <c r="E13" s="161"/>
      <c r="F13" s="159">
        <v>633037.92000000004</v>
      </c>
      <c r="G13" s="156"/>
      <c r="H13" s="156"/>
      <c r="I13" s="159">
        <v>547823.09</v>
      </c>
      <c r="J13" s="156"/>
      <c r="K13" s="156"/>
      <c r="L13" s="159">
        <v>522638.44</v>
      </c>
      <c r="M13" s="156"/>
      <c r="N13" s="156"/>
      <c r="O13" s="159">
        <v>486616.88</v>
      </c>
      <c r="P13" s="156"/>
      <c r="Q13" s="156"/>
      <c r="R13" s="156"/>
      <c r="S13" s="156"/>
      <c r="T13" s="159">
        <v>430344.25</v>
      </c>
      <c r="U13" s="156"/>
      <c r="V13" s="156"/>
      <c r="W13" s="159">
        <v>322579.96000000002</v>
      </c>
      <c r="X13" s="156"/>
      <c r="Y13" s="156"/>
      <c r="Z13" s="159">
        <v>326685.25</v>
      </c>
      <c r="AA13" s="156"/>
      <c r="AB13" s="156"/>
      <c r="AC13" s="159">
        <v>354893.41</v>
      </c>
      <c r="AD13" s="156"/>
      <c r="AE13" s="156"/>
      <c r="AF13" s="159">
        <v>376141.61</v>
      </c>
      <c r="AG13" s="156"/>
      <c r="AH13" s="156"/>
      <c r="AI13" s="159">
        <v>394007.44</v>
      </c>
      <c r="AJ13" s="156"/>
      <c r="AK13" s="156"/>
      <c r="AL13" s="157" t="s">
        <v>28</v>
      </c>
      <c r="AM13" s="156"/>
      <c r="AN13" s="156"/>
      <c r="AO13" s="157" t="s">
        <v>28</v>
      </c>
      <c r="AP13" s="156"/>
      <c r="AQ13" s="156"/>
      <c r="AR13" s="157" t="s">
        <v>28</v>
      </c>
      <c r="AS13" s="156"/>
      <c r="AT13" s="156"/>
      <c r="AU13" s="157" t="s">
        <v>28</v>
      </c>
      <c r="AV13" s="156"/>
      <c r="AW13" s="156"/>
      <c r="AX13" s="157" t="s">
        <v>28</v>
      </c>
      <c r="AY13" s="156"/>
      <c r="AZ13" s="156"/>
      <c r="BA13" s="156"/>
    </row>
    <row r="14" spans="1:53" ht="14.45" customHeight="1" x14ac:dyDescent="0.25">
      <c r="A14" s="158" t="s">
        <v>29</v>
      </c>
      <c r="B14" s="156"/>
      <c r="C14" s="159">
        <v>0</v>
      </c>
      <c r="D14" s="156"/>
      <c r="E14" s="156"/>
      <c r="F14" s="159">
        <v>0</v>
      </c>
      <c r="G14" s="156"/>
      <c r="H14" s="156"/>
      <c r="I14" s="159">
        <v>0</v>
      </c>
      <c r="J14" s="156"/>
      <c r="K14" s="156"/>
      <c r="L14" s="159">
        <v>0</v>
      </c>
      <c r="M14" s="156"/>
      <c r="N14" s="156"/>
      <c r="O14" s="159">
        <v>0</v>
      </c>
      <c r="P14" s="156"/>
      <c r="Q14" s="156"/>
      <c r="R14" s="156"/>
      <c r="S14" s="156"/>
      <c r="T14" s="159">
        <v>0</v>
      </c>
      <c r="U14" s="156"/>
      <c r="V14" s="156"/>
      <c r="W14" s="159">
        <v>0</v>
      </c>
      <c r="X14" s="156"/>
      <c r="Y14" s="156"/>
      <c r="Z14" s="159">
        <v>0</v>
      </c>
      <c r="AA14" s="156"/>
      <c r="AB14" s="156"/>
      <c r="AC14" s="159">
        <v>0</v>
      </c>
      <c r="AD14" s="156"/>
      <c r="AE14" s="156"/>
      <c r="AF14" s="159">
        <v>0</v>
      </c>
      <c r="AG14" s="156"/>
      <c r="AH14" s="156"/>
      <c r="AI14" s="159">
        <v>0</v>
      </c>
      <c r="AJ14" s="156"/>
      <c r="AK14" s="156"/>
      <c r="AL14" s="157" t="s">
        <v>28</v>
      </c>
      <c r="AM14" s="156"/>
      <c r="AN14" s="156"/>
      <c r="AO14" s="157" t="s">
        <v>28</v>
      </c>
      <c r="AP14" s="156"/>
      <c r="AQ14" s="156"/>
      <c r="AR14" s="157" t="s">
        <v>28</v>
      </c>
      <c r="AS14" s="156"/>
      <c r="AT14" s="156"/>
      <c r="AU14" s="157" t="s">
        <v>28</v>
      </c>
      <c r="AV14" s="156"/>
      <c r="AW14" s="156"/>
      <c r="AX14" s="157" t="s">
        <v>28</v>
      </c>
      <c r="AY14" s="156"/>
      <c r="AZ14" s="156"/>
      <c r="BA14" s="156"/>
    </row>
    <row r="15" spans="1:53" ht="14.45" customHeight="1" x14ac:dyDescent="0.25">
      <c r="A15" s="158" t="s">
        <v>30</v>
      </c>
      <c r="B15" s="156"/>
      <c r="C15" s="159">
        <v>0</v>
      </c>
      <c r="D15" s="156"/>
      <c r="E15" s="156"/>
      <c r="F15" s="159">
        <v>0</v>
      </c>
      <c r="G15" s="156"/>
      <c r="H15" s="156"/>
      <c r="I15" s="159">
        <v>0</v>
      </c>
      <c r="J15" s="156"/>
      <c r="K15" s="156"/>
      <c r="L15" s="159">
        <v>0</v>
      </c>
      <c r="M15" s="156"/>
      <c r="N15" s="156"/>
      <c r="O15" s="159">
        <v>0</v>
      </c>
      <c r="P15" s="156"/>
      <c r="Q15" s="156"/>
      <c r="R15" s="156"/>
      <c r="S15" s="156"/>
      <c r="T15" s="159">
        <v>0</v>
      </c>
      <c r="U15" s="156"/>
      <c r="V15" s="156"/>
      <c r="W15" s="159">
        <v>0</v>
      </c>
      <c r="X15" s="156"/>
      <c r="Y15" s="156"/>
      <c r="Z15" s="159">
        <v>0</v>
      </c>
      <c r="AA15" s="156"/>
      <c r="AB15" s="156"/>
      <c r="AC15" s="159">
        <v>0</v>
      </c>
      <c r="AD15" s="156"/>
      <c r="AE15" s="156"/>
      <c r="AF15" s="159">
        <v>0</v>
      </c>
      <c r="AG15" s="156"/>
      <c r="AH15" s="156"/>
      <c r="AI15" s="159">
        <v>0</v>
      </c>
      <c r="AJ15" s="156"/>
      <c r="AK15" s="156"/>
      <c r="AL15" s="157" t="s">
        <v>28</v>
      </c>
      <c r="AM15" s="156"/>
      <c r="AN15" s="156"/>
      <c r="AO15" s="157" t="s">
        <v>28</v>
      </c>
      <c r="AP15" s="156"/>
      <c r="AQ15" s="156"/>
      <c r="AR15" s="157" t="s">
        <v>28</v>
      </c>
      <c r="AS15" s="156"/>
      <c r="AT15" s="156"/>
      <c r="AU15" s="157" t="s">
        <v>28</v>
      </c>
      <c r="AV15" s="156"/>
      <c r="AW15" s="156"/>
      <c r="AX15" s="157" t="s">
        <v>28</v>
      </c>
      <c r="AY15" s="156"/>
      <c r="AZ15" s="156"/>
      <c r="BA15" s="156"/>
    </row>
    <row r="16" spans="1:53" ht="14.45" customHeight="1" x14ac:dyDescent="0.25">
      <c r="A16" s="158" t="s">
        <v>31</v>
      </c>
      <c r="B16" s="156"/>
      <c r="C16" s="159">
        <v>1233</v>
      </c>
      <c r="D16" s="156"/>
      <c r="E16" s="156"/>
      <c r="F16" s="159">
        <v>2577.67</v>
      </c>
      <c r="G16" s="156"/>
      <c r="H16" s="156"/>
      <c r="I16" s="159">
        <v>3922.34</v>
      </c>
      <c r="J16" s="156"/>
      <c r="K16" s="156"/>
      <c r="L16" s="159">
        <v>0</v>
      </c>
      <c r="M16" s="156"/>
      <c r="N16" s="156"/>
      <c r="O16" s="159">
        <v>0</v>
      </c>
      <c r="P16" s="156"/>
      <c r="Q16" s="156"/>
      <c r="R16" s="156"/>
      <c r="S16" s="156"/>
      <c r="T16" s="159">
        <v>0</v>
      </c>
      <c r="U16" s="156"/>
      <c r="V16" s="156"/>
      <c r="W16" s="159">
        <v>0</v>
      </c>
      <c r="X16" s="156"/>
      <c r="Y16" s="156"/>
      <c r="Z16" s="159">
        <v>0</v>
      </c>
      <c r="AA16" s="156"/>
      <c r="AB16" s="156"/>
      <c r="AC16" s="159">
        <v>0</v>
      </c>
      <c r="AD16" s="156"/>
      <c r="AE16" s="156"/>
      <c r="AF16" s="159">
        <v>0</v>
      </c>
      <c r="AG16" s="156"/>
      <c r="AH16" s="156"/>
      <c r="AI16" s="159">
        <v>0</v>
      </c>
      <c r="AJ16" s="156"/>
      <c r="AK16" s="156"/>
      <c r="AL16" s="157" t="s">
        <v>28</v>
      </c>
      <c r="AM16" s="156"/>
      <c r="AN16" s="156"/>
      <c r="AO16" s="157" t="s">
        <v>28</v>
      </c>
      <c r="AP16" s="156"/>
      <c r="AQ16" s="156"/>
      <c r="AR16" s="157" t="s">
        <v>28</v>
      </c>
      <c r="AS16" s="156"/>
      <c r="AT16" s="156"/>
      <c r="AU16" s="157" t="s">
        <v>28</v>
      </c>
      <c r="AV16" s="156"/>
      <c r="AW16" s="156"/>
      <c r="AX16" s="157" t="s">
        <v>28</v>
      </c>
      <c r="AY16" s="156"/>
      <c r="AZ16" s="156"/>
      <c r="BA16" s="156"/>
    </row>
    <row r="17" spans="1:53" ht="14.45" customHeight="1" x14ac:dyDescent="0.25">
      <c r="A17" s="158" t="s">
        <v>32</v>
      </c>
      <c r="B17" s="156"/>
      <c r="C17" s="159">
        <v>0</v>
      </c>
      <c r="D17" s="156"/>
      <c r="E17" s="156"/>
      <c r="F17" s="159">
        <v>0</v>
      </c>
      <c r="G17" s="156"/>
      <c r="H17" s="156"/>
      <c r="I17" s="159">
        <v>0</v>
      </c>
      <c r="J17" s="156"/>
      <c r="K17" s="156"/>
      <c r="L17" s="159">
        <v>0</v>
      </c>
      <c r="M17" s="156"/>
      <c r="N17" s="156"/>
      <c r="O17" s="159">
        <v>0</v>
      </c>
      <c r="P17" s="156"/>
      <c r="Q17" s="156"/>
      <c r="R17" s="156"/>
      <c r="S17" s="156"/>
      <c r="T17" s="159">
        <v>0</v>
      </c>
      <c r="U17" s="156"/>
      <c r="V17" s="156"/>
      <c r="W17" s="159">
        <v>0</v>
      </c>
      <c r="X17" s="156"/>
      <c r="Y17" s="156"/>
      <c r="Z17" s="159">
        <v>0</v>
      </c>
      <c r="AA17" s="156"/>
      <c r="AB17" s="156"/>
      <c r="AC17" s="159">
        <v>0</v>
      </c>
      <c r="AD17" s="156"/>
      <c r="AE17" s="156"/>
      <c r="AF17" s="159">
        <v>0</v>
      </c>
      <c r="AG17" s="156"/>
      <c r="AH17" s="156"/>
      <c r="AI17" s="159">
        <v>0</v>
      </c>
      <c r="AJ17" s="156"/>
      <c r="AK17" s="156"/>
      <c r="AL17" s="157" t="s">
        <v>28</v>
      </c>
      <c r="AM17" s="156"/>
      <c r="AN17" s="156"/>
      <c r="AO17" s="157" t="s">
        <v>28</v>
      </c>
      <c r="AP17" s="156"/>
      <c r="AQ17" s="156"/>
      <c r="AR17" s="157" t="s">
        <v>28</v>
      </c>
      <c r="AS17" s="156"/>
      <c r="AT17" s="156"/>
      <c r="AU17" s="157" t="s">
        <v>28</v>
      </c>
      <c r="AV17" s="156"/>
      <c r="AW17" s="156"/>
      <c r="AX17" s="157" t="s">
        <v>28</v>
      </c>
      <c r="AY17" s="156"/>
      <c r="AZ17" s="156"/>
      <c r="BA17" s="156"/>
    </row>
    <row r="18" spans="1:53" ht="27.6" customHeight="1" x14ac:dyDescent="0.25">
      <c r="A18" s="158" t="s">
        <v>33</v>
      </c>
      <c r="B18" s="156"/>
      <c r="C18" s="159">
        <v>0</v>
      </c>
      <c r="D18" s="156"/>
      <c r="E18" s="156"/>
      <c r="F18" s="159">
        <v>0</v>
      </c>
      <c r="G18" s="156"/>
      <c r="H18" s="156"/>
      <c r="I18" s="159">
        <v>0</v>
      </c>
      <c r="J18" s="156"/>
      <c r="K18" s="156"/>
      <c r="L18" s="159">
        <v>0</v>
      </c>
      <c r="M18" s="156"/>
      <c r="N18" s="156"/>
      <c r="O18" s="159">
        <v>0</v>
      </c>
      <c r="P18" s="156"/>
      <c r="Q18" s="156"/>
      <c r="R18" s="156"/>
      <c r="S18" s="156"/>
      <c r="T18" s="159">
        <v>0</v>
      </c>
      <c r="U18" s="156"/>
      <c r="V18" s="156"/>
      <c r="W18" s="159">
        <v>0</v>
      </c>
      <c r="X18" s="156"/>
      <c r="Y18" s="156"/>
      <c r="Z18" s="159">
        <v>0</v>
      </c>
      <c r="AA18" s="156"/>
      <c r="AB18" s="156"/>
      <c r="AC18" s="159">
        <v>0</v>
      </c>
      <c r="AD18" s="156"/>
      <c r="AE18" s="156"/>
      <c r="AF18" s="159">
        <v>0</v>
      </c>
      <c r="AG18" s="156"/>
      <c r="AH18" s="156"/>
      <c r="AI18" s="159">
        <v>0</v>
      </c>
      <c r="AJ18" s="156"/>
      <c r="AK18" s="156"/>
      <c r="AL18" s="157" t="s">
        <v>28</v>
      </c>
      <c r="AM18" s="156"/>
      <c r="AN18" s="156"/>
      <c r="AO18" s="157" t="s">
        <v>28</v>
      </c>
      <c r="AP18" s="156"/>
      <c r="AQ18" s="156"/>
      <c r="AR18" s="157" t="s">
        <v>28</v>
      </c>
      <c r="AS18" s="156"/>
      <c r="AT18" s="156"/>
      <c r="AU18" s="157" t="s">
        <v>28</v>
      </c>
      <c r="AV18" s="156"/>
      <c r="AW18" s="156"/>
      <c r="AX18" s="157" t="s">
        <v>28</v>
      </c>
      <c r="AY18" s="156"/>
      <c r="AZ18" s="156"/>
      <c r="BA18" s="156"/>
    </row>
    <row r="19" spans="1:53" ht="14.45" customHeight="1" x14ac:dyDescent="0.25">
      <c r="A19" s="158" t="s">
        <v>34</v>
      </c>
      <c r="B19" s="156"/>
      <c r="C19" s="159">
        <v>0</v>
      </c>
      <c r="D19" s="156"/>
      <c r="E19" s="156"/>
      <c r="F19" s="159">
        <v>0</v>
      </c>
      <c r="G19" s="156"/>
      <c r="H19" s="156"/>
      <c r="I19" s="159">
        <v>0</v>
      </c>
      <c r="J19" s="156"/>
      <c r="K19" s="156"/>
      <c r="L19" s="159">
        <v>0</v>
      </c>
      <c r="M19" s="156"/>
      <c r="N19" s="156"/>
      <c r="O19" s="159">
        <v>0</v>
      </c>
      <c r="P19" s="156"/>
      <c r="Q19" s="156"/>
      <c r="R19" s="156"/>
      <c r="S19" s="156"/>
      <c r="T19" s="159">
        <v>997.59</v>
      </c>
      <c r="U19" s="156"/>
      <c r="V19" s="156"/>
      <c r="W19" s="159">
        <v>997.59</v>
      </c>
      <c r="X19" s="156"/>
      <c r="Y19" s="156"/>
      <c r="Z19" s="159">
        <v>997.59</v>
      </c>
      <c r="AA19" s="156"/>
      <c r="AB19" s="156"/>
      <c r="AC19" s="159">
        <v>997.59</v>
      </c>
      <c r="AD19" s="156"/>
      <c r="AE19" s="156"/>
      <c r="AF19" s="159">
        <v>997.59</v>
      </c>
      <c r="AG19" s="156"/>
      <c r="AH19" s="156"/>
      <c r="AI19" s="159">
        <v>997.59</v>
      </c>
      <c r="AJ19" s="156"/>
      <c r="AK19" s="156"/>
      <c r="AL19" s="157" t="s">
        <v>28</v>
      </c>
      <c r="AM19" s="156"/>
      <c r="AN19" s="156"/>
      <c r="AO19" s="157" t="s">
        <v>28</v>
      </c>
      <c r="AP19" s="156"/>
      <c r="AQ19" s="156"/>
      <c r="AR19" s="157" t="s">
        <v>28</v>
      </c>
      <c r="AS19" s="156"/>
      <c r="AT19" s="156"/>
      <c r="AU19" s="157" t="s">
        <v>28</v>
      </c>
      <c r="AV19" s="156"/>
      <c r="AW19" s="156"/>
      <c r="AX19" s="157" t="s">
        <v>28</v>
      </c>
      <c r="AY19" s="156"/>
      <c r="AZ19" s="156"/>
      <c r="BA19" s="156"/>
    </row>
    <row r="20" spans="1:53" ht="14.45" customHeight="1" x14ac:dyDescent="0.25">
      <c r="A20" s="158" t="s">
        <v>35</v>
      </c>
      <c r="B20" s="156"/>
      <c r="C20" s="159">
        <v>0</v>
      </c>
      <c r="D20" s="156"/>
      <c r="E20" s="156"/>
      <c r="F20" s="159">
        <v>0</v>
      </c>
      <c r="G20" s="156"/>
      <c r="H20" s="156"/>
      <c r="I20" s="159">
        <v>0</v>
      </c>
      <c r="J20" s="156"/>
      <c r="K20" s="156"/>
      <c r="L20" s="159">
        <v>0</v>
      </c>
      <c r="M20" s="156"/>
      <c r="N20" s="156"/>
      <c r="O20" s="159">
        <v>0</v>
      </c>
      <c r="P20" s="156"/>
      <c r="Q20" s="156"/>
      <c r="R20" s="156"/>
      <c r="S20" s="156"/>
      <c r="T20" s="159">
        <v>0</v>
      </c>
      <c r="U20" s="156"/>
      <c r="V20" s="156"/>
      <c r="W20" s="159">
        <v>0</v>
      </c>
      <c r="X20" s="156"/>
      <c r="Y20" s="156"/>
      <c r="Z20" s="159">
        <v>0</v>
      </c>
      <c r="AA20" s="156"/>
      <c r="AB20" s="156"/>
      <c r="AC20" s="159">
        <v>0</v>
      </c>
      <c r="AD20" s="156"/>
      <c r="AE20" s="156"/>
      <c r="AF20" s="159">
        <v>0</v>
      </c>
      <c r="AG20" s="156"/>
      <c r="AH20" s="156"/>
      <c r="AI20" s="159">
        <v>0</v>
      </c>
      <c r="AJ20" s="156"/>
      <c r="AK20" s="156"/>
      <c r="AL20" s="157" t="s">
        <v>28</v>
      </c>
      <c r="AM20" s="156"/>
      <c r="AN20" s="156"/>
      <c r="AO20" s="157" t="s">
        <v>28</v>
      </c>
      <c r="AP20" s="156"/>
      <c r="AQ20" s="156"/>
      <c r="AR20" s="157" t="s">
        <v>28</v>
      </c>
      <c r="AS20" s="156"/>
      <c r="AT20" s="156"/>
      <c r="AU20" s="157" t="s">
        <v>28</v>
      </c>
      <c r="AV20" s="156"/>
      <c r="AW20" s="156"/>
      <c r="AX20" s="157" t="s">
        <v>28</v>
      </c>
      <c r="AY20" s="156"/>
      <c r="AZ20" s="156"/>
      <c r="BA20" s="156"/>
    </row>
    <row r="21" spans="1:53" ht="14.45" customHeight="1" x14ac:dyDescent="0.25">
      <c r="A21" s="158" t="s">
        <v>36</v>
      </c>
      <c r="B21" s="156"/>
      <c r="C21" s="159">
        <v>312572.24</v>
      </c>
      <c r="D21" s="156"/>
      <c r="E21" s="156"/>
      <c r="F21" s="159">
        <v>8120.97</v>
      </c>
      <c r="G21" s="156"/>
      <c r="H21" s="156"/>
      <c r="I21" s="159">
        <v>0</v>
      </c>
      <c r="J21" s="156"/>
      <c r="K21" s="156"/>
      <c r="L21" s="159">
        <v>0</v>
      </c>
      <c r="M21" s="156"/>
      <c r="N21" s="156"/>
      <c r="O21" s="159">
        <v>2525.7600000000002</v>
      </c>
      <c r="P21" s="156"/>
      <c r="Q21" s="156"/>
      <c r="R21" s="156"/>
      <c r="S21" s="156"/>
      <c r="T21" s="159">
        <v>511.07</v>
      </c>
      <c r="U21" s="156"/>
      <c r="V21" s="156"/>
      <c r="W21" s="159">
        <v>120.26</v>
      </c>
      <c r="X21" s="156"/>
      <c r="Y21" s="156"/>
      <c r="Z21" s="159">
        <v>0.24</v>
      </c>
      <c r="AA21" s="156"/>
      <c r="AB21" s="156"/>
      <c r="AC21" s="159">
        <v>0</v>
      </c>
      <c r="AD21" s="156"/>
      <c r="AE21" s="156"/>
      <c r="AF21" s="159">
        <v>0</v>
      </c>
      <c r="AG21" s="156"/>
      <c r="AH21" s="156"/>
      <c r="AI21" s="159">
        <v>0</v>
      </c>
      <c r="AJ21" s="156"/>
      <c r="AK21" s="156"/>
      <c r="AL21" s="157" t="s">
        <v>28</v>
      </c>
      <c r="AM21" s="156"/>
      <c r="AN21" s="156"/>
      <c r="AO21" s="157" t="s">
        <v>28</v>
      </c>
      <c r="AP21" s="156"/>
      <c r="AQ21" s="156"/>
      <c r="AR21" s="157" t="s">
        <v>28</v>
      </c>
      <c r="AS21" s="156"/>
      <c r="AT21" s="156"/>
      <c r="AU21" s="157" t="s">
        <v>28</v>
      </c>
      <c r="AV21" s="156"/>
      <c r="AW21" s="156"/>
      <c r="AX21" s="157" t="s">
        <v>28</v>
      </c>
      <c r="AY21" s="156"/>
      <c r="AZ21" s="156"/>
      <c r="BA21" s="156"/>
    </row>
    <row r="22" spans="1:53" ht="14.45" customHeight="1" x14ac:dyDescent="0.25">
      <c r="A22" s="158" t="s">
        <v>37</v>
      </c>
      <c r="B22" s="156"/>
      <c r="C22" s="159">
        <v>0</v>
      </c>
      <c r="D22" s="156"/>
      <c r="E22" s="156"/>
      <c r="F22" s="159">
        <v>0</v>
      </c>
      <c r="G22" s="156"/>
      <c r="H22" s="156"/>
      <c r="I22" s="159">
        <v>0</v>
      </c>
      <c r="J22" s="156"/>
      <c r="K22" s="156"/>
      <c r="L22" s="159">
        <v>0</v>
      </c>
      <c r="M22" s="156"/>
      <c r="N22" s="156"/>
      <c r="O22" s="159">
        <v>0</v>
      </c>
      <c r="P22" s="156"/>
      <c r="Q22" s="156"/>
      <c r="R22" s="156"/>
      <c r="S22" s="156"/>
      <c r="T22" s="159">
        <v>0</v>
      </c>
      <c r="U22" s="156"/>
      <c r="V22" s="156"/>
      <c r="W22" s="159">
        <v>0</v>
      </c>
      <c r="X22" s="156"/>
      <c r="Y22" s="156"/>
      <c r="Z22" s="159">
        <v>0</v>
      </c>
      <c r="AA22" s="156"/>
      <c r="AB22" s="156"/>
      <c r="AC22" s="159">
        <v>0</v>
      </c>
      <c r="AD22" s="156"/>
      <c r="AE22" s="156"/>
      <c r="AF22" s="159">
        <v>0</v>
      </c>
      <c r="AG22" s="156"/>
      <c r="AH22" s="156"/>
      <c r="AI22" s="159">
        <v>0</v>
      </c>
      <c r="AJ22" s="156"/>
      <c r="AK22" s="156"/>
      <c r="AL22" s="157" t="s">
        <v>28</v>
      </c>
      <c r="AM22" s="156"/>
      <c r="AN22" s="156"/>
      <c r="AO22" s="157" t="s">
        <v>28</v>
      </c>
      <c r="AP22" s="156"/>
      <c r="AQ22" s="156"/>
      <c r="AR22" s="157" t="s">
        <v>28</v>
      </c>
      <c r="AS22" s="156"/>
      <c r="AT22" s="156"/>
      <c r="AU22" s="157" t="s">
        <v>28</v>
      </c>
      <c r="AV22" s="156"/>
      <c r="AW22" s="156"/>
      <c r="AX22" s="157" t="s">
        <v>28</v>
      </c>
      <c r="AY22" s="156"/>
      <c r="AZ22" s="156"/>
      <c r="BA22" s="156"/>
    </row>
    <row r="23" spans="1:53" ht="14.45" customHeight="1" x14ac:dyDescent="0.25">
      <c r="A23" s="158" t="s">
        <v>38</v>
      </c>
      <c r="B23" s="156"/>
      <c r="C23" s="159">
        <v>15000</v>
      </c>
      <c r="D23" s="156"/>
      <c r="E23" s="156"/>
      <c r="F23" s="159">
        <v>15000</v>
      </c>
      <c r="G23" s="156"/>
      <c r="H23" s="156"/>
      <c r="I23" s="159">
        <v>6441.86</v>
      </c>
      <c r="J23" s="156"/>
      <c r="K23" s="156"/>
      <c r="L23" s="159">
        <v>3796.02</v>
      </c>
      <c r="M23" s="156"/>
      <c r="N23" s="156"/>
      <c r="O23" s="159">
        <v>0</v>
      </c>
      <c r="P23" s="156"/>
      <c r="Q23" s="156"/>
      <c r="R23" s="156"/>
      <c r="S23" s="156"/>
      <c r="T23" s="159">
        <v>0</v>
      </c>
      <c r="U23" s="156"/>
      <c r="V23" s="156"/>
      <c r="W23" s="159">
        <v>0</v>
      </c>
      <c r="X23" s="156"/>
      <c r="Y23" s="156"/>
      <c r="Z23" s="159">
        <v>0</v>
      </c>
      <c r="AA23" s="156"/>
      <c r="AB23" s="156"/>
      <c r="AC23" s="159">
        <v>0</v>
      </c>
      <c r="AD23" s="156"/>
      <c r="AE23" s="156"/>
      <c r="AF23" s="159">
        <v>0</v>
      </c>
      <c r="AG23" s="156"/>
      <c r="AH23" s="156"/>
      <c r="AI23" s="159">
        <v>0</v>
      </c>
      <c r="AJ23" s="156"/>
      <c r="AK23" s="156"/>
      <c r="AL23" s="157" t="s">
        <v>28</v>
      </c>
      <c r="AM23" s="156"/>
      <c r="AN23" s="156"/>
      <c r="AO23" s="157" t="s">
        <v>28</v>
      </c>
      <c r="AP23" s="156"/>
      <c r="AQ23" s="156"/>
      <c r="AR23" s="157" t="s">
        <v>28</v>
      </c>
      <c r="AS23" s="156"/>
      <c r="AT23" s="156"/>
      <c r="AU23" s="157" t="s">
        <v>28</v>
      </c>
      <c r="AV23" s="156"/>
      <c r="AW23" s="156"/>
      <c r="AX23" s="157" t="s">
        <v>28</v>
      </c>
      <c r="AY23" s="156"/>
      <c r="AZ23" s="156"/>
      <c r="BA23" s="156"/>
    </row>
    <row r="24" spans="1:53" ht="14.45" customHeight="1" x14ac:dyDescent="0.25">
      <c r="A24" s="158" t="s">
        <v>39</v>
      </c>
      <c r="B24" s="156"/>
      <c r="C24" s="159">
        <v>1171997.69</v>
      </c>
      <c r="D24" s="156"/>
      <c r="E24" s="156"/>
      <c r="F24" s="159">
        <v>658736.56000000006</v>
      </c>
      <c r="G24" s="156"/>
      <c r="H24" s="156"/>
      <c r="I24" s="159">
        <v>558187.29</v>
      </c>
      <c r="J24" s="156"/>
      <c r="K24" s="156"/>
      <c r="L24" s="159">
        <v>526434.45900000003</v>
      </c>
      <c r="M24" s="156"/>
      <c r="N24" s="156"/>
      <c r="O24" s="159">
        <v>489142.64</v>
      </c>
      <c r="P24" s="156"/>
      <c r="Q24" s="156"/>
      <c r="R24" s="156"/>
      <c r="S24" s="156"/>
      <c r="T24" s="159">
        <v>431852.91</v>
      </c>
      <c r="U24" s="156"/>
      <c r="V24" s="156"/>
      <c r="W24" s="159">
        <v>323697.81</v>
      </c>
      <c r="X24" s="156"/>
      <c r="Y24" s="156"/>
      <c r="Z24" s="159">
        <v>327683.08</v>
      </c>
      <c r="AA24" s="156"/>
      <c r="AB24" s="156"/>
      <c r="AC24" s="159">
        <v>355891</v>
      </c>
      <c r="AD24" s="156"/>
      <c r="AE24" s="156"/>
      <c r="AF24" s="159">
        <v>377139.20000000001</v>
      </c>
      <c r="AG24" s="156"/>
      <c r="AH24" s="156"/>
      <c r="AI24" s="159">
        <v>395005.03</v>
      </c>
      <c r="AJ24" s="156"/>
      <c r="AK24" s="156"/>
      <c r="AL24" s="157" t="s">
        <v>28</v>
      </c>
      <c r="AM24" s="156"/>
      <c r="AN24" s="156"/>
      <c r="AO24" s="157" t="s">
        <v>28</v>
      </c>
      <c r="AP24" s="156"/>
      <c r="AQ24" s="156"/>
      <c r="AR24" s="157" t="s">
        <v>28</v>
      </c>
      <c r="AS24" s="156"/>
      <c r="AT24" s="156"/>
      <c r="AU24" s="157" t="s">
        <v>28</v>
      </c>
      <c r="AV24" s="156"/>
      <c r="AW24" s="156"/>
      <c r="AX24" s="157" t="s">
        <v>28</v>
      </c>
      <c r="AY24" s="156"/>
      <c r="AZ24" s="156"/>
      <c r="BA24" s="156"/>
    </row>
    <row r="25" spans="1:53" ht="14.45" customHeight="1" x14ac:dyDescent="0.25">
      <c r="A25" s="156"/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56"/>
      <c r="AA25" s="156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156"/>
      <c r="AN25" s="156"/>
      <c r="AO25" s="156"/>
      <c r="AP25" s="156"/>
      <c r="AQ25" s="156"/>
      <c r="AR25" s="156"/>
      <c r="AS25" s="156"/>
      <c r="AT25" s="156"/>
      <c r="AU25" s="156"/>
      <c r="AV25" s="156"/>
      <c r="AW25" s="156"/>
      <c r="AX25" s="156"/>
      <c r="AY25" s="156"/>
      <c r="AZ25" s="156"/>
      <c r="BA25" s="156"/>
    </row>
    <row r="26" spans="1:53" ht="14.45" customHeight="1" x14ac:dyDescent="0.25">
      <c r="A26" s="163" t="s">
        <v>40</v>
      </c>
      <c r="B26" s="156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156"/>
      <c r="AN26" s="156"/>
      <c r="AO26" s="156"/>
      <c r="AP26" s="156"/>
      <c r="AQ26" s="156"/>
      <c r="AR26" s="156"/>
      <c r="AS26" s="156"/>
      <c r="AT26" s="156"/>
      <c r="AU26" s="156"/>
      <c r="AV26" s="156"/>
      <c r="AW26" s="156"/>
      <c r="AX26" s="156"/>
      <c r="AY26" s="156"/>
      <c r="AZ26" s="156"/>
      <c r="BA26" s="156"/>
    </row>
    <row r="27" spans="1:53" ht="14.45" customHeight="1" x14ac:dyDescent="0.25">
      <c r="A27" s="158" t="s">
        <v>41</v>
      </c>
      <c r="B27" s="156"/>
      <c r="C27" s="160">
        <v>295438.45</v>
      </c>
      <c r="D27" s="161"/>
      <c r="E27" s="161"/>
      <c r="F27" s="159">
        <v>38950.42</v>
      </c>
      <c r="G27" s="156"/>
      <c r="H27" s="156"/>
      <c r="I27" s="159">
        <v>37854.93</v>
      </c>
      <c r="J27" s="156"/>
      <c r="K27" s="156"/>
      <c r="L27" s="159">
        <v>34711.58</v>
      </c>
      <c r="M27" s="156"/>
      <c r="N27" s="156"/>
      <c r="O27" s="159">
        <v>71429.78</v>
      </c>
      <c r="P27" s="156"/>
      <c r="Q27" s="156"/>
      <c r="R27" s="156"/>
      <c r="S27" s="156"/>
      <c r="T27" s="159">
        <v>58782.99</v>
      </c>
      <c r="U27" s="156"/>
      <c r="V27" s="156"/>
      <c r="W27" s="159">
        <v>203322.97</v>
      </c>
      <c r="X27" s="156"/>
      <c r="Y27" s="156"/>
      <c r="Z27" s="159">
        <v>148803.21</v>
      </c>
      <c r="AA27" s="156"/>
      <c r="AB27" s="156"/>
      <c r="AC27" s="159">
        <v>170400.05</v>
      </c>
      <c r="AD27" s="156"/>
      <c r="AE27" s="156"/>
      <c r="AF27" s="159">
        <v>168565.43</v>
      </c>
      <c r="AG27" s="156"/>
      <c r="AH27" s="156"/>
      <c r="AI27" s="159">
        <v>130205.47</v>
      </c>
      <c r="AJ27" s="156"/>
      <c r="AK27" s="156"/>
      <c r="AL27" s="157" t="s">
        <v>28</v>
      </c>
      <c r="AM27" s="156"/>
      <c r="AN27" s="156"/>
      <c r="AO27" s="157" t="s">
        <v>28</v>
      </c>
      <c r="AP27" s="156"/>
      <c r="AQ27" s="156"/>
      <c r="AR27" s="157" t="s">
        <v>28</v>
      </c>
      <c r="AS27" s="156"/>
      <c r="AT27" s="156"/>
      <c r="AU27" s="157" t="s">
        <v>28</v>
      </c>
      <c r="AV27" s="156"/>
      <c r="AW27" s="156"/>
      <c r="AX27" s="157" t="s">
        <v>28</v>
      </c>
      <c r="AY27" s="156"/>
      <c r="AZ27" s="156"/>
      <c r="BA27" s="156"/>
    </row>
    <row r="28" spans="1:53" ht="14.45" customHeight="1" x14ac:dyDescent="0.25">
      <c r="A28" s="158" t="s">
        <v>32</v>
      </c>
      <c r="B28" s="156"/>
      <c r="C28" s="159">
        <v>0</v>
      </c>
      <c r="D28" s="156"/>
      <c r="E28" s="156"/>
      <c r="F28" s="159">
        <v>0</v>
      </c>
      <c r="G28" s="156"/>
      <c r="H28" s="156"/>
      <c r="I28" s="159">
        <v>0</v>
      </c>
      <c r="J28" s="156"/>
      <c r="K28" s="156"/>
      <c r="L28" s="159">
        <v>0</v>
      </c>
      <c r="M28" s="156"/>
      <c r="N28" s="156"/>
      <c r="O28" s="159">
        <v>0</v>
      </c>
      <c r="P28" s="156"/>
      <c r="Q28" s="156"/>
      <c r="R28" s="156"/>
      <c r="S28" s="156"/>
      <c r="T28" s="159">
        <v>0</v>
      </c>
      <c r="U28" s="156"/>
      <c r="V28" s="156"/>
      <c r="W28" s="159">
        <v>0</v>
      </c>
      <c r="X28" s="156"/>
      <c r="Y28" s="156"/>
      <c r="Z28" s="159">
        <v>0</v>
      </c>
      <c r="AA28" s="156"/>
      <c r="AB28" s="156"/>
      <c r="AC28" s="159">
        <v>0</v>
      </c>
      <c r="AD28" s="156"/>
      <c r="AE28" s="156"/>
      <c r="AF28" s="159">
        <v>0</v>
      </c>
      <c r="AG28" s="156"/>
      <c r="AH28" s="156"/>
      <c r="AI28" s="159">
        <v>0</v>
      </c>
      <c r="AJ28" s="156"/>
      <c r="AK28" s="156"/>
      <c r="AL28" s="157" t="s">
        <v>28</v>
      </c>
      <c r="AM28" s="156"/>
      <c r="AN28" s="156"/>
      <c r="AO28" s="157" t="s">
        <v>28</v>
      </c>
      <c r="AP28" s="156"/>
      <c r="AQ28" s="156"/>
      <c r="AR28" s="157" t="s">
        <v>28</v>
      </c>
      <c r="AS28" s="156"/>
      <c r="AT28" s="156"/>
      <c r="AU28" s="157" t="s">
        <v>28</v>
      </c>
      <c r="AV28" s="156"/>
      <c r="AW28" s="156"/>
      <c r="AX28" s="157" t="s">
        <v>28</v>
      </c>
      <c r="AY28" s="156"/>
      <c r="AZ28" s="156"/>
      <c r="BA28" s="156"/>
    </row>
    <row r="29" spans="1:53" ht="14.45" customHeight="1" x14ac:dyDescent="0.25">
      <c r="A29" s="158" t="s">
        <v>42</v>
      </c>
      <c r="B29" s="156"/>
      <c r="C29" s="160">
        <v>3978681.75</v>
      </c>
      <c r="D29" s="161"/>
      <c r="E29" s="161"/>
      <c r="F29" s="159">
        <v>1666293.81</v>
      </c>
      <c r="G29" s="156"/>
      <c r="H29" s="156"/>
      <c r="I29" s="159">
        <v>2024123.38</v>
      </c>
      <c r="J29" s="156"/>
      <c r="K29" s="156"/>
      <c r="L29" s="159">
        <v>1860289.77</v>
      </c>
      <c r="M29" s="156"/>
      <c r="N29" s="156"/>
      <c r="O29" s="159">
        <v>1856266.68</v>
      </c>
      <c r="P29" s="156"/>
      <c r="Q29" s="156"/>
      <c r="R29" s="156"/>
      <c r="S29" s="156"/>
      <c r="T29" s="159">
        <v>1795590.13</v>
      </c>
      <c r="U29" s="156"/>
      <c r="V29" s="156"/>
      <c r="W29" s="159">
        <v>1370284.99</v>
      </c>
      <c r="X29" s="156"/>
      <c r="Y29" s="156"/>
      <c r="Z29" s="159">
        <v>1545640.16</v>
      </c>
      <c r="AA29" s="156"/>
      <c r="AB29" s="156"/>
      <c r="AC29" s="159">
        <v>810072.64</v>
      </c>
      <c r="AD29" s="156"/>
      <c r="AE29" s="156"/>
      <c r="AF29" s="159">
        <v>2828153.35</v>
      </c>
      <c r="AG29" s="156"/>
      <c r="AH29" s="156"/>
      <c r="AI29" s="159">
        <v>2621029.29</v>
      </c>
      <c r="AJ29" s="156"/>
      <c r="AK29" s="156"/>
      <c r="AL29" s="157" t="s">
        <v>28</v>
      </c>
      <c r="AM29" s="156"/>
      <c r="AN29" s="156"/>
      <c r="AO29" s="157" t="s">
        <v>28</v>
      </c>
      <c r="AP29" s="156"/>
      <c r="AQ29" s="156"/>
      <c r="AR29" s="157" t="s">
        <v>28</v>
      </c>
      <c r="AS29" s="156"/>
      <c r="AT29" s="156"/>
      <c r="AU29" s="157" t="s">
        <v>28</v>
      </c>
      <c r="AV29" s="156"/>
      <c r="AW29" s="156"/>
      <c r="AX29" s="157" t="s">
        <v>28</v>
      </c>
      <c r="AY29" s="156"/>
      <c r="AZ29" s="156"/>
      <c r="BA29" s="156"/>
    </row>
    <row r="30" spans="1:53" ht="14.45" customHeight="1" x14ac:dyDescent="0.25">
      <c r="A30" s="158" t="s">
        <v>43</v>
      </c>
      <c r="B30" s="156"/>
      <c r="C30" s="159">
        <v>0</v>
      </c>
      <c r="D30" s="156"/>
      <c r="E30" s="156"/>
      <c r="F30" s="159">
        <v>0</v>
      </c>
      <c r="G30" s="156"/>
      <c r="H30" s="156"/>
      <c r="I30" s="159">
        <v>0</v>
      </c>
      <c r="J30" s="156"/>
      <c r="K30" s="156"/>
      <c r="L30" s="159">
        <v>0</v>
      </c>
      <c r="M30" s="156"/>
      <c r="N30" s="156"/>
      <c r="O30" s="159">
        <v>0</v>
      </c>
      <c r="P30" s="156"/>
      <c r="Q30" s="156"/>
      <c r="R30" s="156"/>
      <c r="S30" s="156"/>
      <c r="T30" s="159">
        <v>0</v>
      </c>
      <c r="U30" s="156"/>
      <c r="V30" s="156"/>
      <c r="W30" s="159">
        <v>0</v>
      </c>
      <c r="X30" s="156"/>
      <c r="Y30" s="156"/>
      <c r="Z30" s="159">
        <v>0</v>
      </c>
      <c r="AA30" s="156"/>
      <c r="AB30" s="156"/>
      <c r="AC30" s="159">
        <v>0</v>
      </c>
      <c r="AD30" s="156"/>
      <c r="AE30" s="156"/>
      <c r="AF30" s="159">
        <v>0</v>
      </c>
      <c r="AG30" s="156"/>
      <c r="AH30" s="156"/>
      <c r="AI30" s="159">
        <v>0</v>
      </c>
      <c r="AJ30" s="156"/>
      <c r="AK30" s="156"/>
      <c r="AL30" s="157" t="s">
        <v>28</v>
      </c>
      <c r="AM30" s="156"/>
      <c r="AN30" s="156"/>
      <c r="AO30" s="157" t="s">
        <v>28</v>
      </c>
      <c r="AP30" s="156"/>
      <c r="AQ30" s="156"/>
      <c r="AR30" s="157" t="s">
        <v>28</v>
      </c>
      <c r="AS30" s="156"/>
      <c r="AT30" s="156"/>
      <c r="AU30" s="157" t="s">
        <v>28</v>
      </c>
      <c r="AV30" s="156"/>
      <c r="AW30" s="156"/>
      <c r="AX30" s="157" t="s">
        <v>28</v>
      </c>
      <c r="AY30" s="156"/>
      <c r="AZ30" s="156"/>
      <c r="BA30" s="156"/>
    </row>
    <row r="31" spans="1:53" ht="14.45" customHeight="1" x14ac:dyDescent="0.25">
      <c r="A31" s="158" t="s">
        <v>44</v>
      </c>
      <c r="B31" s="156"/>
      <c r="C31" s="160">
        <v>232258.25</v>
      </c>
      <c r="D31" s="161"/>
      <c r="E31" s="161"/>
      <c r="F31" s="159">
        <v>0</v>
      </c>
      <c r="G31" s="156"/>
      <c r="H31" s="156"/>
      <c r="I31" s="159">
        <v>0</v>
      </c>
      <c r="J31" s="156"/>
      <c r="K31" s="156"/>
      <c r="L31" s="159">
        <v>0</v>
      </c>
      <c r="M31" s="156"/>
      <c r="N31" s="156"/>
      <c r="O31" s="159">
        <v>0</v>
      </c>
      <c r="P31" s="156"/>
      <c r="Q31" s="156"/>
      <c r="R31" s="156"/>
      <c r="S31" s="156"/>
      <c r="T31" s="159">
        <v>184.08</v>
      </c>
      <c r="U31" s="156"/>
      <c r="V31" s="156"/>
      <c r="W31" s="159">
        <v>180</v>
      </c>
      <c r="X31" s="156"/>
      <c r="Y31" s="156"/>
      <c r="Z31" s="159">
        <v>180</v>
      </c>
      <c r="AA31" s="156"/>
      <c r="AB31" s="156"/>
      <c r="AC31" s="159">
        <v>2924.87</v>
      </c>
      <c r="AD31" s="156"/>
      <c r="AE31" s="156"/>
      <c r="AF31" s="159">
        <v>118.8</v>
      </c>
      <c r="AG31" s="156"/>
      <c r="AH31" s="156"/>
      <c r="AI31" s="159">
        <v>0</v>
      </c>
      <c r="AJ31" s="156"/>
      <c r="AK31" s="156"/>
      <c r="AL31" s="157" t="s">
        <v>28</v>
      </c>
      <c r="AM31" s="156"/>
      <c r="AN31" s="156"/>
      <c r="AO31" s="157" t="s">
        <v>28</v>
      </c>
      <c r="AP31" s="156"/>
      <c r="AQ31" s="156"/>
      <c r="AR31" s="157" t="s">
        <v>28</v>
      </c>
      <c r="AS31" s="156"/>
      <c r="AT31" s="156"/>
      <c r="AU31" s="157" t="s">
        <v>28</v>
      </c>
      <c r="AV31" s="156"/>
      <c r="AW31" s="156"/>
      <c r="AX31" s="157" t="s">
        <v>28</v>
      </c>
      <c r="AY31" s="156"/>
      <c r="AZ31" s="156"/>
      <c r="BA31" s="156"/>
    </row>
    <row r="32" spans="1:53" ht="14.45" customHeight="1" x14ac:dyDescent="0.25">
      <c r="A32" s="158" t="s">
        <v>45</v>
      </c>
      <c r="B32" s="156"/>
      <c r="C32" s="159">
        <v>0</v>
      </c>
      <c r="D32" s="156"/>
      <c r="E32" s="156"/>
      <c r="F32" s="159">
        <v>0</v>
      </c>
      <c r="G32" s="156"/>
      <c r="H32" s="156"/>
      <c r="I32" s="159">
        <v>0</v>
      </c>
      <c r="J32" s="156"/>
      <c r="K32" s="156"/>
      <c r="L32" s="159">
        <v>0</v>
      </c>
      <c r="M32" s="156"/>
      <c r="N32" s="156"/>
      <c r="O32" s="159">
        <v>0</v>
      </c>
      <c r="P32" s="156"/>
      <c r="Q32" s="156"/>
      <c r="R32" s="156"/>
      <c r="S32" s="156"/>
      <c r="T32" s="159">
        <v>339251.84</v>
      </c>
      <c r="U32" s="156"/>
      <c r="V32" s="156"/>
      <c r="W32" s="159">
        <v>830215.59</v>
      </c>
      <c r="X32" s="156"/>
      <c r="Y32" s="156"/>
      <c r="Z32" s="159">
        <v>330035.58</v>
      </c>
      <c r="AA32" s="156"/>
      <c r="AB32" s="156"/>
      <c r="AC32" s="159">
        <v>0</v>
      </c>
      <c r="AD32" s="156"/>
      <c r="AE32" s="156"/>
      <c r="AF32" s="159">
        <v>2876.44</v>
      </c>
      <c r="AG32" s="156"/>
      <c r="AH32" s="156"/>
      <c r="AI32" s="159">
        <v>65060.62</v>
      </c>
      <c r="AJ32" s="156"/>
      <c r="AK32" s="156"/>
      <c r="AL32" s="157" t="s">
        <v>28</v>
      </c>
      <c r="AM32" s="156"/>
      <c r="AN32" s="156"/>
      <c r="AO32" s="157" t="s">
        <v>28</v>
      </c>
      <c r="AP32" s="156"/>
      <c r="AQ32" s="156"/>
      <c r="AR32" s="157" t="s">
        <v>28</v>
      </c>
      <c r="AS32" s="156"/>
      <c r="AT32" s="156"/>
      <c r="AU32" s="157" t="s">
        <v>28</v>
      </c>
      <c r="AV32" s="156"/>
      <c r="AW32" s="156"/>
      <c r="AX32" s="157" t="s">
        <v>28</v>
      </c>
      <c r="AY32" s="156"/>
      <c r="AZ32" s="156"/>
      <c r="BA32" s="156"/>
    </row>
    <row r="33" spans="1:53" ht="14.45" customHeight="1" x14ac:dyDescent="0.25">
      <c r="A33" s="158" t="s">
        <v>46</v>
      </c>
      <c r="B33" s="156"/>
      <c r="C33" s="159">
        <v>130913.19</v>
      </c>
      <c r="D33" s="156"/>
      <c r="E33" s="156"/>
      <c r="F33" s="159">
        <v>137839.04000000001</v>
      </c>
      <c r="G33" s="156"/>
      <c r="H33" s="156"/>
      <c r="I33" s="159">
        <v>174813.31</v>
      </c>
      <c r="J33" s="156"/>
      <c r="K33" s="156"/>
      <c r="L33" s="159">
        <v>159701.74</v>
      </c>
      <c r="M33" s="156"/>
      <c r="N33" s="156"/>
      <c r="O33" s="159">
        <v>1057156.04</v>
      </c>
      <c r="P33" s="156"/>
      <c r="Q33" s="156"/>
      <c r="R33" s="156"/>
      <c r="S33" s="156"/>
      <c r="T33" s="159">
        <v>190081.4</v>
      </c>
      <c r="U33" s="156"/>
      <c r="V33" s="156"/>
      <c r="W33" s="159">
        <v>157130.1</v>
      </c>
      <c r="X33" s="156"/>
      <c r="Y33" s="156"/>
      <c r="Z33" s="159">
        <v>161472.48000000001</v>
      </c>
      <c r="AA33" s="156"/>
      <c r="AB33" s="156"/>
      <c r="AC33" s="159">
        <v>1380017.94</v>
      </c>
      <c r="AD33" s="156"/>
      <c r="AE33" s="156"/>
      <c r="AF33" s="159">
        <v>127531.52</v>
      </c>
      <c r="AG33" s="156"/>
      <c r="AH33" s="156"/>
      <c r="AI33" s="159">
        <v>161116.45000000001</v>
      </c>
      <c r="AJ33" s="156"/>
      <c r="AK33" s="156"/>
      <c r="AL33" s="157" t="s">
        <v>28</v>
      </c>
      <c r="AM33" s="156"/>
      <c r="AN33" s="156"/>
      <c r="AO33" s="157" t="s">
        <v>28</v>
      </c>
      <c r="AP33" s="156"/>
      <c r="AQ33" s="156"/>
      <c r="AR33" s="157" t="s">
        <v>28</v>
      </c>
      <c r="AS33" s="156"/>
      <c r="AT33" s="156"/>
      <c r="AU33" s="157" t="s">
        <v>28</v>
      </c>
      <c r="AV33" s="156"/>
      <c r="AW33" s="156"/>
      <c r="AX33" s="157" t="s">
        <v>28</v>
      </c>
      <c r="AY33" s="156"/>
      <c r="AZ33" s="156"/>
      <c r="BA33" s="156"/>
    </row>
    <row r="34" spans="1:53" ht="14.45" customHeight="1" x14ac:dyDescent="0.25">
      <c r="A34" s="158" t="s">
        <v>47</v>
      </c>
      <c r="B34" s="156"/>
      <c r="C34" s="159">
        <v>92076.14</v>
      </c>
      <c r="D34" s="156"/>
      <c r="E34" s="156"/>
      <c r="F34" s="159">
        <v>30296.639999999999</v>
      </c>
      <c r="G34" s="156"/>
      <c r="H34" s="156"/>
      <c r="I34" s="159">
        <v>44057.42</v>
      </c>
      <c r="J34" s="156"/>
      <c r="K34" s="156"/>
      <c r="L34" s="159">
        <v>32916.92</v>
      </c>
      <c r="M34" s="156"/>
      <c r="N34" s="156"/>
      <c r="O34" s="159">
        <v>24692.58</v>
      </c>
      <c r="P34" s="156"/>
      <c r="Q34" s="156"/>
      <c r="R34" s="156"/>
      <c r="S34" s="156"/>
      <c r="T34" s="159">
        <v>22426.799999999999</v>
      </c>
      <c r="U34" s="156"/>
      <c r="V34" s="156"/>
      <c r="W34" s="159">
        <v>5488.68</v>
      </c>
      <c r="X34" s="156"/>
      <c r="Y34" s="156"/>
      <c r="Z34" s="159">
        <v>4187.74</v>
      </c>
      <c r="AA34" s="156"/>
      <c r="AB34" s="156"/>
      <c r="AC34" s="159">
        <v>25489.4</v>
      </c>
      <c r="AD34" s="156"/>
      <c r="AE34" s="156"/>
      <c r="AF34" s="159">
        <v>62578.21</v>
      </c>
      <c r="AG34" s="156"/>
      <c r="AH34" s="156"/>
      <c r="AI34" s="159">
        <v>59812.68</v>
      </c>
      <c r="AJ34" s="156"/>
      <c r="AK34" s="156"/>
      <c r="AL34" s="157" t="s">
        <v>28</v>
      </c>
      <c r="AM34" s="156"/>
      <c r="AN34" s="156"/>
      <c r="AO34" s="157" t="s">
        <v>28</v>
      </c>
      <c r="AP34" s="156"/>
      <c r="AQ34" s="156"/>
      <c r="AR34" s="157" t="s">
        <v>28</v>
      </c>
      <c r="AS34" s="156"/>
      <c r="AT34" s="156"/>
      <c r="AU34" s="157" t="s">
        <v>28</v>
      </c>
      <c r="AV34" s="156"/>
      <c r="AW34" s="156"/>
      <c r="AX34" s="157" t="s">
        <v>28</v>
      </c>
      <c r="AY34" s="156"/>
      <c r="AZ34" s="156"/>
      <c r="BA34" s="156"/>
    </row>
    <row r="35" spans="1:53" ht="14.45" customHeight="1" x14ac:dyDescent="0.25">
      <c r="A35" s="158" t="s">
        <v>48</v>
      </c>
      <c r="B35" s="156"/>
      <c r="C35" s="159">
        <v>0</v>
      </c>
      <c r="D35" s="156"/>
      <c r="E35" s="156"/>
      <c r="F35" s="159">
        <v>0</v>
      </c>
      <c r="G35" s="156"/>
      <c r="H35" s="156"/>
      <c r="I35" s="159">
        <v>0</v>
      </c>
      <c r="J35" s="156"/>
      <c r="K35" s="156"/>
      <c r="L35" s="159">
        <v>0</v>
      </c>
      <c r="M35" s="156"/>
      <c r="N35" s="156"/>
      <c r="O35" s="159">
        <v>0</v>
      </c>
      <c r="P35" s="156"/>
      <c r="Q35" s="156"/>
      <c r="R35" s="156"/>
      <c r="S35" s="156"/>
      <c r="T35" s="159">
        <v>0</v>
      </c>
      <c r="U35" s="156"/>
      <c r="V35" s="156"/>
      <c r="W35" s="159">
        <v>0</v>
      </c>
      <c r="X35" s="156"/>
      <c r="Y35" s="156"/>
      <c r="Z35" s="159">
        <v>0</v>
      </c>
      <c r="AA35" s="156"/>
      <c r="AB35" s="156"/>
      <c r="AC35" s="159">
        <v>0</v>
      </c>
      <c r="AD35" s="156"/>
      <c r="AE35" s="156"/>
      <c r="AF35" s="159">
        <v>0</v>
      </c>
      <c r="AG35" s="156"/>
      <c r="AH35" s="156"/>
      <c r="AI35" s="159">
        <v>0</v>
      </c>
      <c r="AJ35" s="156"/>
      <c r="AK35" s="156"/>
      <c r="AL35" s="157" t="s">
        <v>28</v>
      </c>
      <c r="AM35" s="156"/>
      <c r="AN35" s="156"/>
      <c r="AO35" s="157" t="s">
        <v>28</v>
      </c>
      <c r="AP35" s="156"/>
      <c r="AQ35" s="156"/>
      <c r="AR35" s="157" t="s">
        <v>28</v>
      </c>
      <c r="AS35" s="156"/>
      <c r="AT35" s="156"/>
      <c r="AU35" s="157" t="s">
        <v>28</v>
      </c>
      <c r="AV35" s="156"/>
      <c r="AW35" s="156"/>
      <c r="AX35" s="157" t="s">
        <v>28</v>
      </c>
      <c r="AY35" s="156"/>
      <c r="AZ35" s="156"/>
      <c r="BA35" s="156"/>
    </row>
    <row r="36" spans="1:53" ht="14.45" customHeight="1" x14ac:dyDescent="0.25">
      <c r="A36" s="158" t="s">
        <v>49</v>
      </c>
      <c r="B36" s="156"/>
      <c r="C36" s="159">
        <v>0</v>
      </c>
      <c r="D36" s="156"/>
      <c r="E36" s="156"/>
      <c r="F36" s="159">
        <v>0</v>
      </c>
      <c r="G36" s="156"/>
      <c r="H36" s="156"/>
      <c r="I36" s="159">
        <v>0</v>
      </c>
      <c r="J36" s="156"/>
      <c r="K36" s="156"/>
      <c r="L36" s="159">
        <v>0</v>
      </c>
      <c r="M36" s="156"/>
      <c r="N36" s="156"/>
      <c r="O36" s="159">
        <v>0</v>
      </c>
      <c r="P36" s="156"/>
      <c r="Q36" s="156"/>
      <c r="R36" s="156"/>
      <c r="S36" s="156"/>
      <c r="T36" s="159">
        <v>0</v>
      </c>
      <c r="U36" s="156"/>
      <c r="V36" s="156"/>
      <c r="W36" s="159">
        <v>0</v>
      </c>
      <c r="X36" s="156"/>
      <c r="Y36" s="156"/>
      <c r="Z36" s="159">
        <v>0</v>
      </c>
      <c r="AA36" s="156"/>
      <c r="AB36" s="156"/>
      <c r="AC36" s="159">
        <v>0</v>
      </c>
      <c r="AD36" s="156"/>
      <c r="AE36" s="156"/>
      <c r="AF36" s="159">
        <v>0</v>
      </c>
      <c r="AG36" s="156"/>
      <c r="AH36" s="156"/>
      <c r="AI36" s="159">
        <v>0</v>
      </c>
      <c r="AJ36" s="156"/>
      <c r="AK36" s="156"/>
      <c r="AL36" s="157" t="s">
        <v>28</v>
      </c>
      <c r="AM36" s="156"/>
      <c r="AN36" s="156"/>
      <c r="AO36" s="157" t="s">
        <v>28</v>
      </c>
      <c r="AP36" s="156"/>
      <c r="AQ36" s="156"/>
      <c r="AR36" s="157" t="s">
        <v>28</v>
      </c>
      <c r="AS36" s="156"/>
      <c r="AT36" s="156"/>
      <c r="AU36" s="157" t="s">
        <v>28</v>
      </c>
      <c r="AV36" s="156"/>
      <c r="AW36" s="156"/>
      <c r="AX36" s="157" t="s">
        <v>28</v>
      </c>
      <c r="AY36" s="156"/>
      <c r="AZ36" s="156"/>
      <c r="BA36" s="156"/>
    </row>
    <row r="37" spans="1:53" ht="14.45" customHeight="1" x14ac:dyDescent="0.25">
      <c r="A37" s="158" t="s">
        <v>50</v>
      </c>
      <c r="B37" s="156"/>
      <c r="C37" s="159">
        <v>0</v>
      </c>
      <c r="D37" s="156"/>
      <c r="E37" s="156"/>
      <c r="F37" s="159">
        <v>0</v>
      </c>
      <c r="G37" s="156"/>
      <c r="H37" s="156"/>
      <c r="I37" s="159">
        <v>0</v>
      </c>
      <c r="J37" s="156"/>
      <c r="K37" s="156"/>
      <c r="L37" s="159">
        <v>0</v>
      </c>
      <c r="M37" s="156"/>
      <c r="N37" s="156"/>
      <c r="O37" s="159">
        <v>0</v>
      </c>
      <c r="P37" s="156"/>
      <c r="Q37" s="156"/>
      <c r="R37" s="156"/>
      <c r="S37" s="156"/>
      <c r="T37" s="159">
        <v>0</v>
      </c>
      <c r="U37" s="156"/>
      <c r="V37" s="156"/>
      <c r="W37" s="159">
        <v>0</v>
      </c>
      <c r="X37" s="156"/>
      <c r="Y37" s="156"/>
      <c r="Z37" s="159">
        <v>0</v>
      </c>
      <c r="AA37" s="156"/>
      <c r="AB37" s="156"/>
      <c r="AC37" s="159">
        <v>0</v>
      </c>
      <c r="AD37" s="156"/>
      <c r="AE37" s="156"/>
      <c r="AF37" s="159">
        <v>0</v>
      </c>
      <c r="AG37" s="156"/>
      <c r="AH37" s="156"/>
      <c r="AI37" s="159">
        <v>0</v>
      </c>
      <c r="AJ37" s="156"/>
      <c r="AK37" s="156"/>
      <c r="AL37" s="157" t="s">
        <v>28</v>
      </c>
      <c r="AM37" s="156"/>
      <c r="AN37" s="156"/>
      <c r="AO37" s="157" t="s">
        <v>28</v>
      </c>
      <c r="AP37" s="156"/>
      <c r="AQ37" s="156"/>
      <c r="AR37" s="157" t="s">
        <v>28</v>
      </c>
      <c r="AS37" s="156"/>
      <c r="AT37" s="156"/>
      <c r="AU37" s="157" t="s">
        <v>28</v>
      </c>
      <c r="AV37" s="156"/>
      <c r="AW37" s="156"/>
      <c r="AX37" s="157" t="s">
        <v>28</v>
      </c>
      <c r="AY37" s="156"/>
      <c r="AZ37" s="156"/>
      <c r="BA37" s="156"/>
    </row>
    <row r="38" spans="1:53" ht="14.45" customHeight="1" x14ac:dyDescent="0.25">
      <c r="A38" s="158" t="s">
        <v>51</v>
      </c>
      <c r="B38" s="156"/>
      <c r="C38" s="159">
        <v>0</v>
      </c>
      <c r="D38" s="156"/>
      <c r="E38" s="156"/>
      <c r="F38" s="159">
        <v>0</v>
      </c>
      <c r="G38" s="156"/>
      <c r="H38" s="156"/>
      <c r="I38" s="159">
        <v>0</v>
      </c>
      <c r="J38" s="156"/>
      <c r="K38" s="156"/>
      <c r="L38" s="159">
        <v>0</v>
      </c>
      <c r="M38" s="156"/>
      <c r="N38" s="156"/>
      <c r="O38" s="159">
        <v>0</v>
      </c>
      <c r="P38" s="156"/>
      <c r="Q38" s="156"/>
      <c r="R38" s="156"/>
      <c r="S38" s="156"/>
      <c r="T38" s="159">
        <v>0</v>
      </c>
      <c r="U38" s="156"/>
      <c r="V38" s="156"/>
      <c r="W38" s="159">
        <v>0</v>
      </c>
      <c r="X38" s="156"/>
      <c r="Y38" s="156"/>
      <c r="Z38" s="159">
        <v>0</v>
      </c>
      <c r="AA38" s="156"/>
      <c r="AB38" s="156"/>
      <c r="AC38" s="159">
        <v>0</v>
      </c>
      <c r="AD38" s="156"/>
      <c r="AE38" s="156"/>
      <c r="AF38" s="159">
        <v>0</v>
      </c>
      <c r="AG38" s="156"/>
      <c r="AH38" s="156"/>
      <c r="AI38" s="159">
        <v>0</v>
      </c>
      <c r="AJ38" s="156"/>
      <c r="AK38" s="156"/>
      <c r="AL38" s="157" t="s">
        <v>28</v>
      </c>
      <c r="AM38" s="156"/>
      <c r="AN38" s="156"/>
      <c r="AO38" s="157" t="s">
        <v>28</v>
      </c>
      <c r="AP38" s="156"/>
      <c r="AQ38" s="156"/>
      <c r="AR38" s="157" t="s">
        <v>28</v>
      </c>
      <c r="AS38" s="156"/>
      <c r="AT38" s="156"/>
      <c r="AU38" s="157" t="s">
        <v>28</v>
      </c>
      <c r="AV38" s="156"/>
      <c r="AW38" s="156"/>
      <c r="AX38" s="157" t="s">
        <v>28</v>
      </c>
      <c r="AY38" s="156"/>
      <c r="AZ38" s="156"/>
      <c r="BA38" s="156"/>
    </row>
    <row r="39" spans="1:53" ht="14.45" customHeight="1" x14ac:dyDescent="0.25">
      <c r="A39" s="158" t="s">
        <v>52</v>
      </c>
      <c r="B39" s="156"/>
      <c r="C39" s="159">
        <v>516667.01</v>
      </c>
      <c r="D39" s="156"/>
      <c r="E39" s="156"/>
      <c r="F39" s="159">
        <v>377564.29</v>
      </c>
      <c r="G39" s="156"/>
      <c r="H39" s="156"/>
      <c r="I39" s="159">
        <v>345156.06</v>
      </c>
      <c r="J39" s="156"/>
      <c r="K39" s="156"/>
      <c r="L39" s="159">
        <v>259747.08</v>
      </c>
      <c r="M39" s="156"/>
      <c r="N39" s="156"/>
      <c r="O39" s="159">
        <v>29705.38</v>
      </c>
      <c r="P39" s="156"/>
      <c r="Q39" s="156"/>
      <c r="R39" s="156"/>
      <c r="S39" s="156"/>
      <c r="T39" s="159">
        <v>54823.77</v>
      </c>
      <c r="U39" s="156"/>
      <c r="V39" s="156"/>
      <c r="W39" s="159">
        <v>686991.52</v>
      </c>
      <c r="X39" s="156"/>
      <c r="Y39" s="156"/>
      <c r="Z39" s="159">
        <v>92406.34</v>
      </c>
      <c r="AA39" s="156"/>
      <c r="AB39" s="156"/>
      <c r="AC39" s="159">
        <v>195416.08</v>
      </c>
      <c r="AD39" s="156"/>
      <c r="AE39" s="156"/>
      <c r="AF39" s="159">
        <v>442438.97</v>
      </c>
      <c r="AG39" s="156"/>
      <c r="AH39" s="156"/>
      <c r="AI39" s="159">
        <v>24967.16</v>
      </c>
      <c r="AJ39" s="156"/>
      <c r="AK39" s="156"/>
      <c r="AL39" s="157" t="s">
        <v>28</v>
      </c>
      <c r="AM39" s="156"/>
      <c r="AN39" s="156"/>
      <c r="AO39" s="157" t="s">
        <v>28</v>
      </c>
      <c r="AP39" s="156"/>
      <c r="AQ39" s="156"/>
      <c r="AR39" s="157" t="s">
        <v>28</v>
      </c>
      <c r="AS39" s="156"/>
      <c r="AT39" s="156"/>
      <c r="AU39" s="157" t="s">
        <v>28</v>
      </c>
      <c r="AV39" s="156"/>
      <c r="AW39" s="156"/>
      <c r="AX39" s="157" t="s">
        <v>28</v>
      </c>
      <c r="AY39" s="156"/>
      <c r="AZ39" s="156"/>
      <c r="BA39" s="156"/>
    </row>
    <row r="40" spans="1:53" ht="14.45" customHeight="1" x14ac:dyDescent="0.25">
      <c r="A40" s="158" t="s">
        <v>53</v>
      </c>
      <c r="B40" s="156"/>
      <c r="C40" s="159">
        <v>5246034.79</v>
      </c>
      <c r="D40" s="156"/>
      <c r="E40" s="156"/>
      <c r="F40" s="159">
        <v>2250944.2000000002</v>
      </c>
      <c r="G40" s="156"/>
      <c r="H40" s="156"/>
      <c r="I40" s="159">
        <v>2626005.1</v>
      </c>
      <c r="J40" s="156"/>
      <c r="K40" s="156"/>
      <c r="L40" s="159">
        <v>2347367.09</v>
      </c>
      <c r="M40" s="156"/>
      <c r="N40" s="156"/>
      <c r="O40" s="159">
        <v>3039250.46</v>
      </c>
      <c r="P40" s="156"/>
      <c r="Q40" s="156"/>
      <c r="R40" s="156"/>
      <c r="S40" s="156"/>
      <c r="T40" s="159">
        <v>2461141.0099999998</v>
      </c>
      <c r="U40" s="156"/>
      <c r="V40" s="156"/>
      <c r="W40" s="159">
        <v>3253613.85</v>
      </c>
      <c r="X40" s="156"/>
      <c r="Y40" s="156"/>
      <c r="Z40" s="159">
        <v>2282725.5099999998</v>
      </c>
      <c r="AA40" s="156"/>
      <c r="AB40" s="156"/>
      <c r="AC40" s="159">
        <v>2584320.98</v>
      </c>
      <c r="AD40" s="156"/>
      <c r="AE40" s="156"/>
      <c r="AF40" s="159">
        <v>3632262.72</v>
      </c>
      <c r="AG40" s="156"/>
      <c r="AH40" s="156"/>
      <c r="AI40" s="159">
        <v>3062191.67</v>
      </c>
      <c r="AJ40" s="156"/>
      <c r="AK40" s="156"/>
      <c r="AL40" s="157" t="s">
        <v>28</v>
      </c>
      <c r="AM40" s="156"/>
      <c r="AN40" s="156"/>
      <c r="AO40" s="157" t="s">
        <v>28</v>
      </c>
      <c r="AP40" s="156"/>
      <c r="AQ40" s="156"/>
      <c r="AR40" s="157" t="s">
        <v>28</v>
      </c>
      <c r="AS40" s="156"/>
      <c r="AT40" s="156"/>
      <c r="AU40" s="157" t="s">
        <v>28</v>
      </c>
      <c r="AV40" s="156"/>
      <c r="AW40" s="156"/>
      <c r="AX40" s="157" t="s">
        <v>28</v>
      </c>
      <c r="AY40" s="156"/>
      <c r="AZ40" s="156"/>
      <c r="BA40" s="156"/>
    </row>
    <row r="41" spans="1:53" ht="14.45" customHeight="1" x14ac:dyDescent="0.25">
      <c r="A41" s="156"/>
      <c r="B41" s="156"/>
      <c r="C41" s="156"/>
      <c r="D41" s="156"/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156"/>
      <c r="BA41" s="156"/>
    </row>
    <row r="42" spans="1:53" ht="14.45" customHeight="1" x14ac:dyDescent="0.25">
      <c r="A42" s="158" t="s">
        <v>54</v>
      </c>
      <c r="B42" s="156"/>
      <c r="C42" s="159">
        <v>6418032.4800000004</v>
      </c>
      <c r="D42" s="156"/>
      <c r="E42" s="156"/>
      <c r="F42" s="159">
        <v>2909680.76</v>
      </c>
      <c r="G42" s="156"/>
      <c r="H42" s="156"/>
      <c r="I42" s="159">
        <v>3184192.39</v>
      </c>
      <c r="J42" s="156"/>
      <c r="K42" s="156"/>
      <c r="L42" s="159">
        <v>2873801.55</v>
      </c>
      <c r="M42" s="156"/>
      <c r="N42" s="156"/>
      <c r="O42" s="159">
        <v>3528393.1</v>
      </c>
      <c r="P42" s="156"/>
      <c r="Q42" s="156"/>
      <c r="R42" s="156"/>
      <c r="S42" s="156"/>
      <c r="T42" s="159">
        <v>2892993.92</v>
      </c>
      <c r="U42" s="156"/>
      <c r="V42" s="156"/>
      <c r="W42" s="159">
        <v>3577311.66</v>
      </c>
      <c r="X42" s="156"/>
      <c r="Y42" s="156"/>
      <c r="Z42" s="159">
        <v>2610408.59</v>
      </c>
      <c r="AA42" s="156"/>
      <c r="AB42" s="156"/>
      <c r="AC42" s="159">
        <v>2940211.98</v>
      </c>
      <c r="AD42" s="156"/>
      <c r="AE42" s="156"/>
      <c r="AF42" s="159">
        <v>4009401.92</v>
      </c>
      <c r="AG42" s="156"/>
      <c r="AH42" s="156"/>
      <c r="AI42" s="159">
        <v>3457196.7</v>
      </c>
      <c r="AJ42" s="156"/>
      <c r="AK42" s="156"/>
      <c r="AL42" s="157" t="s">
        <v>28</v>
      </c>
      <c r="AM42" s="156"/>
      <c r="AN42" s="156"/>
      <c r="AO42" s="157" t="s">
        <v>28</v>
      </c>
      <c r="AP42" s="156"/>
      <c r="AQ42" s="156"/>
      <c r="AR42" s="157" t="s">
        <v>28</v>
      </c>
      <c r="AS42" s="156"/>
      <c r="AT42" s="156"/>
      <c r="AU42" s="157" t="s">
        <v>28</v>
      </c>
      <c r="AV42" s="156"/>
      <c r="AW42" s="156"/>
      <c r="AX42" s="157" t="s">
        <v>28</v>
      </c>
      <c r="AY42" s="156"/>
      <c r="AZ42" s="156"/>
      <c r="BA42" s="156"/>
    </row>
    <row r="43" spans="1:53" ht="14.45" customHeight="1" x14ac:dyDescent="0.25">
      <c r="A43" s="156"/>
      <c r="B43" s="156"/>
      <c r="C43" s="156"/>
      <c r="D43" s="156"/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6"/>
      <c r="AR43" s="156"/>
      <c r="AS43" s="156"/>
      <c r="AT43" s="156"/>
      <c r="AU43" s="156"/>
      <c r="AV43" s="156"/>
      <c r="AW43" s="156"/>
      <c r="AX43" s="156"/>
      <c r="AY43" s="156"/>
      <c r="AZ43" s="156"/>
      <c r="BA43" s="156"/>
    </row>
    <row r="44" spans="1:53" ht="14.45" customHeight="1" x14ac:dyDescent="0.25">
      <c r="A44" s="163" t="s">
        <v>55</v>
      </c>
      <c r="B44" s="156"/>
      <c r="C44" s="156"/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156"/>
      <c r="AX44" s="156"/>
      <c r="AY44" s="156"/>
      <c r="AZ44" s="156"/>
      <c r="BA44" s="156"/>
    </row>
    <row r="45" spans="1:53" ht="14.45" customHeight="1" x14ac:dyDescent="0.25">
      <c r="A45" s="163" t="s">
        <v>56</v>
      </c>
      <c r="B45" s="156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  <c r="AC45" s="156"/>
      <c r="AD45" s="156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  <c r="AX45" s="156"/>
      <c r="AY45" s="156"/>
      <c r="AZ45" s="156"/>
      <c r="BA45" s="156"/>
    </row>
    <row r="46" spans="1:53" ht="14.45" customHeight="1" x14ac:dyDescent="0.25">
      <c r="A46" s="158" t="s">
        <v>57</v>
      </c>
      <c r="B46" s="156"/>
      <c r="C46" s="159">
        <v>41524.92</v>
      </c>
      <c r="D46" s="156"/>
      <c r="E46" s="156"/>
      <c r="F46" s="159">
        <v>41524.92</v>
      </c>
      <c r="G46" s="156"/>
      <c r="H46" s="156"/>
      <c r="I46" s="159">
        <v>41524.92</v>
      </c>
      <c r="J46" s="156"/>
      <c r="K46" s="156"/>
      <c r="L46" s="159">
        <v>55366.559999999998</v>
      </c>
      <c r="M46" s="156"/>
      <c r="N46" s="156"/>
      <c r="O46" s="159">
        <v>55366.559999999998</v>
      </c>
      <c r="P46" s="156"/>
      <c r="Q46" s="156"/>
      <c r="R46" s="156"/>
      <c r="S46" s="156"/>
      <c r="T46" s="159">
        <v>55366.559999999998</v>
      </c>
      <c r="U46" s="156"/>
      <c r="V46" s="156"/>
      <c r="W46" s="159">
        <v>55366.559999999998</v>
      </c>
      <c r="X46" s="156"/>
      <c r="Y46" s="156"/>
      <c r="Z46" s="159">
        <v>55366.559999999998</v>
      </c>
      <c r="AA46" s="156"/>
      <c r="AB46" s="156"/>
      <c r="AC46" s="159">
        <v>55366.559999999998</v>
      </c>
      <c r="AD46" s="156"/>
      <c r="AE46" s="156"/>
      <c r="AF46" s="159">
        <v>55366.559999999998</v>
      </c>
      <c r="AG46" s="156"/>
      <c r="AH46" s="156"/>
      <c r="AI46" s="159">
        <v>55366.559999999998</v>
      </c>
      <c r="AJ46" s="156"/>
      <c r="AK46" s="156"/>
      <c r="AL46" s="157" t="s">
        <v>28</v>
      </c>
      <c r="AM46" s="156"/>
      <c r="AN46" s="156"/>
      <c r="AO46" s="157" t="s">
        <v>28</v>
      </c>
      <c r="AP46" s="156"/>
      <c r="AQ46" s="156"/>
      <c r="AR46" s="157" t="s">
        <v>28</v>
      </c>
      <c r="AS46" s="156"/>
      <c r="AT46" s="156"/>
      <c r="AU46" s="157" t="s">
        <v>28</v>
      </c>
      <c r="AV46" s="156"/>
      <c r="AW46" s="156"/>
      <c r="AX46" s="157" t="s">
        <v>28</v>
      </c>
      <c r="AY46" s="156"/>
      <c r="AZ46" s="156"/>
      <c r="BA46" s="156"/>
    </row>
    <row r="47" spans="1:53" ht="14.45" customHeight="1" x14ac:dyDescent="0.25">
      <c r="A47" s="158" t="s">
        <v>58</v>
      </c>
      <c r="B47" s="156"/>
      <c r="C47" s="159">
        <v>0</v>
      </c>
      <c r="D47" s="156"/>
      <c r="E47" s="156"/>
      <c r="F47" s="159">
        <v>0</v>
      </c>
      <c r="G47" s="156"/>
      <c r="H47" s="156"/>
      <c r="I47" s="159">
        <v>0</v>
      </c>
      <c r="J47" s="156"/>
      <c r="K47" s="156"/>
      <c r="L47" s="159">
        <v>0</v>
      </c>
      <c r="M47" s="156"/>
      <c r="N47" s="156"/>
      <c r="O47" s="159">
        <v>0</v>
      </c>
      <c r="P47" s="156"/>
      <c r="Q47" s="156"/>
      <c r="R47" s="156"/>
      <c r="S47" s="156"/>
      <c r="T47" s="159">
        <v>0</v>
      </c>
      <c r="U47" s="156"/>
      <c r="V47" s="156"/>
      <c r="W47" s="159">
        <v>0</v>
      </c>
      <c r="X47" s="156"/>
      <c r="Y47" s="156"/>
      <c r="Z47" s="159">
        <v>0</v>
      </c>
      <c r="AA47" s="156"/>
      <c r="AB47" s="156"/>
      <c r="AC47" s="159">
        <v>0</v>
      </c>
      <c r="AD47" s="156"/>
      <c r="AE47" s="156"/>
      <c r="AF47" s="159">
        <v>0</v>
      </c>
      <c r="AG47" s="156"/>
      <c r="AH47" s="156"/>
      <c r="AI47" s="159">
        <v>0</v>
      </c>
      <c r="AJ47" s="156"/>
      <c r="AK47" s="156"/>
      <c r="AL47" s="157" t="s">
        <v>28</v>
      </c>
      <c r="AM47" s="156"/>
      <c r="AN47" s="156"/>
      <c r="AO47" s="157" t="s">
        <v>28</v>
      </c>
      <c r="AP47" s="156"/>
      <c r="AQ47" s="156"/>
      <c r="AR47" s="157" t="s">
        <v>28</v>
      </c>
      <c r="AS47" s="156"/>
      <c r="AT47" s="156"/>
      <c r="AU47" s="157" t="s">
        <v>28</v>
      </c>
      <c r="AV47" s="156"/>
      <c r="AW47" s="156"/>
      <c r="AX47" s="157" t="s">
        <v>28</v>
      </c>
      <c r="AY47" s="156"/>
      <c r="AZ47" s="156"/>
      <c r="BA47" s="156"/>
    </row>
    <row r="48" spans="1:53" ht="14.45" customHeight="1" x14ac:dyDescent="0.25">
      <c r="A48" s="158" t="s">
        <v>59</v>
      </c>
      <c r="B48" s="156"/>
      <c r="C48" s="159">
        <v>0</v>
      </c>
      <c r="D48" s="156"/>
      <c r="E48" s="156"/>
      <c r="F48" s="159">
        <v>0</v>
      </c>
      <c r="G48" s="156"/>
      <c r="H48" s="156"/>
      <c r="I48" s="159">
        <v>0</v>
      </c>
      <c r="J48" s="156"/>
      <c r="K48" s="156"/>
      <c r="L48" s="159">
        <v>0</v>
      </c>
      <c r="M48" s="156"/>
      <c r="N48" s="156"/>
      <c r="O48" s="159">
        <v>0</v>
      </c>
      <c r="P48" s="156"/>
      <c r="Q48" s="156"/>
      <c r="R48" s="156"/>
      <c r="S48" s="156"/>
      <c r="T48" s="159">
        <v>0</v>
      </c>
      <c r="U48" s="156"/>
      <c r="V48" s="156"/>
      <c r="W48" s="159">
        <v>0</v>
      </c>
      <c r="X48" s="156"/>
      <c r="Y48" s="156"/>
      <c r="Z48" s="159">
        <v>0</v>
      </c>
      <c r="AA48" s="156"/>
      <c r="AB48" s="156"/>
      <c r="AC48" s="159">
        <v>0</v>
      </c>
      <c r="AD48" s="156"/>
      <c r="AE48" s="156"/>
      <c r="AF48" s="159">
        <v>0</v>
      </c>
      <c r="AG48" s="156"/>
      <c r="AH48" s="156"/>
      <c r="AI48" s="159">
        <v>0</v>
      </c>
      <c r="AJ48" s="156"/>
      <c r="AK48" s="156"/>
      <c r="AL48" s="157" t="s">
        <v>28</v>
      </c>
      <c r="AM48" s="156"/>
      <c r="AN48" s="156"/>
      <c r="AO48" s="157" t="s">
        <v>28</v>
      </c>
      <c r="AP48" s="156"/>
      <c r="AQ48" s="156"/>
      <c r="AR48" s="157" t="s">
        <v>28</v>
      </c>
      <c r="AS48" s="156"/>
      <c r="AT48" s="156"/>
      <c r="AU48" s="157" t="s">
        <v>28</v>
      </c>
      <c r="AV48" s="156"/>
      <c r="AW48" s="156"/>
      <c r="AX48" s="157" t="s">
        <v>28</v>
      </c>
      <c r="AY48" s="156"/>
      <c r="AZ48" s="156"/>
      <c r="BA48" s="156"/>
    </row>
    <row r="49" spans="1:53" ht="14.45" customHeight="1" x14ac:dyDescent="0.25">
      <c r="A49" s="158" t="s">
        <v>60</v>
      </c>
      <c r="B49" s="156"/>
      <c r="C49" s="159">
        <v>0</v>
      </c>
      <c r="D49" s="156"/>
      <c r="E49" s="156"/>
      <c r="F49" s="159">
        <v>0</v>
      </c>
      <c r="G49" s="156"/>
      <c r="H49" s="156"/>
      <c r="I49" s="159">
        <v>0</v>
      </c>
      <c r="J49" s="156"/>
      <c r="K49" s="156"/>
      <c r="L49" s="159">
        <v>0</v>
      </c>
      <c r="M49" s="156"/>
      <c r="N49" s="156"/>
      <c r="O49" s="159">
        <v>0</v>
      </c>
      <c r="P49" s="156"/>
      <c r="Q49" s="156"/>
      <c r="R49" s="156"/>
      <c r="S49" s="156"/>
      <c r="T49" s="159">
        <v>0</v>
      </c>
      <c r="U49" s="156"/>
      <c r="V49" s="156"/>
      <c r="W49" s="159">
        <v>0</v>
      </c>
      <c r="X49" s="156"/>
      <c r="Y49" s="156"/>
      <c r="Z49" s="159">
        <v>0</v>
      </c>
      <c r="AA49" s="156"/>
      <c r="AB49" s="156"/>
      <c r="AC49" s="159">
        <v>0</v>
      </c>
      <c r="AD49" s="156"/>
      <c r="AE49" s="156"/>
      <c r="AF49" s="159">
        <v>0</v>
      </c>
      <c r="AG49" s="156"/>
      <c r="AH49" s="156"/>
      <c r="AI49" s="159">
        <v>0</v>
      </c>
      <c r="AJ49" s="156"/>
      <c r="AK49" s="156"/>
      <c r="AL49" s="157" t="s">
        <v>28</v>
      </c>
      <c r="AM49" s="156"/>
      <c r="AN49" s="156"/>
      <c r="AO49" s="157" t="s">
        <v>28</v>
      </c>
      <c r="AP49" s="156"/>
      <c r="AQ49" s="156"/>
      <c r="AR49" s="157" t="s">
        <v>28</v>
      </c>
      <c r="AS49" s="156"/>
      <c r="AT49" s="156"/>
      <c r="AU49" s="157" t="s">
        <v>28</v>
      </c>
      <c r="AV49" s="156"/>
      <c r="AW49" s="156"/>
      <c r="AX49" s="157" t="s">
        <v>28</v>
      </c>
      <c r="AY49" s="156"/>
      <c r="AZ49" s="156"/>
      <c r="BA49" s="156"/>
    </row>
    <row r="50" spans="1:53" ht="14.45" customHeight="1" x14ac:dyDescent="0.25">
      <c r="A50" s="158" t="s">
        <v>61</v>
      </c>
      <c r="B50" s="156"/>
      <c r="C50" s="159">
        <v>11073.31</v>
      </c>
      <c r="D50" s="156"/>
      <c r="E50" s="156"/>
      <c r="F50" s="159">
        <v>11073.31</v>
      </c>
      <c r="G50" s="156"/>
      <c r="H50" s="156"/>
      <c r="I50" s="159">
        <v>11073.31</v>
      </c>
      <c r="J50" s="156"/>
      <c r="K50" s="156"/>
      <c r="L50" s="159">
        <v>11073.31</v>
      </c>
      <c r="M50" s="156"/>
      <c r="N50" s="156"/>
      <c r="O50" s="159">
        <v>11073.31</v>
      </c>
      <c r="P50" s="156"/>
      <c r="Q50" s="156"/>
      <c r="R50" s="156"/>
      <c r="S50" s="156"/>
      <c r="T50" s="159">
        <v>11073.31</v>
      </c>
      <c r="U50" s="156"/>
      <c r="V50" s="156"/>
      <c r="W50" s="159">
        <v>11073.31</v>
      </c>
      <c r="X50" s="156"/>
      <c r="Y50" s="156"/>
      <c r="Z50" s="159">
        <v>11073.31</v>
      </c>
      <c r="AA50" s="156"/>
      <c r="AB50" s="156"/>
      <c r="AC50" s="159">
        <v>11073.31</v>
      </c>
      <c r="AD50" s="156"/>
      <c r="AE50" s="156"/>
      <c r="AF50" s="159">
        <v>11073.31</v>
      </c>
      <c r="AG50" s="156"/>
      <c r="AH50" s="156"/>
      <c r="AI50" s="159">
        <v>11073.31</v>
      </c>
      <c r="AJ50" s="156"/>
      <c r="AK50" s="156"/>
      <c r="AL50" s="157" t="s">
        <v>28</v>
      </c>
      <c r="AM50" s="156"/>
      <c r="AN50" s="156"/>
      <c r="AO50" s="157" t="s">
        <v>28</v>
      </c>
      <c r="AP50" s="156"/>
      <c r="AQ50" s="156"/>
      <c r="AR50" s="157" t="s">
        <v>28</v>
      </c>
      <c r="AS50" s="156"/>
      <c r="AT50" s="156"/>
      <c r="AU50" s="157" t="s">
        <v>28</v>
      </c>
      <c r="AV50" s="156"/>
      <c r="AW50" s="156"/>
      <c r="AX50" s="157" t="s">
        <v>28</v>
      </c>
      <c r="AY50" s="156"/>
      <c r="AZ50" s="156"/>
      <c r="BA50" s="156"/>
    </row>
    <row r="51" spans="1:53" ht="14.45" customHeight="1" x14ac:dyDescent="0.25">
      <c r="A51" s="158" t="s">
        <v>62</v>
      </c>
      <c r="B51" s="156"/>
      <c r="C51" s="160">
        <v>1483761.21</v>
      </c>
      <c r="D51" s="161"/>
      <c r="E51" s="161"/>
      <c r="F51" s="160">
        <v>327657.90000000002</v>
      </c>
      <c r="G51" s="161"/>
      <c r="H51" s="161"/>
      <c r="I51" s="159">
        <v>60000</v>
      </c>
      <c r="J51" s="156"/>
      <c r="K51" s="156"/>
      <c r="L51" s="159">
        <v>0</v>
      </c>
      <c r="M51" s="156"/>
      <c r="N51" s="156"/>
      <c r="O51" s="159">
        <v>0</v>
      </c>
      <c r="P51" s="156"/>
      <c r="Q51" s="156"/>
      <c r="R51" s="156"/>
      <c r="S51" s="156"/>
      <c r="T51" s="159">
        <v>0</v>
      </c>
      <c r="U51" s="156"/>
      <c r="V51" s="156"/>
      <c r="W51" s="159">
        <v>0</v>
      </c>
      <c r="X51" s="156"/>
      <c r="Y51" s="156"/>
      <c r="Z51" s="159">
        <v>0</v>
      </c>
      <c r="AA51" s="156"/>
      <c r="AB51" s="156"/>
      <c r="AC51" s="159">
        <v>0</v>
      </c>
      <c r="AD51" s="156"/>
      <c r="AE51" s="156"/>
      <c r="AF51" s="159">
        <v>0</v>
      </c>
      <c r="AG51" s="156"/>
      <c r="AH51" s="156"/>
      <c r="AI51" s="159">
        <v>0</v>
      </c>
      <c r="AJ51" s="156"/>
      <c r="AK51" s="156"/>
      <c r="AL51" s="157" t="s">
        <v>28</v>
      </c>
      <c r="AM51" s="156"/>
      <c r="AN51" s="156"/>
      <c r="AO51" s="157" t="s">
        <v>28</v>
      </c>
      <c r="AP51" s="156"/>
      <c r="AQ51" s="156"/>
      <c r="AR51" s="157" t="s">
        <v>28</v>
      </c>
      <c r="AS51" s="156"/>
      <c r="AT51" s="156"/>
      <c r="AU51" s="157" t="s">
        <v>28</v>
      </c>
      <c r="AV51" s="156"/>
      <c r="AW51" s="156"/>
      <c r="AX51" s="157" t="s">
        <v>28</v>
      </c>
      <c r="AY51" s="156"/>
      <c r="AZ51" s="156"/>
      <c r="BA51" s="156"/>
    </row>
    <row r="52" spans="1:53" ht="14.45" customHeight="1" x14ac:dyDescent="0.25">
      <c r="A52" s="158" t="s">
        <v>63</v>
      </c>
      <c r="B52" s="156"/>
      <c r="C52" s="159">
        <v>0</v>
      </c>
      <c r="D52" s="156"/>
      <c r="E52" s="156"/>
      <c r="F52" s="159">
        <v>0</v>
      </c>
      <c r="G52" s="156"/>
      <c r="H52" s="156"/>
      <c r="I52" s="160">
        <v>-768685.77</v>
      </c>
      <c r="J52" s="161"/>
      <c r="K52" s="161"/>
      <c r="L52" s="159">
        <v>51.48</v>
      </c>
      <c r="M52" s="156"/>
      <c r="N52" s="156"/>
      <c r="O52" s="159">
        <v>51.48</v>
      </c>
      <c r="P52" s="156"/>
      <c r="Q52" s="156"/>
      <c r="R52" s="156"/>
      <c r="S52" s="156"/>
      <c r="T52" s="159">
        <v>51.48</v>
      </c>
      <c r="U52" s="156"/>
      <c r="V52" s="156"/>
      <c r="W52" s="159">
        <v>51.48</v>
      </c>
      <c r="X52" s="156"/>
      <c r="Y52" s="156"/>
      <c r="Z52" s="159">
        <v>51.48</v>
      </c>
      <c r="AA52" s="156"/>
      <c r="AB52" s="156"/>
      <c r="AC52" s="159">
        <v>51.48</v>
      </c>
      <c r="AD52" s="156"/>
      <c r="AE52" s="156"/>
      <c r="AF52" s="159">
        <v>51.48</v>
      </c>
      <c r="AG52" s="156"/>
      <c r="AH52" s="156"/>
      <c r="AI52" s="159">
        <v>51.48</v>
      </c>
      <c r="AJ52" s="156"/>
      <c r="AK52" s="156"/>
      <c r="AL52" s="157" t="s">
        <v>28</v>
      </c>
      <c r="AM52" s="156"/>
      <c r="AN52" s="156"/>
      <c r="AO52" s="157" t="s">
        <v>28</v>
      </c>
      <c r="AP52" s="156"/>
      <c r="AQ52" s="156"/>
      <c r="AR52" s="157" t="s">
        <v>28</v>
      </c>
      <c r="AS52" s="156"/>
      <c r="AT52" s="156"/>
      <c r="AU52" s="157" t="s">
        <v>28</v>
      </c>
      <c r="AV52" s="156"/>
      <c r="AW52" s="156"/>
      <c r="AX52" s="157" t="s">
        <v>28</v>
      </c>
      <c r="AY52" s="156"/>
      <c r="AZ52" s="156"/>
      <c r="BA52" s="156"/>
    </row>
    <row r="53" spans="1:53" ht="14.45" customHeight="1" x14ac:dyDescent="0.25">
      <c r="A53" s="158" t="s">
        <v>64</v>
      </c>
      <c r="B53" s="156"/>
      <c r="C53" s="159">
        <v>0</v>
      </c>
      <c r="D53" s="156"/>
      <c r="E53" s="156"/>
      <c r="F53" s="159">
        <v>0</v>
      </c>
      <c r="G53" s="156"/>
      <c r="H53" s="156"/>
      <c r="I53" s="159">
        <v>0</v>
      </c>
      <c r="J53" s="156"/>
      <c r="K53" s="156"/>
      <c r="L53" s="159">
        <v>0</v>
      </c>
      <c r="M53" s="156"/>
      <c r="N53" s="156"/>
      <c r="O53" s="159">
        <v>0</v>
      </c>
      <c r="P53" s="156"/>
      <c r="Q53" s="156"/>
      <c r="R53" s="156"/>
      <c r="S53" s="156"/>
      <c r="T53" s="159">
        <v>0</v>
      </c>
      <c r="U53" s="156"/>
      <c r="V53" s="156"/>
      <c r="W53" s="159">
        <v>0</v>
      </c>
      <c r="X53" s="156"/>
      <c r="Y53" s="156"/>
      <c r="Z53" s="159">
        <v>0</v>
      </c>
      <c r="AA53" s="156"/>
      <c r="AB53" s="156"/>
      <c r="AC53" s="159">
        <v>0</v>
      </c>
      <c r="AD53" s="156"/>
      <c r="AE53" s="156"/>
      <c r="AF53" s="159">
        <v>0</v>
      </c>
      <c r="AG53" s="156"/>
      <c r="AH53" s="156"/>
      <c r="AI53" s="159">
        <v>0</v>
      </c>
      <c r="AJ53" s="156"/>
      <c r="AK53" s="156"/>
      <c r="AL53" s="157" t="s">
        <v>28</v>
      </c>
      <c r="AM53" s="156"/>
      <c r="AN53" s="156"/>
      <c r="AO53" s="157" t="s">
        <v>28</v>
      </c>
      <c r="AP53" s="156"/>
      <c r="AQ53" s="156"/>
      <c r="AR53" s="157" t="s">
        <v>28</v>
      </c>
      <c r="AS53" s="156"/>
      <c r="AT53" s="156"/>
      <c r="AU53" s="157" t="s">
        <v>28</v>
      </c>
      <c r="AV53" s="156"/>
      <c r="AW53" s="156"/>
      <c r="AX53" s="157" t="s">
        <v>28</v>
      </c>
      <c r="AY53" s="156"/>
      <c r="AZ53" s="156"/>
      <c r="BA53" s="156"/>
    </row>
    <row r="54" spans="1:53" ht="14.45" customHeight="1" x14ac:dyDescent="0.25">
      <c r="A54" s="158" t="s">
        <v>65</v>
      </c>
      <c r="B54" s="156"/>
      <c r="C54" s="159">
        <v>0</v>
      </c>
      <c r="D54" s="156"/>
      <c r="E54" s="156"/>
      <c r="F54" s="159">
        <v>0</v>
      </c>
      <c r="G54" s="156"/>
      <c r="H54" s="156"/>
      <c r="I54" s="159">
        <v>0</v>
      </c>
      <c r="J54" s="156"/>
      <c r="K54" s="156"/>
      <c r="L54" s="159">
        <v>0</v>
      </c>
      <c r="M54" s="156"/>
      <c r="N54" s="156"/>
      <c r="O54" s="159">
        <v>0</v>
      </c>
      <c r="P54" s="156"/>
      <c r="Q54" s="156"/>
      <c r="R54" s="156"/>
      <c r="S54" s="156"/>
      <c r="T54" s="159">
        <v>0</v>
      </c>
      <c r="U54" s="156"/>
      <c r="V54" s="156"/>
      <c r="W54" s="159">
        <v>0</v>
      </c>
      <c r="X54" s="156"/>
      <c r="Y54" s="156"/>
      <c r="Z54" s="159">
        <v>0</v>
      </c>
      <c r="AA54" s="156"/>
      <c r="AB54" s="156"/>
      <c r="AC54" s="159">
        <v>0</v>
      </c>
      <c r="AD54" s="156"/>
      <c r="AE54" s="156"/>
      <c r="AF54" s="159">
        <v>0</v>
      </c>
      <c r="AG54" s="156"/>
      <c r="AH54" s="156"/>
      <c r="AI54" s="159">
        <v>0</v>
      </c>
      <c r="AJ54" s="156"/>
      <c r="AK54" s="156"/>
      <c r="AL54" s="157" t="s">
        <v>28</v>
      </c>
      <c r="AM54" s="156"/>
      <c r="AN54" s="156"/>
      <c r="AO54" s="157" t="s">
        <v>28</v>
      </c>
      <c r="AP54" s="156"/>
      <c r="AQ54" s="156"/>
      <c r="AR54" s="157" t="s">
        <v>28</v>
      </c>
      <c r="AS54" s="156"/>
      <c r="AT54" s="156"/>
      <c r="AU54" s="157" t="s">
        <v>28</v>
      </c>
      <c r="AV54" s="156"/>
      <c r="AW54" s="156"/>
      <c r="AX54" s="157" t="s">
        <v>28</v>
      </c>
      <c r="AY54" s="156"/>
      <c r="AZ54" s="156"/>
      <c r="BA54" s="156"/>
    </row>
    <row r="55" spans="1:53" ht="14.45" customHeight="1" x14ac:dyDescent="0.25">
      <c r="A55" s="158" t="s">
        <v>66</v>
      </c>
      <c r="B55" s="156"/>
      <c r="C55" s="159">
        <v>0</v>
      </c>
      <c r="D55" s="156"/>
      <c r="E55" s="156"/>
      <c r="F55" s="159">
        <v>0</v>
      </c>
      <c r="G55" s="156"/>
      <c r="H55" s="156"/>
      <c r="I55" s="159">
        <v>0</v>
      </c>
      <c r="J55" s="156"/>
      <c r="K55" s="156"/>
      <c r="L55" s="159">
        <v>0</v>
      </c>
      <c r="M55" s="156"/>
      <c r="N55" s="156"/>
      <c r="O55" s="159">
        <v>0</v>
      </c>
      <c r="P55" s="156"/>
      <c r="Q55" s="156"/>
      <c r="R55" s="156"/>
      <c r="S55" s="156"/>
      <c r="T55" s="159">
        <v>0</v>
      </c>
      <c r="U55" s="156"/>
      <c r="V55" s="156"/>
      <c r="W55" s="159">
        <v>0</v>
      </c>
      <c r="X55" s="156"/>
      <c r="Y55" s="156"/>
      <c r="Z55" s="159">
        <v>0</v>
      </c>
      <c r="AA55" s="156"/>
      <c r="AB55" s="156"/>
      <c r="AC55" s="159">
        <v>0</v>
      </c>
      <c r="AD55" s="156"/>
      <c r="AE55" s="156"/>
      <c r="AF55" s="159">
        <v>0</v>
      </c>
      <c r="AG55" s="156"/>
      <c r="AH55" s="156"/>
      <c r="AI55" s="159">
        <v>0</v>
      </c>
      <c r="AJ55" s="156"/>
      <c r="AK55" s="156"/>
      <c r="AL55" s="157" t="s">
        <v>28</v>
      </c>
      <c r="AM55" s="156"/>
      <c r="AN55" s="156"/>
      <c r="AO55" s="157" t="s">
        <v>28</v>
      </c>
      <c r="AP55" s="156"/>
      <c r="AQ55" s="156"/>
      <c r="AR55" s="157" t="s">
        <v>28</v>
      </c>
      <c r="AS55" s="156"/>
      <c r="AT55" s="156"/>
      <c r="AU55" s="157" t="s">
        <v>28</v>
      </c>
      <c r="AV55" s="156"/>
      <c r="AW55" s="156"/>
      <c r="AX55" s="157" t="s">
        <v>28</v>
      </c>
      <c r="AY55" s="156"/>
      <c r="AZ55" s="156"/>
      <c r="BA55" s="156"/>
    </row>
    <row r="56" spans="1:53" ht="14.45" customHeight="1" x14ac:dyDescent="0.25">
      <c r="A56" s="158" t="s">
        <v>67</v>
      </c>
      <c r="B56" s="156"/>
      <c r="C56" s="159">
        <v>1536359.44</v>
      </c>
      <c r="D56" s="156"/>
      <c r="E56" s="156"/>
      <c r="F56" s="159">
        <v>380256.13</v>
      </c>
      <c r="G56" s="156"/>
      <c r="H56" s="156"/>
      <c r="I56" s="159">
        <v>-656087.54</v>
      </c>
      <c r="J56" s="156"/>
      <c r="K56" s="156"/>
      <c r="L56" s="159">
        <v>66491.350000000006</v>
      </c>
      <c r="M56" s="156"/>
      <c r="N56" s="156"/>
      <c r="O56" s="159">
        <v>66491.350000000006</v>
      </c>
      <c r="P56" s="156"/>
      <c r="Q56" s="156"/>
      <c r="R56" s="156"/>
      <c r="S56" s="156"/>
      <c r="T56" s="159">
        <v>66491.350000000006</v>
      </c>
      <c r="U56" s="156"/>
      <c r="V56" s="156"/>
      <c r="W56" s="159">
        <v>66491.350000000006</v>
      </c>
      <c r="X56" s="156"/>
      <c r="Y56" s="156"/>
      <c r="Z56" s="159">
        <v>66491.350000000006</v>
      </c>
      <c r="AA56" s="156"/>
      <c r="AB56" s="156"/>
      <c r="AC56" s="159">
        <v>66491.350000000006</v>
      </c>
      <c r="AD56" s="156"/>
      <c r="AE56" s="156"/>
      <c r="AF56" s="159">
        <v>66491.350000000006</v>
      </c>
      <c r="AG56" s="156"/>
      <c r="AH56" s="156"/>
      <c r="AI56" s="159">
        <v>66491.350000000006</v>
      </c>
      <c r="AJ56" s="156"/>
      <c r="AK56" s="156"/>
      <c r="AL56" s="157" t="s">
        <v>28</v>
      </c>
      <c r="AM56" s="156"/>
      <c r="AN56" s="156"/>
      <c r="AO56" s="157" t="s">
        <v>28</v>
      </c>
      <c r="AP56" s="156"/>
      <c r="AQ56" s="156"/>
      <c r="AR56" s="157" t="s">
        <v>28</v>
      </c>
      <c r="AS56" s="156"/>
      <c r="AT56" s="156"/>
      <c r="AU56" s="157" t="s">
        <v>28</v>
      </c>
      <c r="AV56" s="156"/>
      <c r="AW56" s="156"/>
      <c r="AX56" s="157" t="s">
        <v>28</v>
      </c>
      <c r="AY56" s="156"/>
      <c r="AZ56" s="156"/>
      <c r="BA56" s="156"/>
    </row>
    <row r="57" spans="1:53" ht="14.45" customHeight="1" x14ac:dyDescent="0.25">
      <c r="A57" s="158" t="s">
        <v>68</v>
      </c>
      <c r="B57" s="156"/>
      <c r="C57" s="159">
        <v>2256476.11</v>
      </c>
      <c r="D57" s="156"/>
      <c r="E57" s="156"/>
      <c r="F57" s="159">
        <v>1294992.19</v>
      </c>
      <c r="G57" s="156"/>
      <c r="H57" s="156"/>
      <c r="I57" s="159">
        <v>1286343.67</v>
      </c>
      <c r="J57" s="156"/>
      <c r="K57" s="156"/>
      <c r="L57" s="159">
        <v>1295198.8700000001</v>
      </c>
      <c r="M57" s="156"/>
      <c r="N57" s="156"/>
      <c r="O57" s="159">
        <v>1767597.29</v>
      </c>
      <c r="P57" s="156"/>
      <c r="Q57" s="156"/>
      <c r="R57" s="156"/>
      <c r="S57" s="156"/>
      <c r="T57" s="159">
        <v>1968420.19</v>
      </c>
      <c r="U57" s="156"/>
      <c r="V57" s="156"/>
      <c r="W57" s="159">
        <v>2238186.63</v>
      </c>
      <c r="X57" s="156"/>
      <c r="Y57" s="156"/>
      <c r="Z57" s="159">
        <v>1810968.5</v>
      </c>
      <c r="AA57" s="156"/>
      <c r="AB57" s="156"/>
      <c r="AC57" s="159">
        <v>929959.21</v>
      </c>
      <c r="AD57" s="156"/>
      <c r="AE57" s="156"/>
      <c r="AF57" s="159">
        <v>1312630.5</v>
      </c>
      <c r="AG57" s="156"/>
      <c r="AH57" s="156"/>
      <c r="AI57" s="159">
        <v>1445921.42</v>
      </c>
      <c r="AJ57" s="156"/>
      <c r="AK57" s="156"/>
      <c r="AL57" s="157" t="s">
        <v>28</v>
      </c>
      <c r="AM57" s="156"/>
      <c r="AN57" s="156"/>
      <c r="AO57" s="157" t="s">
        <v>28</v>
      </c>
      <c r="AP57" s="156"/>
      <c r="AQ57" s="156"/>
      <c r="AR57" s="157" t="s">
        <v>28</v>
      </c>
      <c r="AS57" s="156"/>
      <c r="AT57" s="156"/>
      <c r="AU57" s="157" t="s">
        <v>28</v>
      </c>
      <c r="AV57" s="156"/>
      <c r="AW57" s="156"/>
      <c r="AX57" s="157" t="s">
        <v>28</v>
      </c>
      <c r="AY57" s="156"/>
      <c r="AZ57" s="156"/>
      <c r="BA57" s="156"/>
    </row>
    <row r="58" spans="1:53" ht="14.45" customHeight="1" x14ac:dyDescent="0.25">
      <c r="A58" s="158" t="s">
        <v>69</v>
      </c>
      <c r="B58" s="156"/>
      <c r="C58" s="159">
        <v>0</v>
      </c>
      <c r="D58" s="156"/>
      <c r="E58" s="156"/>
      <c r="F58" s="159">
        <v>0</v>
      </c>
      <c r="G58" s="156"/>
      <c r="H58" s="156"/>
      <c r="I58" s="159">
        <v>0</v>
      </c>
      <c r="J58" s="156"/>
      <c r="K58" s="156"/>
      <c r="L58" s="159">
        <v>0</v>
      </c>
      <c r="M58" s="156"/>
      <c r="N58" s="156"/>
      <c r="O58" s="159">
        <v>0</v>
      </c>
      <c r="P58" s="156"/>
      <c r="Q58" s="156"/>
      <c r="R58" s="156"/>
      <c r="S58" s="156"/>
      <c r="T58" s="159">
        <v>0</v>
      </c>
      <c r="U58" s="156"/>
      <c r="V58" s="156"/>
      <c r="W58" s="159">
        <v>0</v>
      </c>
      <c r="X58" s="156"/>
      <c r="Y58" s="156"/>
      <c r="Z58" s="159">
        <v>0</v>
      </c>
      <c r="AA58" s="156"/>
      <c r="AB58" s="156"/>
      <c r="AC58" s="159">
        <v>0</v>
      </c>
      <c r="AD58" s="156"/>
      <c r="AE58" s="156"/>
      <c r="AF58" s="159">
        <v>0</v>
      </c>
      <c r="AG58" s="156"/>
      <c r="AH58" s="156"/>
      <c r="AI58" s="159">
        <v>0</v>
      </c>
      <c r="AJ58" s="156"/>
      <c r="AK58" s="156"/>
      <c r="AL58" s="157" t="s">
        <v>28</v>
      </c>
      <c r="AM58" s="156"/>
      <c r="AN58" s="156"/>
      <c r="AO58" s="157" t="s">
        <v>28</v>
      </c>
      <c r="AP58" s="156"/>
      <c r="AQ58" s="156"/>
      <c r="AR58" s="157" t="s">
        <v>28</v>
      </c>
      <c r="AS58" s="156"/>
      <c r="AT58" s="156"/>
      <c r="AU58" s="157" t="s">
        <v>28</v>
      </c>
      <c r="AV58" s="156"/>
      <c r="AW58" s="156"/>
      <c r="AX58" s="157" t="s">
        <v>28</v>
      </c>
      <c r="AY58" s="156"/>
      <c r="AZ58" s="156"/>
      <c r="BA58" s="156"/>
    </row>
    <row r="59" spans="1:53" ht="14.45" customHeight="1" x14ac:dyDescent="0.25">
      <c r="A59" s="158" t="s">
        <v>70</v>
      </c>
      <c r="B59" s="156"/>
      <c r="C59" s="159">
        <v>3792835.55</v>
      </c>
      <c r="D59" s="156"/>
      <c r="E59" s="156"/>
      <c r="F59" s="159">
        <v>1675248.32</v>
      </c>
      <c r="G59" s="156"/>
      <c r="H59" s="156"/>
      <c r="I59" s="159">
        <v>630256.13</v>
      </c>
      <c r="J59" s="156"/>
      <c r="K59" s="156"/>
      <c r="L59" s="159">
        <v>1361690.22</v>
      </c>
      <c r="M59" s="156"/>
      <c r="N59" s="156"/>
      <c r="O59" s="159">
        <v>1834088.64</v>
      </c>
      <c r="P59" s="156"/>
      <c r="Q59" s="156"/>
      <c r="R59" s="156"/>
      <c r="S59" s="156"/>
      <c r="T59" s="159">
        <v>2034911.54</v>
      </c>
      <c r="U59" s="156"/>
      <c r="V59" s="156"/>
      <c r="W59" s="159">
        <v>2304677.98</v>
      </c>
      <c r="X59" s="156"/>
      <c r="Y59" s="156"/>
      <c r="Z59" s="159">
        <v>1877459.85</v>
      </c>
      <c r="AA59" s="156"/>
      <c r="AB59" s="156"/>
      <c r="AC59" s="159">
        <v>996450.56</v>
      </c>
      <c r="AD59" s="156"/>
      <c r="AE59" s="156"/>
      <c r="AF59" s="159">
        <v>1379121.85</v>
      </c>
      <c r="AG59" s="156"/>
      <c r="AH59" s="156"/>
      <c r="AI59" s="159">
        <v>1512412.77</v>
      </c>
      <c r="AJ59" s="156"/>
      <c r="AK59" s="156"/>
      <c r="AL59" s="157" t="s">
        <v>28</v>
      </c>
      <c r="AM59" s="156"/>
      <c r="AN59" s="156"/>
      <c r="AO59" s="157" t="s">
        <v>28</v>
      </c>
      <c r="AP59" s="156"/>
      <c r="AQ59" s="156"/>
      <c r="AR59" s="157" t="s">
        <v>28</v>
      </c>
      <c r="AS59" s="156"/>
      <c r="AT59" s="156"/>
      <c r="AU59" s="157" t="s">
        <v>28</v>
      </c>
      <c r="AV59" s="156"/>
      <c r="AW59" s="156"/>
      <c r="AX59" s="157" t="s">
        <v>28</v>
      </c>
      <c r="AY59" s="156"/>
      <c r="AZ59" s="156"/>
      <c r="BA59" s="156"/>
    </row>
    <row r="60" spans="1:53" ht="14.45" customHeight="1" x14ac:dyDescent="0.25">
      <c r="A60" s="156"/>
      <c r="B60" s="156"/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  <c r="AF60" s="156"/>
      <c r="AG60" s="156"/>
      <c r="AH60" s="156"/>
      <c r="AI60" s="156"/>
      <c r="AJ60" s="156"/>
      <c r="AK60" s="156"/>
      <c r="AL60" s="156"/>
      <c r="AM60" s="156"/>
      <c r="AN60" s="156"/>
      <c r="AO60" s="156"/>
      <c r="AP60" s="156"/>
      <c r="AQ60" s="156"/>
      <c r="AR60" s="156"/>
      <c r="AS60" s="156"/>
      <c r="AT60" s="156"/>
      <c r="AU60" s="156"/>
      <c r="AV60" s="156"/>
      <c r="AW60" s="156"/>
      <c r="AX60" s="156"/>
      <c r="AY60" s="156"/>
      <c r="AZ60" s="156"/>
      <c r="BA60" s="156"/>
    </row>
    <row r="61" spans="1:53" ht="14.45" customHeight="1" x14ac:dyDescent="0.25">
      <c r="A61" s="163" t="s">
        <v>71</v>
      </c>
      <c r="B61" s="156"/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6"/>
      <c r="AF61" s="156"/>
      <c r="AG61" s="156"/>
      <c r="AH61" s="156"/>
      <c r="AI61" s="156"/>
      <c r="AJ61" s="156"/>
      <c r="AK61" s="156"/>
      <c r="AL61" s="156"/>
      <c r="AM61" s="156"/>
      <c r="AN61" s="156"/>
      <c r="AO61" s="156"/>
      <c r="AP61" s="156"/>
      <c r="AQ61" s="156"/>
      <c r="AR61" s="156"/>
      <c r="AS61" s="156"/>
      <c r="AT61" s="156"/>
      <c r="AU61" s="156"/>
      <c r="AV61" s="156"/>
      <c r="AW61" s="156"/>
      <c r="AX61" s="156"/>
      <c r="AY61" s="156"/>
      <c r="AZ61" s="156"/>
      <c r="BA61" s="156"/>
    </row>
    <row r="62" spans="1:53" ht="14.45" customHeight="1" x14ac:dyDescent="0.25">
      <c r="A62" s="158" t="s">
        <v>72</v>
      </c>
      <c r="B62" s="156"/>
      <c r="C62" s="159">
        <v>0</v>
      </c>
      <c r="D62" s="156"/>
      <c r="E62" s="156"/>
      <c r="F62" s="159">
        <v>0</v>
      </c>
      <c r="G62" s="156"/>
      <c r="H62" s="156"/>
      <c r="I62" s="159">
        <v>0</v>
      </c>
      <c r="J62" s="156"/>
      <c r="K62" s="156"/>
      <c r="L62" s="159">
        <v>0</v>
      </c>
      <c r="M62" s="156"/>
      <c r="N62" s="156"/>
      <c r="O62" s="159">
        <v>0</v>
      </c>
      <c r="P62" s="156"/>
      <c r="Q62" s="156"/>
      <c r="R62" s="156"/>
      <c r="S62" s="156"/>
      <c r="T62" s="159">
        <v>0</v>
      </c>
      <c r="U62" s="156"/>
      <c r="V62" s="156"/>
      <c r="W62" s="159">
        <v>0</v>
      </c>
      <c r="X62" s="156"/>
      <c r="Y62" s="156"/>
      <c r="Z62" s="159">
        <v>0</v>
      </c>
      <c r="AA62" s="156"/>
      <c r="AB62" s="156"/>
      <c r="AC62" s="159">
        <v>0</v>
      </c>
      <c r="AD62" s="156"/>
      <c r="AE62" s="156"/>
      <c r="AF62" s="159">
        <v>0</v>
      </c>
      <c r="AG62" s="156"/>
      <c r="AH62" s="156"/>
      <c r="AI62" s="159">
        <v>0</v>
      </c>
      <c r="AJ62" s="156"/>
      <c r="AK62" s="156"/>
      <c r="AL62" s="157" t="s">
        <v>28</v>
      </c>
      <c r="AM62" s="156"/>
      <c r="AN62" s="156"/>
      <c r="AO62" s="157" t="s">
        <v>28</v>
      </c>
      <c r="AP62" s="156"/>
      <c r="AQ62" s="156"/>
      <c r="AR62" s="157" t="s">
        <v>28</v>
      </c>
      <c r="AS62" s="156"/>
      <c r="AT62" s="156"/>
      <c r="AU62" s="157" t="s">
        <v>28</v>
      </c>
      <c r="AV62" s="156"/>
      <c r="AW62" s="156"/>
      <c r="AX62" s="157" t="s">
        <v>28</v>
      </c>
      <c r="AY62" s="156"/>
      <c r="AZ62" s="156"/>
      <c r="BA62" s="156"/>
    </row>
    <row r="63" spans="1:53" ht="14.45" customHeight="1" x14ac:dyDescent="0.25">
      <c r="A63" s="158" t="s">
        <v>73</v>
      </c>
      <c r="B63" s="156"/>
      <c r="C63" s="159">
        <v>0</v>
      </c>
      <c r="D63" s="156"/>
      <c r="E63" s="156"/>
      <c r="F63" s="159">
        <v>0</v>
      </c>
      <c r="G63" s="156"/>
      <c r="H63" s="156"/>
      <c r="I63" s="160">
        <v>1218750</v>
      </c>
      <c r="J63" s="161"/>
      <c r="K63" s="161"/>
      <c r="L63" s="159">
        <v>0</v>
      </c>
      <c r="M63" s="156"/>
      <c r="N63" s="156"/>
      <c r="O63" s="159">
        <v>0</v>
      </c>
      <c r="P63" s="156"/>
      <c r="Q63" s="156"/>
      <c r="R63" s="156"/>
      <c r="S63" s="156"/>
      <c r="T63" s="159">
        <v>0</v>
      </c>
      <c r="U63" s="156"/>
      <c r="V63" s="156"/>
      <c r="W63" s="159">
        <v>0</v>
      </c>
      <c r="X63" s="156"/>
      <c r="Y63" s="156"/>
      <c r="Z63" s="159">
        <v>0</v>
      </c>
      <c r="AA63" s="156"/>
      <c r="AB63" s="156"/>
      <c r="AC63" s="159">
        <v>0</v>
      </c>
      <c r="AD63" s="156"/>
      <c r="AE63" s="156"/>
      <c r="AF63" s="159">
        <v>0</v>
      </c>
      <c r="AG63" s="156"/>
      <c r="AH63" s="156"/>
      <c r="AI63" s="159">
        <v>0</v>
      </c>
      <c r="AJ63" s="156"/>
      <c r="AK63" s="156"/>
      <c r="AL63" s="157" t="s">
        <v>28</v>
      </c>
      <c r="AM63" s="156"/>
      <c r="AN63" s="156"/>
      <c r="AO63" s="157" t="s">
        <v>28</v>
      </c>
      <c r="AP63" s="156"/>
      <c r="AQ63" s="156"/>
      <c r="AR63" s="157" t="s">
        <v>28</v>
      </c>
      <c r="AS63" s="156"/>
      <c r="AT63" s="156"/>
      <c r="AU63" s="157" t="s">
        <v>28</v>
      </c>
      <c r="AV63" s="156"/>
      <c r="AW63" s="156"/>
      <c r="AX63" s="157" t="s">
        <v>28</v>
      </c>
      <c r="AY63" s="156"/>
      <c r="AZ63" s="156"/>
      <c r="BA63" s="156"/>
    </row>
    <row r="64" spans="1:53" ht="14.45" customHeight="1" x14ac:dyDescent="0.25">
      <c r="A64" s="158" t="s">
        <v>74</v>
      </c>
      <c r="B64" s="156"/>
      <c r="C64" s="159">
        <v>0</v>
      </c>
      <c r="D64" s="156"/>
      <c r="E64" s="156"/>
      <c r="F64" s="159">
        <v>0</v>
      </c>
      <c r="G64" s="156"/>
      <c r="H64" s="156"/>
      <c r="I64" s="159">
        <v>0</v>
      </c>
      <c r="J64" s="156"/>
      <c r="K64" s="156"/>
      <c r="L64" s="159">
        <v>0</v>
      </c>
      <c r="M64" s="156"/>
      <c r="N64" s="156"/>
      <c r="O64" s="159">
        <v>0</v>
      </c>
      <c r="P64" s="156"/>
      <c r="Q64" s="156"/>
      <c r="R64" s="156"/>
      <c r="S64" s="156"/>
      <c r="T64" s="159">
        <v>0</v>
      </c>
      <c r="U64" s="156"/>
      <c r="V64" s="156"/>
      <c r="W64" s="159">
        <v>0</v>
      </c>
      <c r="X64" s="156"/>
      <c r="Y64" s="156"/>
      <c r="Z64" s="159">
        <v>0</v>
      </c>
      <c r="AA64" s="156"/>
      <c r="AB64" s="156"/>
      <c r="AC64" s="159">
        <v>0</v>
      </c>
      <c r="AD64" s="156"/>
      <c r="AE64" s="156"/>
      <c r="AF64" s="159">
        <v>0</v>
      </c>
      <c r="AG64" s="156"/>
      <c r="AH64" s="156"/>
      <c r="AI64" s="159">
        <v>0</v>
      </c>
      <c r="AJ64" s="156"/>
      <c r="AK64" s="156"/>
      <c r="AL64" s="157" t="s">
        <v>28</v>
      </c>
      <c r="AM64" s="156"/>
      <c r="AN64" s="156"/>
      <c r="AO64" s="157" t="s">
        <v>28</v>
      </c>
      <c r="AP64" s="156"/>
      <c r="AQ64" s="156"/>
      <c r="AR64" s="157" t="s">
        <v>28</v>
      </c>
      <c r="AS64" s="156"/>
      <c r="AT64" s="156"/>
      <c r="AU64" s="157" t="s">
        <v>28</v>
      </c>
      <c r="AV64" s="156"/>
      <c r="AW64" s="156"/>
      <c r="AX64" s="157" t="s">
        <v>28</v>
      </c>
      <c r="AY64" s="156"/>
      <c r="AZ64" s="156"/>
      <c r="BA64" s="156"/>
    </row>
    <row r="65" spans="1:53" ht="14.45" customHeight="1" x14ac:dyDescent="0.25">
      <c r="A65" s="158" t="s">
        <v>75</v>
      </c>
      <c r="B65" s="156"/>
      <c r="C65" s="159">
        <v>0</v>
      </c>
      <c r="D65" s="156"/>
      <c r="E65" s="156"/>
      <c r="F65" s="159">
        <v>0</v>
      </c>
      <c r="G65" s="156"/>
      <c r="H65" s="156"/>
      <c r="I65" s="159">
        <v>0</v>
      </c>
      <c r="J65" s="156"/>
      <c r="K65" s="156"/>
      <c r="L65" s="159">
        <v>0</v>
      </c>
      <c r="M65" s="156"/>
      <c r="N65" s="156"/>
      <c r="O65" s="159">
        <v>0</v>
      </c>
      <c r="P65" s="156"/>
      <c r="Q65" s="156"/>
      <c r="R65" s="156"/>
      <c r="S65" s="156"/>
      <c r="T65" s="159">
        <v>0</v>
      </c>
      <c r="U65" s="156"/>
      <c r="V65" s="156"/>
      <c r="W65" s="159">
        <v>0</v>
      </c>
      <c r="X65" s="156"/>
      <c r="Y65" s="156"/>
      <c r="Z65" s="159">
        <v>0</v>
      </c>
      <c r="AA65" s="156"/>
      <c r="AB65" s="156"/>
      <c r="AC65" s="159">
        <v>0</v>
      </c>
      <c r="AD65" s="156"/>
      <c r="AE65" s="156"/>
      <c r="AF65" s="159">
        <v>0</v>
      </c>
      <c r="AG65" s="156"/>
      <c r="AH65" s="156"/>
      <c r="AI65" s="159">
        <v>0</v>
      </c>
      <c r="AJ65" s="156"/>
      <c r="AK65" s="156"/>
      <c r="AL65" s="157" t="s">
        <v>28</v>
      </c>
      <c r="AM65" s="156"/>
      <c r="AN65" s="156"/>
      <c r="AO65" s="157" t="s">
        <v>28</v>
      </c>
      <c r="AP65" s="156"/>
      <c r="AQ65" s="156"/>
      <c r="AR65" s="157" t="s">
        <v>28</v>
      </c>
      <c r="AS65" s="156"/>
      <c r="AT65" s="156"/>
      <c r="AU65" s="157" t="s">
        <v>28</v>
      </c>
      <c r="AV65" s="156"/>
      <c r="AW65" s="156"/>
      <c r="AX65" s="157" t="s">
        <v>28</v>
      </c>
      <c r="AY65" s="156"/>
      <c r="AZ65" s="156"/>
      <c r="BA65" s="156"/>
    </row>
    <row r="66" spans="1:53" ht="14.45" customHeight="1" x14ac:dyDescent="0.25">
      <c r="A66" s="158" t="s">
        <v>76</v>
      </c>
      <c r="B66" s="156"/>
      <c r="C66" s="159">
        <v>0</v>
      </c>
      <c r="D66" s="156"/>
      <c r="E66" s="156"/>
      <c r="F66" s="159">
        <v>0</v>
      </c>
      <c r="G66" s="156"/>
      <c r="H66" s="156"/>
      <c r="I66" s="159">
        <v>0</v>
      </c>
      <c r="J66" s="156"/>
      <c r="K66" s="156"/>
      <c r="L66" s="159">
        <v>0</v>
      </c>
      <c r="M66" s="156"/>
      <c r="N66" s="156"/>
      <c r="O66" s="159">
        <v>0</v>
      </c>
      <c r="P66" s="156"/>
      <c r="Q66" s="156"/>
      <c r="R66" s="156"/>
      <c r="S66" s="156"/>
      <c r="T66" s="159">
        <v>8000</v>
      </c>
      <c r="U66" s="156"/>
      <c r="V66" s="156"/>
      <c r="W66" s="159">
        <v>8000</v>
      </c>
      <c r="X66" s="156"/>
      <c r="Y66" s="156"/>
      <c r="Z66" s="159">
        <v>8000</v>
      </c>
      <c r="AA66" s="156"/>
      <c r="AB66" s="156"/>
      <c r="AC66" s="159">
        <v>8000</v>
      </c>
      <c r="AD66" s="156"/>
      <c r="AE66" s="156"/>
      <c r="AF66" s="159">
        <v>12.7</v>
      </c>
      <c r="AG66" s="156"/>
      <c r="AH66" s="156"/>
      <c r="AI66" s="159">
        <v>12.82</v>
      </c>
      <c r="AJ66" s="156"/>
      <c r="AK66" s="156"/>
      <c r="AL66" s="157" t="s">
        <v>28</v>
      </c>
      <c r="AM66" s="156"/>
      <c r="AN66" s="156"/>
      <c r="AO66" s="157" t="s">
        <v>28</v>
      </c>
      <c r="AP66" s="156"/>
      <c r="AQ66" s="156"/>
      <c r="AR66" s="157" t="s">
        <v>28</v>
      </c>
      <c r="AS66" s="156"/>
      <c r="AT66" s="156"/>
      <c r="AU66" s="157" t="s">
        <v>28</v>
      </c>
      <c r="AV66" s="156"/>
      <c r="AW66" s="156"/>
      <c r="AX66" s="157" t="s">
        <v>28</v>
      </c>
      <c r="AY66" s="156"/>
      <c r="AZ66" s="156"/>
      <c r="BA66" s="156"/>
    </row>
    <row r="67" spans="1:53" ht="14.45" customHeight="1" x14ac:dyDescent="0.25">
      <c r="A67" s="158" t="s">
        <v>77</v>
      </c>
      <c r="B67" s="156"/>
      <c r="C67" s="159">
        <v>0</v>
      </c>
      <c r="D67" s="156"/>
      <c r="E67" s="156"/>
      <c r="F67" s="159">
        <v>0</v>
      </c>
      <c r="G67" s="156"/>
      <c r="H67" s="156"/>
      <c r="I67" s="159">
        <v>1218750</v>
      </c>
      <c r="J67" s="156"/>
      <c r="K67" s="156"/>
      <c r="L67" s="159">
        <v>0</v>
      </c>
      <c r="M67" s="156"/>
      <c r="N67" s="156"/>
      <c r="O67" s="159">
        <v>0</v>
      </c>
      <c r="P67" s="156"/>
      <c r="Q67" s="156"/>
      <c r="R67" s="156"/>
      <c r="S67" s="156"/>
      <c r="T67" s="159">
        <v>8000</v>
      </c>
      <c r="U67" s="156"/>
      <c r="V67" s="156"/>
      <c r="W67" s="159">
        <v>8000</v>
      </c>
      <c r="X67" s="156"/>
      <c r="Y67" s="156"/>
      <c r="Z67" s="159">
        <v>8000</v>
      </c>
      <c r="AA67" s="156"/>
      <c r="AB67" s="156"/>
      <c r="AC67" s="159">
        <v>8000</v>
      </c>
      <c r="AD67" s="156"/>
      <c r="AE67" s="156"/>
      <c r="AF67" s="159">
        <v>12.7</v>
      </c>
      <c r="AG67" s="156"/>
      <c r="AH67" s="156"/>
      <c r="AI67" s="159">
        <v>12.82</v>
      </c>
      <c r="AJ67" s="156"/>
      <c r="AK67" s="156"/>
      <c r="AL67" s="157" t="s">
        <v>28</v>
      </c>
      <c r="AM67" s="156"/>
      <c r="AN67" s="156"/>
      <c r="AO67" s="157" t="s">
        <v>28</v>
      </c>
      <c r="AP67" s="156"/>
      <c r="AQ67" s="156"/>
      <c r="AR67" s="157" t="s">
        <v>28</v>
      </c>
      <c r="AS67" s="156"/>
      <c r="AT67" s="156"/>
      <c r="AU67" s="157" t="s">
        <v>28</v>
      </c>
      <c r="AV67" s="156"/>
      <c r="AW67" s="156"/>
      <c r="AX67" s="157" t="s">
        <v>28</v>
      </c>
      <c r="AY67" s="156"/>
      <c r="AZ67" s="156"/>
      <c r="BA67" s="156"/>
    </row>
    <row r="68" spans="1:53" ht="14.45" customHeight="1" x14ac:dyDescent="0.25">
      <c r="A68" s="156"/>
      <c r="B68" s="156"/>
      <c r="C68" s="156"/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56"/>
      <c r="P68" s="156"/>
      <c r="Q68" s="156"/>
      <c r="R68" s="156"/>
      <c r="S68" s="156"/>
      <c r="T68" s="156"/>
      <c r="U68" s="156"/>
      <c r="V68" s="156"/>
      <c r="W68" s="156"/>
      <c r="X68" s="156"/>
      <c r="Y68" s="156"/>
      <c r="Z68" s="156"/>
      <c r="AA68" s="156"/>
      <c r="AB68" s="156"/>
      <c r="AC68" s="156"/>
      <c r="AD68" s="156"/>
      <c r="AE68" s="156"/>
      <c r="AF68" s="156"/>
      <c r="AG68" s="156"/>
      <c r="AH68" s="156"/>
      <c r="AI68" s="156"/>
      <c r="AJ68" s="156"/>
      <c r="AK68" s="156"/>
      <c r="AL68" s="156"/>
      <c r="AM68" s="156"/>
      <c r="AN68" s="156"/>
      <c r="AO68" s="156"/>
      <c r="AP68" s="156"/>
      <c r="AQ68" s="156"/>
      <c r="AR68" s="156"/>
      <c r="AS68" s="156"/>
      <c r="AT68" s="156"/>
      <c r="AU68" s="156"/>
      <c r="AV68" s="156"/>
      <c r="AW68" s="156"/>
      <c r="AX68" s="156"/>
      <c r="AY68" s="156"/>
      <c r="AZ68" s="156"/>
      <c r="BA68" s="156"/>
    </row>
    <row r="69" spans="1:53" ht="14.45" customHeight="1" x14ac:dyDescent="0.25">
      <c r="A69" s="163" t="s">
        <v>78</v>
      </c>
      <c r="B69" s="156"/>
      <c r="C69" s="156"/>
      <c r="D69" s="156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56"/>
      <c r="P69" s="156"/>
      <c r="Q69" s="156"/>
      <c r="R69" s="156"/>
      <c r="S69" s="156"/>
      <c r="T69" s="156"/>
      <c r="U69" s="156"/>
      <c r="V69" s="156"/>
      <c r="W69" s="156"/>
      <c r="X69" s="156"/>
      <c r="Y69" s="156"/>
      <c r="Z69" s="156"/>
      <c r="AA69" s="156"/>
      <c r="AB69" s="156"/>
      <c r="AC69" s="156"/>
      <c r="AD69" s="156"/>
      <c r="AE69" s="156"/>
      <c r="AF69" s="156"/>
      <c r="AG69" s="156"/>
      <c r="AH69" s="156"/>
      <c r="AI69" s="156"/>
      <c r="AJ69" s="156"/>
      <c r="AK69" s="156"/>
      <c r="AL69" s="156"/>
      <c r="AM69" s="156"/>
      <c r="AN69" s="156"/>
      <c r="AO69" s="156"/>
      <c r="AP69" s="156"/>
      <c r="AQ69" s="156"/>
      <c r="AR69" s="156"/>
      <c r="AS69" s="156"/>
      <c r="AT69" s="156"/>
      <c r="AU69" s="156"/>
      <c r="AV69" s="156"/>
      <c r="AW69" s="156"/>
      <c r="AX69" s="156"/>
      <c r="AY69" s="156"/>
      <c r="AZ69" s="156"/>
      <c r="BA69" s="156"/>
    </row>
    <row r="70" spans="1:53" ht="14.45" customHeight="1" x14ac:dyDescent="0.25">
      <c r="A70" s="158" t="s">
        <v>79</v>
      </c>
      <c r="B70" s="156"/>
      <c r="C70" s="160">
        <v>649576.34</v>
      </c>
      <c r="D70" s="161"/>
      <c r="E70" s="161"/>
      <c r="F70" s="159">
        <v>156024.34</v>
      </c>
      <c r="G70" s="156"/>
      <c r="H70" s="156"/>
      <c r="I70" s="159">
        <v>145506.68</v>
      </c>
      <c r="J70" s="156"/>
      <c r="K70" s="156"/>
      <c r="L70" s="159">
        <v>109374.05</v>
      </c>
      <c r="M70" s="156"/>
      <c r="N70" s="156"/>
      <c r="O70" s="159">
        <v>199053.28</v>
      </c>
      <c r="P70" s="156"/>
      <c r="Q70" s="156"/>
      <c r="R70" s="156"/>
      <c r="S70" s="156"/>
      <c r="T70" s="159">
        <v>151853.45000000001</v>
      </c>
      <c r="U70" s="156"/>
      <c r="V70" s="156"/>
      <c r="W70" s="159">
        <v>131840.44</v>
      </c>
      <c r="X70" s="156"/>
      <c r="Y70" s="156"/>
      <c r="Z70" s="159">
        <v>157527</v>
      </c>
      <c r="AA70" s="156"/>
      <c r="AB70" s="156"/>
      <c r="AC70" s="159">
        <v>131718.26</v>
      </c>
      <c r="AD70" s="156"/>
      <c r="AE70" s="156"/>
      <c r="AF70" s="159">
        <v>115010.31</v>
      </c>
      <c r="AG70" s="156"/>
      <c r="AH70" s="156"/>
      <c r="AI70" s="159">
        <v>114063.93</v>
      </c>
      <c r="AJ70" s="156"/>
      <c r="AK70" s="156"/>
      <c r="AL70" s="157" t="s">
        <v>28</v>
      </c>
      <c r="AM70" s="156"/>
      <c r="AN70" s="156"/>
      <c r="AO70" s="157" t="s">
        <v>28</v>
      </c>
      <c r="AP70" s="156"/>
      <c r="AQ70" s="156"/>
      <c r="AR70" s="157" t="s">
        <v>28</v>
      </c>
      <c r="AS70" s="156"/>
      <c r="AT70" s="156"/>
      <c r="AU70" s="157" t="s">
        <v>28</v>
      </c>
      <c r="AV70" s="156"/>
      <c r="AW70" s="156"/>
      <c r="AX70" s="157" t="s">
        <v>28</v>
      </c>
      <c r="AY70" s="156"/>
      <c r="AZ70" s="156"/>
      <c r="BA70" s="156"/>
    </row>
    <row r="71" spans="1:53" ht="14.45" customHeight="1" x14ac:dyDescent="0.25">
      <c r="A71" s="158" t="s">
        <v>80</v>
      </c>
      <c r="B71" s="156"/>
      <c r="C71" s="159">
        <v>0</v>
      </c>
      <c r="D71" s="156"/>
      <c r="E71" s="156"/>
      <c r="F71" s="159">
        <v>0</v>
      </c>
      <c r="G71" s="156"/>
      <c r="H71" s="156"/>
      <c r="I71" s="159">
        <v>0</v>
      </c>
      <c r="J71" s="156"/>
      <c r="K71" s="156"/>
      <c r="L71" s="159">
        <v>0</v>
      </c>
      <c r="M71" s="156"/>
      <c r="N71" s="156"/>
      <c r="O71" s="159">
        <v>0</v>
      </c>
      <c r="P71" s="156"/>
      <c r="Q71" s="156"/>
      <c r="R71" s="156"/>
      <c r="S71" s="156"/>
      <c r="T71" s="159">
        <v>0</v>
      </c>
      <c r="U71" s="156"/>
      <c r="V71" s="156"/>
      <c r="W71" s="159">
        <v>0</v>
      </c>
      <c r="X71" s="156"/>
      <c r="Y71" s="156"/>
      <c r="Z71" s="159">
        <v>0</v>
      </c>
      <c r="AA71" s="156"/>
      <c r="AB71" s="156"/>
      <c r="AC71" s="159">
        <v>0</v>
      </c>
      <c r="AD71" s="156"/>
      <c r="AE71" s="156"/>
      <c r="AF71" s="159">
        <v>0</v>
      </c>
      <c r="AG71" s="156"/>
      <c r="AH71" s="156"/>
      <c r="AI71" s="159">
        <v>0</v>
      </c>
      <c r="AJ71" s="156"/>
      <c r="AK71" s="156"/>
      <c r="AL71" s="157" t="s">
        <v>28</v>
      </c>
      <c r="AM71" s="156"/>
      <c r="AN71" s="156"/>
      <c r="AO71" s="157" t="s">
        <v>28</v>
      </c>
      <c r="AP71" s="156"/>
      <c r="AQ71" s="156"/>
      <c r="AR71" s="157" t="s">
        <v>28</v>
      </c>
      <c r="AS71" s="156"/>
      <c r="AT71" s="156"/>
      <c r="AU71" s="157" t="s">
        <v>28</v>
      </c>
      <c r="AV71" s="156"/>
      <c r="AW71" s="156"/>
      <c r="AX71" s="157" t="s">
        <v>28</v>
      </c>
      <c r="AY71" s="156"/>
      <c r="AZ71" s="156"/>
      <c r="BA71" s="156"/>
    </row>
    <row r="72" spans="1:53" ht="14.45" customHeight="1" x14ac:dyDescent="0.25">
      <c r="A72" s="158" t="s">
        <v>44</v>
      </c>
      <c r="B72" s="156"/>
      <c r="C72" s="159">
        <v>370278.69</v>
      </c>
      <c r="D72" s="156"/>
      <c r="E72" s="156"/>
      <c r="F72" s="159">
        <v>171766.97</v>
      </c>
      <c r="G72" s="156"/>
      <c r="H72" s="156"/>
      <c r="I72" s="159">
        <v>129469.46</v>
      </c>
      <c r="J72" s="156"/>
      <c r="K72" s="156"/>
      <c r="L72" s="159">
        <v>484045.64</v>
      </c>
      <c r="M72" s="156"/>
      <c r="N72" s="156"/>
      <c r="O72" s="159">
        <v>102661.12</v>
      </c>
      <c r="P72" s="156"/>
      <c r="Q72" s="156"/>
      <c r="R72" s="156"/>
      <c r="S72" s="156"/>
      <c r="T72" s="159">
        <v>96122.559999999998</v>
      </c>
      <c r="U72" s="156"/>
      <c r="V72" s="156"/>
      <c r="W72" s="159">
        <v>90340.96</v>
      </c>
      <c r="X72" s="156"/>
      <c r="Y72" s="156"/>
      <c r="Z72" s="159">
        <v>85542.52</v>
      </c>
      <c r="AA72" s="156"/>
      <c r="AB72" s="156"/>
      <c r="AC72" s="159">
        <v>458008.79</v>
      </c>
      <c r="AD72" s="156"/>
      <c r="AE72" s="156"/>
      <c r="AF72" s="159">
        <v>146226.13</v>
      </c>
      <c r="AG72" s="156"/>
      <c r="AH72" s="156"/>
      <c r="AI72" s="159">
        <v>64178.78</v>
      </c>
      <c r="AJ72" s="156"/>
      <c r="AK72" s="156"/>
      <c r="AL72" s="157" t="s">
        <v>28</v>
      </c>
      <c r="AM72" s="156"/>
      <c r="AN72" s="156"/>
      <c r="AO72" s="157" t="s">
        <v>28</v>
      </c>
      <c r="AP72" s="156"/>
      <c r="AQ72" s="156"/>
      <c r="AR72" s="157" t="s">
        <v>28</v>
      </c>
      <c r="AS72" s="156"/>
      <c r="AT72" s="156"/>
      <c r="AU72" s="157" t="s">
        <v>28</v>
      </c>
      <c r="AV72" s="156"/>
      <c r="AW72" s="156"/>
      <c r="AX72" s="157" t="s">
        <v>28</v>
      </c>
      <c r="AY72" s="156"/>
      <c r="AZ72" s="156"/>
      <c r="BA72" s="156"/>
    </row>
    <row r="73" spans="1:53" ht="14.45" customHeight="1" x14ac:dyDescent="0.25">
      <c r="A73" s="158" t="s">
        <v>81</v>
      </c>
      <c r="B73" s="156"/>
      <c r="C73" s="159">
        <v>0</v>
      </c>
      <c r="D73" s="156"/>
      <c r="E73" s="156"/>
      <c r="F73" s="159">
        <v>0</v>
      </c>
      <c r="G73" s="156"/>
      <c r="H73" s="156"/>
      <c r="I73" s="159">
        <v>0</v>
      </c>
      <c r="J73" s="156"/>
      <c r="K73" s="156"/>
      <c r="L73" s="159">
        <v>0</v>
      </c>
      <c r="M73" s="156"/>
      <c r="N73" s="156"/>
      <c r="O73" s="159">
        <v>0</v>
      </c>
      <c r="P73" s="156"/>
      <c r="Q73" s="156"/>
      <c r="R73" s="156"/>
      <c r="S73" s="156"/>
      <c r="T73" s="159">
        <v>53235.55</v>
      </c>
      <c r="U73" s="156"/>
      <c r="V73" s="156"/>
      <c r="W73" s="159">
        <v>0</v>
      </c>
      <c r="X73" s="156"/>
      <c r="Y73" s="156"/>
      <c r="Z73" s="159">
        <v>0</v>
      </c>
      <c r="AA73" s="156"/>
      <c r="AB73" s="156"/>
      <c r="AC73" s="159">
        <v>0</v>
      </c>
      <c r="AD73" s="156"/>
      <c r="AE73" s="156"/>
      <c r="AF73" s="159">
        <v>338035.34</v>
      </c>
      <c r="AG73" s="156"/>
      <c r="AH73" s="156"/>
      <c r="AI73" s="159">
        <v>0</v>
      </c>
      <c r="AJ73" s="156"/>
      <c r="AK73" s="156"/>
      <c r="AL73" s="157" t="s">
        <v>28</v>
      </c>
      <c r="AM73" s="156"/>
      <c r="AN73" s="156"/>
      <c r="AO73" s="157" t="s">
        <v>28</v>
      </c>
      <c r="AP73" s="156"/>
      <c r="AQ73" s="156"/>
      <c r="AR73" s="157" t="s">
        <v>28</v>
      </c>
      <c r="AS73" s="156"/>
      <c r="AT73" s="156"/>
      <c r="AU73" s="157" t="s">
        <v>28</v>
      </c>
      <c r="AV73" s="156"/>
      <c r="AW73" s="156"/>
      <c r="AX73" s="157" t="s">
        <v>28</v>
      </c>
      <c r="AY73" s="156"/>
      <c r="AZ73" s="156"/>
      <c r="BA73" s="156"/>
    </row>
    <row r="74" spans="1:53" ht="14.45" customHeight="1" x14ac:dyDescent="0.25">
      <c r="A74" s="158" t="s">
        <v>82</v>
      </c>
      <c r="B74" s="156"/>
      <c r="C74" s="159">
        <v>1082352.08</v>
      </c>
      <c r="D74" s="156"/>
      <c r="E74" s="156"/>
      <c r="F74" s="159">
        <v>469763.3</v>
      </c>
      <c r="G74" s="156"/>
      <c r="H74" s="156"/>
      <c r="I74" s="159">
        <v>596749.98</v>
      </c>
      <c r="J74" s="156"/>
      <c r="K74" s="156"/>
      <c r="L74" s="159">
        <v>497722.71</v>
      </c>
      <c r="M74" s="156"/>
      <c r="N74" s="156"/>
      <c r="O74" s="159">
        <v>1061104.28</v>
      </c>
      <c r="P74" s="156"/>
      <c r="Q74" s="156"/>
      <c r="R74" s="156"/>
      <c r="S74" s="156"/>
      <c r="T74" s="159">
        <v>141895.07</v>
      </c>
      <c r="U74" s="156"/>
      <c r="V74" s="156"/>
      <c r="W74" s="159">
        <v>663941.73</v>
      </c>
      <c r="X74" s="156"/>
      <c r="Y74" s="156"/>
      <c r="Z74" s="159">
        <v>76752.72</v>
      </c>
      <c r="AA74" s="156"/>
      <c r="AB74" s="156"/>
      <c r="AC74" s="159">
        <v>9216.9699999999993</v>
      </c>
      <c r="AD74" s="156"/>
      <c r="AE74" s="156"/>
      <c r="AF74" s="159">
        <v>0</v>
      </c>
      <c r="AG74" s="156"/>
      <c r="AH74" s="156"/>
      <c r="AI74" s="159">
        <v>210485.41</v>
      </c>
      <c r="AJ74" s="156"/>
      <c r="AK74" s="156"/>
      <c r="AL74" s="157" t="s">
        <v>28</v>
      </c>
      <c r="AM74" s="156"/>
      <c r="AN74" s="156"/>
      <c r="AO74" s="157" t="s">
        <v>28</v>
      </c>
      <c r="AP74" s="156"/>
      <c r="AQ74" s="156"/>
      <c r="AR74" s="157" t="s">
        <v>28</v>
      </c>
      <c r="AS74" s="156"/>
      <c r="AT74" s="156"/>
      <c r="AU74" s="157" t="s">
        <v>28</v>
      </c>
      <c r="AV74" s="156"/>
      <c r="AW74" s="156"/>
      <c r="AX74" s="157" t="s">
        <v>28</v>
      </c>
      <c r="AY74" s="156"/>
      <c r="AZ74" s="156"/>
      <c r="BA74" s="156"/>
    </row>
    <row r="75" spans="1:53" ht="14.45" customHeight="1" x14ac:dyDescent="0.25">
      <c r="A75" s="158" t="s">
        <v>83</v>
      </c>
      <c r="B75" s="156"/>
      <c r="C75" s="159">
        <v>519829.8</v>
      </c>
      <c r="D75" s="156"/>
      <c r="E75" s="156"/>
      <c r="F75" s="159">
        <v>436533.07</v>
      </c>
      <c r="G75" s="156"/>
      <c r="H75" s="156"/>
      <c r="I75" s="159">
        <v>459963.32</v>
      </c>
      <c r="J75" s="156"/>
      <c r="K75" s="156"/>
      <c r="L75" s="159">
        <v>419095.11</v>
      </c>
      <c r="M75" s="156"/>
      <c r="N75" s="156"/>
      <c r="O75" s="159">
        <v>327588.61</v>
      </c>
      <c r="P75" s="156"/>
      <c r="Q75" s="156"/>
      <c r="R75" s="156"/>
      <c r="S75" s="156"/>
      <c r="T75" s="159">
        <v>406975.75</v>
      </c>
      <c r="U75" s="156"/>
      <c r="V75" s="156"/>
      <c r="W75" s="159">
        <v>378510.55</v>
      </c>
      <c r="X75" s="156"/>
      <c r="Y75" s="156"/>
      <c r="Z75" s="159">
        <v>405126.5</v>
      </c>
      <c r="AA75" s="156"/>
      <c r="AB75" s="156"/>
      <c r="AC75" s="159">
        <v>1091418.8700000001</v>
      </c>
      <c r="AD75" s="156"/>
      <c r="AE75" s="156"/>
      <c r="AF75" s="159">
        <v>0</v>
      </c>
      <c r="AG75" s="156"/>
      <c r="AH75" s="156"/>
      <c r="AI75" s="159">
        <v>0</v>
      </c>
      <c r="AJ75" s="156"/>
      <c r="AK75" s="156"/>
      <c r="AL75" s="157" t="s">
        <v>28</v>
      </c>
      <c r="AM75" s="156"/>
      <c r="AN75" s="156"/>
      <c r="AO75" s="157" t="s">
        <v>28</v>
      </c>
      <c r="AP75" s="156"/>
      <c r="AQ75" s="156"/>
      <c r="AR75" s="157" t="s">
        <v>28</v>
      </c>
      <c r="AS75" s="156"/>
      <c r="AT75" s="156"/>
      <c r="AU75" s="157" t="s">
        <v>28</v>
      </c>
      <c r="AV75" s="156"/>
      <c r="AW75" s="156"/>
      <c r="AX75" s="157" t="s">
        <v>28</v>
      </c>
      <c r="AY75" s="156"/>
      <c r="AZ75" s="156"/>
      <c r="BA75" s="156"/>
    </row>
    <row r="76" spans="1:53" ht="14.45" customHeight="1" x14ac:dyDescent="0.25">
      <c r="A76" s="158" t="s">
        <v>47</v>
      </c>
      <c r="B76" s="156"/>
      <c r="C76" s="159">
        <v>3160.02</v>
      </c>
      <c r="D76" s="156"/>
      <c r="E76" s="156"/>
      <c r="F76" s="159">
        <v>344.76</v>
      </c>
      <c r="G76" s="156"/>
      <c r="H76" s="156"/>
      <c r="I76" s="159">
        <v>3496.82</v>
      </c>
      <c r="J76" s="156"/>
      <c r="K76" s="156"/>
      <c r="L76" s="159">
        <v>1873.82</v>
      </c>
      <c r="M76" s="156"/>
      <c r="N76" s="156"/>
      <c r="O76" s="159">
        <v>3897.17</v>
      </c>
      <c r="P76" s="156"/>
      <c r="Q76" s="156"/>
      <c r="R76" s="156"/>
      <c r="S76" s="156"/>
      <c r="T76" s="159">
        <v>0</v>
      </c>
      <c r="U76" s="156"/>
      <c r="V76" s="156"/>
      <c r="W76" s="159">
        <v>0</v>
      </c>
      <c r="X76" s="156"/>
      <c r="Y76" s="156"/>
      <c r="Z76" s="159">
        <v>0</v>
      </c>
      <c r="AA76" s="156"/>
      <c r="AB76" s="156"/>
      <c r="AC76" s="159">
        <v>245398.53</v>
      </c>
      <c r="AD76" s="156"/>
      <c r="AE76" s="156"/>
      <c r="AF76" s="159">
        <v>2030995.59</v>
      </c>
      <c r="AG76" s="156"/>
      <c r="AH76" s="156"/>
      <c r="AI76" s="159">
        <v>1556042.99</v>
      </c>
      <c r="AJ76" s="156"/>
      <c r="AK76" s="156"/>
      <c r="AL76" s="157" t="s">
        <v>28</v>
      </c>
      <c r="AM76" s="156"/>
      <c r="AN76" s="156"/>
      <c r="AO76" s="157" t="s">
        <v>28</v>
      </c>
      <c r="AP76" s="156"/>
      <c r="AQ76" s="156"/>
      <c r="AR76" s="157" t="s">
        <v>28</v>
      </c>
      <c r="AS76" s="156"/>
      <c r="AT76" s="156"/>
      <c r="AU76" s="157" t="s">
        <v>28</v>
      </c>
      <c r="AV76" s="156"/>
      <c r="AW76" s="156"/>
      <c r="AX76" s="157" t="s">
        <v>28</v>
      </c>
      <c r="AY76" s="156"/>
      <c r="AZ76" s="156"/>
      <c r="BA76" s="156"/>
    </row>
    <row r="77" spans="1:53" ht="14.45" customHeight="1" x14ac:dyDescent="0.25">
      <c r="A77" s="158" t="s">
        <v>84</v>
      </c>
      <c r="B77" s="156"/>
      <c r="C77" s="159">
        <v>0</v>
      </c>
      <c r="D77" s="156"/>
      <c r="E77" s="156"/>
      <c r="F77" s="159">
        <v>0</v>
      </c>
      <c r="G77" s="156"/>
      <c r="H77" s="156"/>
      <c r="I77" s="159">
        <v>0</v>
      </c>
      <c r="J77" s="156"/>
      <c r="K77" s="156"/>
      <c r="L77" s="159">
        <v>0</v>
      </c>
      <c r="M77" s="156"/>
      <c r="N77" s="156"/>
      <c r="O77" s="159">
        <v>0</v>
      </c>
      <c r="P77" s="156"/>
      <c r="Q77" s="156"/>
      <c r="R77" s="156"/>
      <c r="S77" s="156"/>
      <c r="T77" s="159">
        <v>0</v>
      </c>
      <c r="U77" s="156"/>
      <c r="V77" s="156"/>
      <c r="W77" s="159">
        <v>0</v>
      </c>
      <c r="X77" s="156"/>
      <c r="Y77" s="156"/>
      <c r="Z77" s="159">
        <v>0</v>
      </c>
      <c r="AA77" s="156"/>
      <c r="AB77" s="156"/>
      <c r="AC77" s="159">
        <v>0</v>
      </c>
      <c r="AD77" s="156"/>
      <c r="AE77" s="156"/>
      <c r="AF77" s="159">
        <v>0</v>
      </c>
      <c r="AG77" s="156"/>
      <c r="AH77" s="156"/>
      <c r="AI77" s="159">
        <v>0</v>
      </c>
      <c r="AJ77" s="156"/>
      <c r="AK77" s="156"/>
      <c r="AL77" s="157" t="s">
        <v>28</v>
      </c>
      <c r="AM77" s="156"/>
      <c r="AN77" s="156"/>
      <c r="AO77" s="157" t="s">
        <v>28</v>
      </c>
      <c r="AP77" s="156"/>
      <c r="AQ77" s="156"/>
      <c r="AR77" s="157" t="s">
        <v>28</v>
      </c>
      <c r="AS77" s="156"/>
      <c r="AT77" s="156"/>
      <c r="AU77" s="157" t="s">
        <v>28</v>
      </c>
      <c r="AV77" s="156"/>
      <c r="AW77" s="156"/>
      <c r="AX77" s="157" t="s">
        <v>28</v>
      </c>
      <c r="AY77" s="156"/>
      <c r="AZ77" s="156"/>
      <c r="BA77" s="156"/>
    </row>
    <row r="78" spans="1:53" ht="14.45" customHeight="1" x14ac:dyDescent="0.25">
      <c r="A78" s="158" t="s">
        <v>85</v>
      </c>
      <c r="B78" s="156"/>
      <c r="C78" s="159">
        <v>0</v>
      </c>
      <c r="D78" s="156"/>
      <c r="E78" s="156"/>
      <c r="F78" s="159">
        <v>0</v>
      </c>
      <c r="G78" s="156"/>
      <c r="H78" s="156"/>
      <c r="I78" s="159">
        <v>0</v>
      </c>
      <c r="J78" s="156"/>
      <c r="K78" s="156"/>
      <c r="L78" s="159">
        <v>0</v>
      </c>
      <c r="M78" s="156"/>
      <c r="N78" s="156"/>
      <c r="O78" s="159">
        <v>0</v>
      </c>
      <c r="P78" s="156"/>
      <c r="Q78" s="156"/>
      <c r="R78" s="156"/>
      <c r="S78" s="156"/>
      <c r="T78" s="159">
        <v>0</v>
      </c>
      <c r="U78" s="156"/>
      <c r="V78" s="156"/>
      <c r="W78" s="159">
        <v>0</v>
      </c>
      <c r="X78" s="156"/>
      <c r="Y78" s="156"/>
      <c r="Z78" s="159">
        <v>0</v>
      </c>
      <c r="AA78" s="156"/>
      <c r="AB78" s="156"/>
      <c r="AC78" s="159">
        <v>0</v>
      </c>
      <c r="AD78" s="156"/>
      <c r="AE78" s="156"/>
      <c r="AF78" s="159">
        <v>0</v>
      </c>
      <c r="AG78" s="156"/>
      <c r="AH78" s="156"/>
      <c r="AI78" s="159">
        <v>0</v>
      </c>
      <c r="AJ78" s="156"/>
      <c r="AK78" s="156"/>
      <c r="AL78" s="157" t="s">
        <v>28</v>
      </c>
      <c r="AM78" s="156"/>
      <c r="AN78" s="156"/>
      <c r="AO78" s="157" t="s">
        <v>28</v>
      </c>
      <c r="AP78" s="156"/>
      <c r="AQ78" s="156"/>
      <c r="AR78" s="157" t="s">
        <v>28</v>
      </c>
      <c r="AS78" s="156"/>
      <c r="AT78" s="156"/>
      <c r="AU78" s="157" t="s">
        <v>28</v>
      </c>
      <c r="AV78" s="156"/>
      <c r="AW78" s="156"/>
      <c r="AX78" s="157" t="s">
        <v>28</v>
      </c>
      <c r="AY78" s="156"/>
      <c r="AZ78" s="156"/>
      <c r="BA78" s="156"/>
    </row>
    <row r="79" spans="1:53" ht="14.45" customHeight="1" x14ac:dyDescent="0.25">
      <c r="A79" s="158" t="s">
        <v>86</v>
      </c>
      <c r="B79" s="156"/>
      <c r="C79" s="159">
        <v>0</v>
      </c>
      <c r="D79" s="156"/>
      <c r="E79" s="156"/>
      <c r="F79" s="159">
        <v>0</v>
      </c>
      <c r="G79" s="156"/>
      <c r="H79" s="156"/>
      <c r="I79" s="159">
        <v>0</v>
      </c>
      <c r="J79" s="156"/>
      <c r="K79" s="156"/>
      <c r="L79" s="159">
        <v>0</v>
      </c>
      <c r="M79" s="156"/>
      <c r="N79" s="156"/>
      <c r="O79" s="159">
        <v>0</v>
      </c>
      <c r="P79" s="156"/>
      <c r="Q79" s="156"/>
      <c r="R79" s="156"/>
      <c r="S79" s="156"/>
      <c r="T79" s="159">
        <v>0</v>
      </c>
      <c r="U79" s="156"/>
      <c r="V79" s="156"/>
      <c r="W79" s="159">
        <v>0</v>
      </c>
      <c r="X79" s="156"/>
      <c r="Y79" s="156"/>
      <c r="Z79" s="159">
        <v>0</v>
      </c>
      <c r="AA79" s="156"/>
      <c r="AB79" s="156"/>
      <c r="AC79" s="159">
        <v>0</v>
      </c>
      <c r="AD79" s="156"/>
      <c r="AE79" s="156"/>
      <c r="AF79" s="159">
        <v>0</v>
      </c>
      <c r="AG79" s="156"/>
      <c r="AH79" s="156"/>
      <c r="AI79" s="159">
        <v>0</v>
      </c>
      <c r="AJ79" s="156"/>
      <c r="AK79" s="156"/>
      <c r="AL79" s="157" t="s">
        <v>28</v>
      </c>
      <c r="AM79" s="156"/>
      <c r="AN79" s="156"/>
      <c r="AO79" s="157" t="s">
        <v>28</v>
      </c>
      <c r="AP79" s="156"/>
      <c r="AQ79" s="156"/>
      <c r="AR79" s="157" t="s">
        <v>28</v>
      </c>
      <c r="AS79" s="156"/>
      <c r="AT79" s="156"/>
      <c r="AU79" s="157" t="s">
        <v>28</v>
      </c>
      <c r="AV79" s="156"/>
      <c r="AW79" s="156"/>
      <c r="AX79" s="157" t="s">
        <v>28</v>
      </c>
      <c r="AY79" s="156"/>
      <c r="AZ79" s="156"/>
      <c r="BA79" s="156"/>
    </row>
    <row r="80" spans="1:53" ht="14.45" customHeight="1" x14ac:dyDescent="0.25">
      <c r="A80" s="158" t="s">
        <v>87</v>
      </c>
      <c r="B80" s="156"/>
      <c r="C80" s="159">
        <v>0</v>
      </c>
      <c r="D80" s="156"/>
      <c r="E80" s="156"/>
      <c r="F80" s="159">
        <v>0</v>
      </c>
      <c r="G80" s="156"/>
      <c r="H80" s="156"/>
      <c r="I80" s="159">
        <v>0</v>
      </c>
      <c r="J80" s="156"/>
      <c r="K80" s="156"/>
      <c r="L80" s="159">
        <v>0</v>
      </c>
      <c r="M80" s="156"/>
      <c r="N80" s="156"/>
      <c r="O80" s="159">
        <v>0</v>
      </c>
      <c r="P80" s="156"/>
      <c r="Q80" s="156"/>
      <c r="R80" s="156"/>
      <c r="S80" s="156"/>
      <c r="T80" s="159">
        <v>0</v>
      </c>
      <c r="U80" s="156"/>
      <c r="V80" s="156"/>
      <c r="W80" s="159">
        <v>0</v>
      </c>
      <c r="X80" s="156"/>
      <c r="Y80" s="156"/>
      <c r="Z80" s="159">
        <v>0</v>
      </c>
      <c r="AA80" s="156"/>
      <c r="AB80" s="156"/>
      <c r="AC80" s="159">
        <v>0</v>
      </c>
      <c r="AD80" s="156"/>
      <c r="AE80" s="156"/>
      <c r="AF80" s="159">
        <v>0</v>
      </c>
      <c r="AG80" s="156"/>
      <c r="AH80" s="156"/>
      <c r="AI80" s="159">
        <v>0</v>
      </c>
      <c r="AJ80" s="156"/>
      <c r="AK80" s="156"/>
      <c r="AL80" s="157" t="s">
        <v>28</v>
      </c>
      <c r="AM80" s="156"/>
      <c r="AN80" s="156"/>
      <c r="AO80" s="157" t="s">
        <v>28</v>
      </c>
      <c r="AP80" s="156"/>
      <c r="AQ80" s="156"/>
      <c r="AR80" s="157" t="s">
        <v>28</v>
      </c>
      <c r="AS80" s="156"/>
      <c r="AT80" s="156"/>
      <c r="AU80" s="157" t="s">
        <v>28</v>
      </c>
      <c r="AV80" s="156"/>
      <c r="AW80" s="156"/>
      <c r="AX80" s="157" t="s">
        <v>28</v>
      </c>
      <c r="AY80" s="156"/>
      <c r="AZ80" s="156"/>
      <c r="BA80" s="156"/>
    </row>
    <row r="81" spans="1:53" ht="14.45" customHeight="1" x14ac:dyDescent="0.25">
      <c r="A81" s="158" t="s">
        <v>88</v>
      </c>
      <c r="B81" s="156"/>
      <c r="C81" s="159">
        <v>2625196.9300000002</v>
      </c>
      <c r="D81" s="156"/>
      <c r="E81" s="156"/>
      <c r="F81" s="159">
        <v>1234432.44</v>
      </c>
      <c r="G81" s="156"/>
      <c r="H81" s="156"/>
      <c r="I81" s="159">
        <v>1335186.26</v>
      </c>
      <c r="J81" s="156"/>
      <c r="K81" s="156"/>
      <c r="L81" s="159">
        <v>1512111.33</v>
      </c>
      <c r="M81" s="156"/>
      <c r="N81" s="156"/>
      <c r="O81" s="159">
        <v>1694304.46</v>
      </c>
      <c r="P81" s="156"/>
      <c r="Q81" s="156"/>
      <c r="R81" s="156"/>
      <c r="S81" s="156"/>
      <c r="T81" s="159">
        <v>850082.38</v>
      </c>
      <c r="U81" s="156"/>
      <c r="V81" s="156"/>
      <c r="W81" s="159">
        <v>1264633.68</v>
      </c>
      <c r="X81" s="156"/>
      <c r="Y81" s="156"/>
      <c r="Z81" s="159">
        <v>724948.74</v>
      </c>
      <c r="AA81" s="156"/>
      <c r="AB81" s="156"/>
      <c r="AC81" s="159">
        <v>1935761.42</v>
      </c>
      <c r="AD81" s="156"/>
      <c r="AE81" s="156"/>
      <c r="AF81" s="159">
        <v>2630267.37</v>
      </c>
      <c r="AG81" s="156"/>
      <c r="AH81" s="156"/>
      <c r="AI81" s="159">
        <v>1944771.11</v>
      </c>
      <c r="AJ81" s="156"/>
      <c r="AK81" s="156"/>
      <c r="AL81" s="157" t="s">
        <v>28</v>
      </c>
      <c r="AM81" s="156"/>
      <c r="AN81" s="156"/>
      <c r="AO81" s="157" t="s">
        <v>28</v>
      </c>
      <c r="AP81" s="156"/>
      <c r="AQ81" s="156"/>
      <c r="AR81" s="157" t="s">
        <v>28</v>
      </c>
      <c r="AS81" s="156"/>
      <c r="AT81" s="156"/>
      <c r="AU81" s="157" t="s">
        <v>28</v>
      </c>
      <c r="AV81" s="156"/>
      <c r="AW81" s="156"/>
      <c r="AX81" s="157" t="s">
        <v>28</v>
      </c>
      <c r="AY81" s="156"/>
      <c r="AZ81" s="156"/>
      <c r="BA81" s="156"/>
    </row>
    <row r="82" spans="1:53" ht="14.45" customHeight="1" x14ac:dyDescent="0.25">
      <c r="A82" s="156"/>
      <c r="B82" s="156"/>
      <c r="C82" s="156"/>
      <c r="D82" s="156"/>
      <c r="E82" s="156"/>
      <c r="F82" s="156"/>
      <c r="G82" s="156"/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  <c r="AB82" s="156"/>
      <c r="AC82" s="156"/>
      <c r="AD82" s="156"/>
      <c r="AE82" s="156"/>
      <c r="AF82" s="156"/>
      <c r="AG82" s="156"/>
      <c r="AH82" s="156"/>
      <c r="AI82" s="156"/>
      <c r="AJ82" s="156"/>
      <c r="AK82" s="156"/>
      <c r="AL82" s="156"/>
      <c r="AM82" s="156"/>
      <c r="AN82" s="156"/>
      <c r="AO82" s="156"/>
      <c r="AP82" s="156"/>
      <c r="AQ82" s="156"/>
      <c r="AR82" s="156"/>
      <c r="AS82" s="156"/>
      <c r="AT82" s="156"/>
      <c r="AU82" s="156"/>
      <c r="AV82" s="156"/>
      <c r="AW82" s="156"/>
      <c r="AX82" s="156"/>
      <c r="AY82" s="156"/>
      <c r="AZ82" s="156"/>
      <c r="BA82" s="156"/>
    </row>
    <row r="83" spans="1:53" ht="14.45" customHeight="1" x14ac:dyDescent="0.25">
      <c r="A83" s="158" t="s">
        <v>89</v>
      </c>
      <c r="B83" s="156"/>
      <c r="C83" s="159">
        <v>2625196.9300000002</v>
      </c>
      <c r="D83" s="156"/>
      <c r="E83" s="156"/>
      <c r="F83" s="159">
        <v>1234432.44</v>
      </c>
      <c r="G83" s="156"/>
      <c r="H83" s="156"/>
      <c r="I83" s="159">
        <v>2553936.2599999998</v>
      </c>
      <c r="J83" s="156"/>
      <c r="K83" s="156"/>
      <c r="L83" s="159">
        <v>1512111.33</v>
      </c>
      <c r="M83" s="156"/>
      <c r="N83" s="156"/>
      <c r="O83" s="159">
        <v>1694304.46</v>
      </c>
      <c r="P83" s="156"/>
      <c r="Q83" s="156"/>
      <c r="R83" s="156"/>
      <c r="S83" s="156"/>
      <c r="T83" s="159">
        <v>858082.38</v>
      </c>
      <c r="U83" s="156"/>
      <c r="V83" s="156"/>
      <c r="W83" s="159">
        <v>1272633.68</v>
      </c>
      <c r="X83" s="156"/>
      <c r="Y83" s="156"/>
      <c r="Z83" s="159">
        <v>732948.74</v>
      </c>
      <c r="AA83" s="156"/>
      <c r="AB83" s="156"/>
      <c r="AC83" s="159">
        <v>1943761.42</v>
      </c>
      <c r="AD83" s="156"/>
      <c r="AE83" s="156"/>
      <c r="AF83" s="159">
        <v>2630280.0699999998</v>
      </c>
      <c r="AG83" s="156"/>
      <c r="AH83" s="156"/>
      <c r="AI83" s="159">
        <v>1944783.93</v>
      </c>
      <c r="AJ83" s="156"/>
      <c r="AK83" s="156"/>
      <c r="AL83" s="157" t="s">
        <v>28</v>
      </c>
      <c r="AM83" s="156"/>
      <c r="AN83" s="156"/>
      <c r="AO83" s="157" t="s">
        <v>28</v>
      </c>
      <c r="AP83" s="156"/>
      <c r="AQ83" s="156"/>
      <c r="AR83" s="157" t="s">
        <v>28</v>
      </c>
      <c r="AS83" s="156"/>
      <c r="AT83" s="156"/>
      <c r="AU83" s="157" t="s">
        <v>28</v>
      </c>
      <c r="AV83" s="156"/>
      <c r="AW83" s="156"/>
      <c r="AX83" s="157" t="s">
        <v>28</v>
      </c>
      <c r="AY83" s="156"/>
      <c r="AZ83" s="156"/>
      <c r="BA83" s="156"/>
    </row>
    <row r="84" spans="1:53" ht="14.45" customHeight="1" x14ac:dyDescent="0.25">
      <c r="A84" s="156"/>
      <c r="B84" s="156"/>
      <c r="C84" s="156"/>
      <c r="D84" s="156"/>
      <c r="E84" s="156"/>
      <c r="F84" s="156"/>
      <c r="G84" s="156"/>
      <c r="H84" s="156"/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  <c r="AB84" s="156"/>
      <c r="AC84" s="156"/>
      <c r="AD84" s="156"/>
      <c r="AE84" s="156"/>
      <c r="AF84" s="156"/>
      <c r="AG84" s="156"/>
      <c r="AH84" s="156"/>
      <c r="AI84" s="156"/>
      <c r="AJ84" s="156"/>
      <c r="AK84" s="156"/>
      <c r="AL84" s="156"/>
      <c r="AM84" s="156"/>
      <c r="AN84" s="156"/>
      <c r="AO84" s="156"/>
      <c r="AP84" s="156"/>
      <c r="AQ84" s="156"/>
      <c r="AR84" s="156"/>
      <c r="AS84" s="156"/>
      <c r="AT84" s="156"/>
      <c r="AU84" s="156"/>
      <c r="AV84" s="156"/>
      <c r="AW84" s="156"/>
      <c r="AX84" s="156"/>
      <c r="AY84" s="156"/>
      <c r="AZ84" s="156"/>
      <c r="BA84" s="156"/>
    </row>
    <row r="85" spans="1:53" ht="14.45" customHeight="1" x14ac:dyDescent="0.25">
      <c r="A85" s="158" t="s">
        <v>90</v>
      </c>
      <c r="B85" s="156"/>
      <c r="C85" s="159">
        <v>6418032.4800000004</v>
      </c>
      <c r="D85" s="156"/>
      <c r="E85" s="156"/>
      <c r="F85" s="159">
        <v>2909680.76</v>
      </c>
      <c r="G85" s="156"/>
      <c r="H85" s="156"/>
      <c r="I85" s="159">
        <v>3184192.39</v>
      </c>
      <c r="J85" s="156"/>
      <c r="K85" s="156"/>
      <c r="L85" s="159">
        <v>2873801.55</v>
      </c>
      <c r="M85" s="156"/>
      <c r="N85" s="156"/>
      <c r="O85" s="159">
        <v>3528393.1</v>
      </c>
      <c r="P85" s="156"/>
      <c r="Q85" s="156"/>
      <c r="R85" s="156"/>
      <c r="S85" s="156"/>
      <c r="T85" s="159">
        <v>2892993.92</v>
      </c>
      <c r="U85" s="156"/>
      <c r="V85" s="156"/>
      <c r="W85" s="159">
        <v>3577311.66</v>
      </c>
      <c r="X85" s="156"/>
      <c r="Y85" s="156"/>
      <c r="Z85" s="159">
        <v>2610408.59</v>
      </c>
      <c r="AA85" s="156"/>
      <c r="AB85" s="156"/>
      <c r="AC85" s="159">
        <v>2940211.98</v>
      </c>
      <c r="AD85" s="156"/>
      <c r="AE85" s="156"/>
      <c r="AF85" s="159">
        <v>4009401.92</v>
      </c>
      <c r="AG85" s="156"/>
      <c r="AH85" s="156"/>
      <c r="AI85" s="159">
        <v>3457196.7</v>
      </c>
      <c r="AJ85" s="156"/>
      <c r="AK85" s="156"/>
      <c r="AL85" s="157" t="s">
        <v>28</v>
      </c>
      <c r="AM85" s="156"/>
      <c r="AN85" s="156"/>
      <c r="AO85" s="157" t="s">
        <v>28</v>
      </c>
      <c r="AP85" s="156"/>
      <c r="AQ85" s="156"/>
      <c r="AR85" s="157" t="s">
        <v>28</v>
      </c>
      <c r="AS85" s="156"/>
      <c r="AT85" s="156"/>
      <c r="AU85" s="157" t="s">
        <v>28</v>
      </c>
      <c r="AV85" s="156"/>
      <c r="AW85" s="156"/>
      <c r="AX85" s="157" t="s">
        <v>28</v>
      </c>
      <c r="AY85" s="156"/>
      <c r="AZ85" s="156"/>
      <c r="BA85" s="156"/>
    </row>
    <row r="86" spans="1:53" ht="14.45" customHeight="1" x14ac:dyDescent="0.25">
      <c r="A86" s="156"/>
      <c r="B86" s="156"/>
      <c r="C86" s="156"/>
      <c r="D86" s="156"/>
      <c r="E86" s="156"/>
      <c r="F86" s="156"/>
      <c r="G86" s="156"/>
      <c r="H86" s="156"/>
      <c r="I86" s="156"/>
      <c r="J86" s="156"/>
      <c r="K86" s="156"/>
      <c r="L86" s="156"/>
      <c r="M86" s="156"/>
      <c r="N86" s="156"/>
      <c r="O86" s="156"/>
      <c r="P86" s="156"/>
      <c r="Q86" s="156"/>
      <c r="R86" s="156"/>
      <c r="S86" s="156"/>
      <c r="T86" s="156"/>
      <c r="U86" s="156"/>
      <c r="V86" s="156"/>
      <c r="W86" s="156"/>
      <c r="X86" s="156"/>
      <c r="Y86" s="156"/>
      <c r="Z86" s="156"/>
      <c r="AA86" s="156"/>
      <c r="AB86" s="156"/>
      <c r="AC86" s="156"/>
      <c r="AD86" s="156"/>
      <c r="AE86" s="156"/>
      <c r="AF86" s="156"/>
      <c r="AG86" s="156"/>
      <c r="AH86" s="156"/>
      <c r="AI86" s="156"/>
      <c r="AJ86" s="156"/>
      <c r="AK86" s="156"/>
      <c r="AL86" s="156"/>
      <c r="AM86" s="156"/>
      <c r="AN86" s="156"/>
      <c r="AO86" s="156"/>
      <c r="AP86" s="156"/>
      <c r="AQ86" s="156"/>
      <c r="AR86" s="156"/>
      <c r="AS86" s="156"/>
      <c r="AT86" s="156"/>
      <c r="AU86" s="156"/>
      <c r="AV86" s="156"/>
      <c r="AW86" s="156"/>
      <c r="AX86" s="156"/>
      <c r="AY86" s="156"/>
      <c r="AZ86" s="156"/>
      <c r="BA86" s="156"/>
    </row>
    <row r="87" spans="1:53" ht="14.45" customHeight="1" x14ac:dyDescent="0.25">
      <c r="A87" s="164" t="s">
        <v>91</v>
      </c>
      <c r="B87" s="156"/>
      <c r="C87" s="162"/>
      <c r="D87" s="156"/>
      <c r="E87" s="156"/>
      <c r="F87" s="162"/>
      <c r="G87" s="156"/>
      <c r="H87" s="156"/>
      <c r="I87" s="162"/>
      <c r="J87" s="156"/>
      <c r="K87" s="156"/>
      <c r="L87" s="162"/>
      <c r="M87" s="156"/>
      <c r="N87" s="156"/>
      <c r="O87" s="162"/>
      <c r="P87" s="156"/>
      <c r="Q87" s="156"/>
      <c r="R87" s="156"/>
      <c r="S87" s="156"/>
      <c r="T87" s="162"/>
      <c r="U87" s="156"/>
      <c r="V87" s="156"/>
      <c r="W87" s="162"/>
      <c r="X87" s="156"/>
      <c r="Y87" s="156"/>
      <c r="Z87" s="162"/>
      <c r="AA87" s="156"/>
      <c r="AB87" s="156"/>
      <c r="AC87" s="162"/>
      <c r="AD87" s="156"/>
      <c r="AE87" s="156"/>
      <c r="AF87" s="162"/>
      <c r="AG87" s="156"/>
      <c r="AH87" s="156"/>
      <c r="AI87" s="162"/>
      <c r="AJ87" s="156"/>
      <c r="AK87" s="156"/>
      <c r="AL87" s="162"/>
      <c r="AM87" s="156"/>
      <c r="AN87" s="156"/>
      <c r="AO87" s="162"/>
      <c r="AP87" s="156"/>
      <c r="AQ87" s="156"/>
      <c r="AR87" s="162"/>
      <c r="AS87" s="156"/>
      <c r="AT87" s="156"/>
      <c r="AU87" s="162"/>
      <c r="AV87" s="156"/>
      <c r="AW87" s="156"/>
      <c r="AX87" s="162"/>
      <c r="AY87" s="156"/>
      <c r="AZ87" s="156"/>
      <c r="BA87" s="156"/>
    </row>
    <row r="88" spans="1:53" ht="14.45" customHeight="1" x14ac:dyDescent="0.25">
      <c r="A88" s="163" t="s">
        <v>92</v>
      </c>
      <c r="B88" s="156"/>
      <c r="C88" s="156"/>
      <c r="D88" s="156"/>
      <c r="E88" s="156"/>
      <c r="F88" s="156"/>
      <c r="G88" s="156"/>
      <c r="H88" s="156"/>
      <c r="I88" s="156"/>
      <c r="J88" s="156"/>
      <c r="K88" s="156"/>
      <c r="L88" s="156"/>
      <c r="M88" s="156"/>
      <c r="N88" s="156"/>
      <c r="O88" s="156"/>
      <c r="P88" s="156"/>
      <c r="Q88" s="156"/>
      <c r="R88" s="156"/>
      <c r="S88" s="156"/>
      <c r="T88" s="156"/>
      <c r="U88" s="156"/>
      <c r="V88" s="156"/>
      <c r="W88" s="156"/>
      <c r="X88" s="156"/>
      <c r="Y88" s="156"/>
      <c r="Z88" s="156"/>
      <c r="AA88" s="156"/>
      <c r="AB88" s="156"/>
      <c r="AC88" s="156"/>
      <c r="AD88" s="156"/>
      <c r="AE88" s="156"/>
      <c r="AF88" s="156"/>
      <c r="AG88" s="156"/>
      <c r="AH88" s="156"/>
      <c r="AI88" s="156"/>
      <c r="AJ88" s="156"/>
      <c r="AK88" s="156"/>
      <c r="AL88" s="156"/>
      <c r="AM88" s="156"/>
      <c r="AN88" s="156"/>
      <c r="AO88" s="156"/>
      <c r="AP88" s="156"/>
      <c r="AQ88" s="156"/>
      <c r="AR88" s="156"/>
      <c r="AS88" s="156"/>
      <c r="AT88" s="156"/>
      <c r="AU88" s="156"/>
      <c r="AV88" s="156"/>
      <c r="AW88" s="156"/>
      <c r="AX88" s="156"/>
      <c r="AY88" s="156"/>
      <c r="AZ88" s="156"/>
      <c r="BA88" s="156"/>
    </row>
    <row r="89" spans="1:53" ht="14.45" customHeight="1" x14ac:dyDescent="0.25">
      <c r="A89" s="158" t="s">
        <v>93</v>
      </c>
      <c r="B89" s="156"/>
      <c r="C89" s="160">
        <v>9791110.8900000006</v>
      </c>
      <c r="D89" s="161"/>
      <c r="E89" s="161"/>
      <c r="F89" s="159">
        <v>6055313.9699999997</v>
      </c>
      <c r="G89" s="156"/>
      <c r="H89" s="156"/>
      <c r="I89" s="159">
        <v>5712463.54</v>
      </c>
      <c r="J89" s="156"/>
      <c r="K89" s="156"/>
      <c r="L89" s="159">
        <v>5563102.9400000004</v>
      </c>
      <c r="M89" s="156"/>
      <c r="N89" s="156"/>
      <c r="O89" s="159">
        <v>5530345.9199999999</v>
      </c>
      <c r="P89" s="156"/>
      <c r="Q89" s="156"/>
      <c r="R89" s="156"/>
      <c r="S89" s="156"/>
      <c r="T89" s="159">
        <v>5557246.8799999999</v>
      </c>
      <c r="U89" s="156"/>
      <c r="V89" s="156"/>
      <c r="W89" s="159">
        <v>5360288.9000000004</v>
      </c>
      <c r="X89" s="156"/>
      <c r="Y89" s="156"/>
      <c r="Z89" s="159">
        <v>5159943.7</v>
      </c>
      <c r="AA89" s="156"/>
      <c r="AB89" s="156"/>
      <c r="AC89" s="159">
        <v>7779027.9900000002</v>
      </c>
      <c r="AD89" s="156"/>
      <c r="AE89" s="156"/>
      <c r="AF89" s="159">
        <v>8457119.2780000009</v>
      </c>
      <c r="AG89" s="156"/>
      <c r="AH89" s="156"/>
      <c r="AI89" s="159">
        <v>9076413.8200000003</v>
      </c>
      <c r="AJ89" s="156"/>
      <c r="AK89" s="156"/>
      <c r="AL89" s="157" t="s">
        <v>28</v>
      </c>
      <c r="AM89" s="156"/>
      <c r="AN89" s="156"/>
      <c r="AO89" s="157" t="s">
        <v>28</v>
      </c>
      <c r="AP89" s="156"/>
      <c r="AQ89" s="156"/>
      <c r="AR89" s="157" t="s">
        <v>28</v>
      </c>
      <c r="AS89" s="156"/>
      <c r="AT89" s="156"/>
      <c r="AU89" s="157" t="s">
        <v>28</v>
      </c>
      <c r="AV89" s="156"/>
      <c r="AW89" s="156"/>
      <c r="AX89" s="157" t="s">
        <v>28</v>
      </c>
      <c r="AY89" s="156"/>
      <c r="AZ89" s="156"/>
      <c r="BA89" s="156"/>
    </row>
    <row r="90" spans="1:53" ht="14.45" customHeight="1" x14ac:dyDescent="0.25">
      <c r="A90" s="158" t="s">
        <v>94</v>
      </c>
      <c r="B90" s="156"/>
      <c r="C90" s="160">
        <v>11120.96</v>
      </c>
      <c r="D90" s="161"/>
      <c r="E90" s="161"/>
      <c r="F90" s="159">
        <v>0</v>
      </c>
      <c r="G90" s="156"/>
      <c r="H90" s="156"/>
      <c r="I90" s="159">
        <v>0</v>
      </c>
      <c r="J90" s="156"/>
      <c r="K90" s="156"/>
      <c r="L90" s="159">
        <v>0</v>
      </c>
      <c r="M90" s="156"/>
      <c r="N90" s="156"/>
      <c r="O90" s="159">
        <v>0</v>
      </c>
      <c r="P90" s="156"/>
      <c r="Q90" s="156"/>
      <c r="R90" s="156"/>
      <c r="S90" s="156"/>
      <c r="T90" s="159">
        <v>0</v>
      </c>
      <c r="U90" s="156"/>
      <c r="V90" s="156"/>
      <c r="W90" s="159">
        <v>0</v>
      </c>
      <c r="X90" s="156"/>
      <c r="Y90" s="156"/>
      <c r="Z90" s="159">
        <v>0</v>
      </c>
      <c r="AA90" s="156"/>
      <c r="AB90" s="156"/>
      <c r="AC90" s="159">
        <v>0</v>
      </c>
      <c r="AD90" s="156"/>
      <c r="AE90" s="156"/>
      <c r="AF90" s="159">
        <v>0</v>
      </c>
      <c r="AG90" s="156"/>
      <c r="AH90" s="156"/>
      <c r="AI90" s="159">
        <v>0</v>
      </c>
      <c r="AJ90" s="156"/>
      <c r="AK90" s="156"/>
      <c r="AL90" s="157" t="s">
        <v>28</v>
      </c>
      <c r="AM90" s="156"/>
      <c r="AN90" s="156"/>
      <c r="AO90" s="157" t="s">
        <v>28</v>
      </c>
      <c r="AP90" s="156"/>
      <c r="AQ90" s="156"/>
      <c r="AR90" s="157" t="s">
        <v>28</v>
      </c>
      <c r="AS90" s="156"/>
      <c r="AT90" s="156"/>
      <c r="AU90" s="157" t="s">
        <v>28</v>
      </c>
      <c r="AV90" s="156"/>
      <c r="AW90" s="156"/>
      <c r="AX90" s="157" t="s">
        <v>28</v>
      </c>
      <c r="AY90" s="156"/>
      <c r="AZ90" s="156"/>
      <c r="BA90" s="156"/>
    </row>
    <row r="91" spans="1:53" ht="27.6" customHeight="1" x14ac:dyDescent="0.25">
      <c r="A91" s="158" t="s">
        <v>95</v>
      </c>
      <c r="B91" s="156"/>
      <c r="C91" s="159">
        <v>0</v>
      </c>
      <c r="D91" s="156"/>
      <c r="E91" s="156"/>
      <c r="F91" s="159">
        <v>0</v>
      </c>
      <c r="G91" s="156"/>
      <c r="H91" s="156"/>
      <c r="I91" s="159">
        <v>0</v>
      </c>
      <c r="J91" s="156"/>
      <c r="K91" s="156"/>
      <c r="L91" s="159">
        <v>0</v>
      </c>
      <c r="M91" s="156"/>
      <c r="N91" s="156"/>
      <c r="O91" s="159">
        <v>0</v>
      </c>
      <c r="P91" s="156"/>
      <c r="Q91" s="156"/>
      <c r="R91" s="156"/>
      <c r="S91" s="156"/>
      <c r="T91" s="159">
        <v>0</v>
      </c>
      <c r="U91" s="156"/>
      <c r="V91" s="156"/>
      <c r="W91" s="159">
        <v>0</v>
      </c>
      <c r="X91" s="156"/>
      <c r="Y91" s="156"/>
      <c r="Z91" s="159">
        <v>0</v>
      </c>
      <c r="AA91" s="156"/>
      <c r="AB91" s="156"/>
      <c r="AC91" s="159">
        <v>0</v>
      </c>
      <c r="AD91" s="156"/>
      <c r="AE91" s="156"/>
      <c r="AF91" s="159">
        <v>0</v>
      </c>
      <c r="AG91" s="156"/>
      <c r="AH91" s="156"/>
      <c r="AI91" s="159">
        <v>0</v>
      </c>
      <c r="AJ91" s="156"/>
      <c r="AK91" s="156"/>
      <c r="AL91" s="157" t="s">
        <v>28</v>
      </c>
      <c r="AM91" s="156"/>
      <c r="AN91" s="156"/>
      <c r="AO91" s="157" t="s">
        <v>28</v>
      </c>
      <c r="AP91" s="156"/>
      <c r="AQ91" s="156"/>
      <c r="AR91" s="157" t="s">
        <v>28</v>
      </c>
      <c r="AS91" s="156"/>
      <c r="AT91" s="156"/>
      <c r="AU91" s="157" t="s">
        <v>28</v>
      </c>
      <c r="AV91" s="156"/>
      <c r="AW91" s="156"/>
      <c r="AX91" s="157" t="s">
        <v>28</v>
      </c>
      <c r="AY91" s="156"/>
      <c r="AZ91" s="156"/>
      <c r="BA91" s="156"/>
    </row>
    <row r="92" spans="1:53" ht="14.45" customHeight="1" x14ac:dyDescent="0.25">
      <c r="A92" s="158" t="s">
        <v>96</v>
      </c>
      <c r="B92" s="156"/>
      <c r="C92" s="159">
        <v>0</v>
      </c>
      <c r="D92" s="156"/>
      <c r="E92" s="156"/>
      <c r="F92" s="159">
        <v>0</v>
      </c>
      <c r="G92" s="156"/>
      <c r="H92" s="156"/>
      <c r="I92" s="159">
        <v>0</v>
      </c>
      <c r="J92" s="156"/>
      <c r="K92" s="156"/>
      <c r="L92" s="159">
        <v>0</v>
      </c>
      <c r="M92" s="156"/>
      <c r="N92" s="156"/>
      <c r="O92" s="159">
        <v>0</v>
      </c>
      <c r="P92" s="156"/>
      <c r="Q92" s="156"/>
      <c r="R92" s="156"/>
      <c r="S92" s="156"/>
      <c r="T92" s="159">
        <v>0</v>
      </c>
      <c r="U92" s="156"/>
      <c r="V92" s="156"/>
      <c r="W92" s="159">
        <v>0</v>
      </c>
      <c r="X92" s="156"/>
      <c r="Y92" s="156"/>
      <c r="Z92" s="159">
        <v>0</v>
      </c>
      <c r="AA92" s="156"/>
      <c r="AB92" s="156"/>
      <c r="AC92" s="159">
        <v>0</v>
      </c>
      <c r="AD92" s="156"/>
      <c r="AE92" s="156"/>
      <c r="AF92" s="159">
        <v>0</v>
      </c>
      <c r="AG92" s="156"/>
      <c r="AH92" s="156"/>
      <c r="AI92" s="159">
        <v>0</v>
      </c>
      <c r="AJ92" s="156"/>
      <c r="AK92" s="156"/>
      <c r="AL92" s="157" t="s">
        <v>28</v>
      </c>
      <c r="AM92" s="156"/>
      <c r="AN92" s="156"/>
      <c r="AO92" s="157" t="s">
        <v>28</v>
      </c>
      <c r="AP92" s="156"/>
      <c r="AQ92" s="156"/>
      <c r="AR92" s="157" t="s">
        <v>28</v>
      </c>
      <c r="AS92" s="156"/>
      <c r="AT92" s="156"/>
      <c r="AU92" s="157" t="s">
        <v>28</v>
      </c>
      <c r="AV92" s="156"/>
      <c r="AW92" s="156"/>
      <c r="AX92" s="157" t="s">
        <v>28</v>
      </c>
      <c r="AY92" s="156"/>
      <c r="AZ92" s="156"/>
      <c r="BA92" s="156"/>
    </row>
    <row r="93" spans="1:53" ht="14.45" customHeight="1" x14ac:dyDescent="0.25">
      <c r="A93" s="158" t="s">
        <v>97</v>
      </c>
      <c r="B93" s="156"/>
      <c r="C93" s="159">
        <v>0</v>
      </c>
      <c r="D93" s="156"/>
      <c r="E93" s="156"/>
      <c r="F93" s="159">
        <v>0</v>
      </c>
      <c r="G93" s="156"/>
      <c r="H93" s="156"/>
      <c r="I93" s="159">
        <v>0</v>
      </c>
      <c r="J93" s="156"/>
      <c r="K93" s="156"/>
      <c r="L93" s="159">
        <v>0</v>
      </c>
      <c r="M93" s="156"/>
      <c r="N93" s="156"/>
      <c r="O93" s="159">
        <v>0</v>
      </c>
      <c r="P93" s="156"/>
      <c r="Q93" s="156"/>
      <c r="R93" s="156"/>
      <c r="S93" s="156"/>
      <c r="T93" s="159">
        <v>0</v>
      </c>
      <c r="U93" s="156"/>
      <c r="V93" s="156"/>
      <c r="W93" s="159">
        <v>0</v>
      </c>
      <c r="X93" s="156"/>
      <c r="Y93" s="156"/>
      <c r="Z93" s="159">
        <v>0</v>
      </c>
      <c r="AA93" s="156"/>
      <c r="AB93" s="156"/>
      <c r="AC93" s="159">
        <v>0</v>
      </c>
      <c r="AD93" s="156"/>
      <c r="AE93" s="156"/>
      <c r="AF93" s="159">
        <v>0</v>
      </c>
      <c r="AG93" s="156"/>
      <c r="AH93" s="156"/>
      <c r="AI93" s="159">
        <v>0</v>
      </c>
      <c r="AJ93" s="156"/>
      <c r="AK93" s="156"/>
      <c r="AL93" s="157" t="s">
        <v>28</v>
      </c>
      <c r="AM93" s="156"/>
      <c r="AN93" s="156"/>
      <c r="AO93" s="157" t="s">
        <v>28</v>
      </c>
      <c r="AP93" s="156"/>
      <c r="AQ93" s="156"/>
      <c r="AR93" s="157" t="s">
        <v>28</v>
      </c>
      <c r="AS93" s="156"/>
      <c r="AT93" s="156"/>
      <c r="AU93" s="157" t="s">
        <v>28</v>
      </c>
      <c r="AV93" s="156"/>
      <c r="AW93" s="156"/>
      <c r="AX93" s="157" t="s">
        <v>28</v>
      </c>
      <c r="AY93" s="156"/>
      <c r="AZ93" s="156"/>
      <c r="BA93" s="156"/>
    </row>
    <row r="94" spans="1:53" ht="27.6" customHeight="1" x14ac:dyDescent="0.25">
      <c r="A94" s="158" t="s">
        <v>98</v>
      </c>
      <c r="B94" s="156"/>
      <c r="C94" s="160">
        <v>2710165.39</v>
      </c>
      <c r="D94" s="161"/>
      <c r="E94" s="161"/>
      <c r="F94" s="159">
        <v>609858.78</v>
      </c>
      <c r="G94" s="156"/>
      <c r="H94" s="156"/>
      <c r="I94" s="159">
        <v>628677.81000000006</v>
      </c>
      <c r="J94" s="156"/>
      <c r="K94" s="156"/>
      <c r="L94" s="159">
        <v>653203.21</v>
      </c>
      <c r="M94" s="156"/>
      <c r="N94" s="156"/>
      <c r="O94" s="159">
        <v>670250.86</v>
      </c>
      <c r="P94" s="156"/>
      <c r="Q94" s="156"/>
      <c r="R94" s="156"/>
      <c r="S94" s="156"/>
      <c r="T94" s="159">
        <v>756460.99</v>
      </c>
      <c r="U94" s="156"/>
      <c r="V94" s="156"/>
      <c r="W94" s="159">
        <v>502240.61</v>
      </c>
      <c r="X94" s="156"/>
      <c r="Y94" s="156"/>
      <c r="Z94" s="159">
        <v>560527.94999999995</v>
      </c>
      <c r="AA94" s="156"/>
      <c r="AB94" s="156"/>
      <c r="AC94" s="159">
        <v>548360.34</v>
      </c>
      <c r="AD94" s="156"/>
      <c r="AE94" s="156"/>
      <c r="AF94" s="159">
        <v>710502.1</v>
      </c>
      <c r="AG94" s="156"/>
      <c r="AH94" s="156"/>
      <c r="AI94" s="159">
        <v>904869.86</v>
      </c>
      <c r="AJ94" s="156"/>
      <c r="AK94" s="156"/>
      <c r="AL94" s="157" t="s">
        <v>28</v>
      </c>
      <c r="AM94" s="156"/>
      <c r="AN94" s="156"/>
      <c r="AO94" s="157" t="s">
        <v>28</v>
      </c>
      <c r="AP94" s="156"/>
      <c r="AQ94" s="156"/>
      <c r="AR94" s="157" t="s">
        <v>28</v>
      </c>
      <c r="AS94" s="156"/>
      <c r="AT94" s="156"/>
      <c r="AU94" s="157" t="s">
        <v>28</v>
      </c>
      <c r="AV94" s="156"/>
      <c r="AW94" s="156"/>
      <c r="AX94" s="157" t="s">
        <v>28</v>
      </c>
      <c r="AY94" s="156"/>
      <c r="AZ94" s="156"/>
      <c r="BA94" s="156"/>
    </row>
    <row r="95" spans="1:53" ht="14.45" customHeight="1" x14ac:dyDescent="0.25">
      <c r="A95" s="158" t="s">
        <v>99</v>
      </c>
      <c r="B95" s="156"/>
      <c r="C95" s="160">
        <v>2292750.7799999998</v>
      </c>
      <c r="D95" s="161"/>
      <c r="E95" s="161"/>
      <c r="F95" s="159">
        <v>1692394.11</v>
      </c>
      <c r="G95" s="156"/>
      <c r="H95" s="156"/>
      <c r="I95" s="159">
        <v>1529364.8</v>
      </c>
      <c r="J95" s="156"/>
      <c r="K95" s="156"/>
      <c r="L95" s="159">
        <v>1445731.99</v>
      </c>
      <c r="M95" s="156"/>
      <c r="N95" s="156"/>
      <c r="O95" s="159">
        <v>1414402.2</v>
      </c>
      <c r="P95" s="156"/>
      <c r="Q95" s="156"/>
      <c r="R95" s="156"/>
      <c r="S95" s="156"/>
      <c r="T95" s="159">
        <v>1306380.7</v>
      </c>
      <c r="U95" s="156"/>
      <c r="V95" s="156"/>
      <c r="W95" s="159">
        <v>1197077.72</v>
      </c>
      <c r="X95" s="156"/>
      <c r="Y95" s="156"/>
      <c r="Z95" s="159">
        <v>1071138.1200000001</v>
      </c>
      <c r="AA95" s="156"/>
      <c r="AB95" s="156"/>
      <c r="AC95" s="159">
        <v>4554066.99</v>
      </c>
      <c r="AD95" s="156"/>
      <c r="AE95" s="156"/>
      <c r="AF95" s="159">
        <v>4930698.3899999997</v>
      </c>
      <c r="AG95" s="156"/>
      <c r="AH95" s="156"/>
      <c r="AI95" s="159">
        <v>5238123.03</v>
      </c>
      <c r="AJ95" s="156"/>
      <c r="AK95" s="156"/>
      <c r="AL95" s="157" t="s">
        <v>28</v>
      </c>
      <c r="AM95" s="156"/>
      <c r="AN95" s="156"/>
      <c r="AO95" s="157" t="s">
        <v>28</v>
      </c>
      <c r="AP95" s="156"/>
      <c r="AQ95" s="156"/>
      <c r="AR95" s="157" t="s">
        <v>28</v>
      </c>
      <c r="AS95" s="156"/>
      <c r="AT95" s="156"/>
      <c r="AU95" s="157" t="s">
        <v>28</v>
      </c>
      <c r="AV95" s="156"/>
      <c r="AW95" s="156"/>
      <c r="AX95" s="157" t="s">
        <v>28</v>
      </c>
      <c r="AY95" s="156"/>
      <c r="AZ95" s="156"/>
      <c r="BA95" s="156"/>
    </row>
    <row r="96" spans="1:53" ht="14.45" customHeight="1" x14ac:dyDescent="0.25">
      <c r="A96" s="158" t="s">
        <v>100</v>
      </c>
      <c r="B96" s="156"/>
      <c r="C96" s="160">
        <v>2128340.0090000001</v>
      </c>
      <c r="D96" s="161"/>
      <c r="E96" s="161"/>
      <c r="F96" s="159">
        <v>1894680.71</v>
      </c>
      <c r="G96" s="156"/>
      <c r="H96" s="156"/>
      <c r="I96" s="159">
        <v>1738315.82</v>
      </c>
      <c r="J96" s="156"/>
      <c r="K96" s="156"/>
      <c r="L96" s="159">
        <v>1625124.82</v>
      </c>
      <c r="M96" s="156"/>
      <c r="N96" s="156"/>
      <c r="O96" s="159">
        <v>1525139.02</v>
      </c>
      <c r="P96" s="156"/>
      <c r="Q96" s="156"/>
      <c r="R96" s="156"/>
      <c r="S96" s="156"/>
      <c r="T96" s="159">
        <v>1427726.42</v>
      </c>
      <c r="U96" s="156"/>
      <c r="V96" s="156"/>
      <c r="W96" s="159">
        <v>1329293.97</v>
      </c>
      <c r="X96" s="156"/>
      <c r="Y96" s="156"/>
      <c r="Z96" s="159">
        <v>1616800.72</v>
      </c>
      <c r="AA96" s="156"/>
      <c r="AB96" s="156"/>
      <c r="AC96" s="159">
        <v>1567925.69</v>
      </c>
      <c r="AD96" s="156"/>
      <c r="AE96" s="156"/>
      <c r="AF96" s="159">
        <v>1437765.24</v>
      </c>
      <c r="AG96" s="156"/>
      <c r="AH96" s="156"/>
      <c r="AI96" s="159">
        <v>1430699.33</v>
      </c>
      <c r="AJ96" s="156"/>
      <c r="AK96" s="156"/>
      <c r="AL96" s="157" t="s">
        <v>28</v>
      </c>
      <c r="AM96" s="156"/>
      <c r="AN96" s="156"/>
      <c r="AO96" s="157" t="s">
        <v>28</v>
      </c>
      <c r="AP96" s="156"/>
      <c r="AQ96" s="156"/>
      <c r="AR96" s="157" t="s">
        <v>28</v>
      </c>
      <c r="AS96" s="156"/>
      <c r="AT96" s="156"/>
      <c r="AU96" s="157" t="s">
        <v>28</v>
      </c>
      <c r="AV96" s="156"/>
      <c r="AW96" s="156"/>
      <c r="AX96" s="157" t="s">
        <v>28</v>
      </c>
      <c r="AY96" s="156"/>
      <c r="AZ96" s="156"/>
      <c r="BA96" s="156"/>
    </row>
    <row r="97" spans="1:53" ht="14.45" customHeight="1" x14ac:dyDescent="0.25">
      <c r="A97" s="158" t="s">
        <v>101</v>
      </c>
      <c r="B97" s="156"/>
      <c r="C97" s="159">
        <v>0</v>
      </c>
      <c r="D97" s="156"/>
      <c r="E97" s="156"/>
      <c r="F97" s="159">
        <v>0</v>
      </c>
      <c r="G97" s="156"/>
      <c r="H97" s="156"/>
      <c r="I97" s="159">
        <v>0</v>
      </c>
      <c r="J97" s="156"/>
      <c r="K97" s="156"/>
      <c r="L97" s="159">
        <v>0</v>
      </c>
      <c r="M97" s="156"/>
      <c r="N97" s="156"/>
      <c r="O97" s="159">
        <v>0</v>
      </c>
      <c r="P97" s="156"/>
      <c r="Q97" s="156"/>
      <c r="R97" s="156"/>
      <c r="S97" s="156"/>
      <c r="T97" s="159">
        <v>0</v>
      </c>
      <c r="U97" s="156"/>
      <c r="V97" s="156"/>
      <c r="W97" s="159">
        <v>0</v>
      </c>
      <c r="X97" s="156"/>
      <c r="Y97" s="156"/>
      <c r="Z97" s="159">
        <v>0</v>
      </c>
      <c r="AA97" s="156"/>
      <c r="AB97" s="156"/>
      <c r="AC97" s="159">
        <v>0</v>
      </c>
      <c r="AD97" s="156"/>
      <c r="AE97" s="156"/>
      <c r="AF97" s="159">
        <v>0</v>
      </c>
      <c r="AG97" s="156"/>
      <c r="AH97" s="156"/>
      <c r="AI97" s="159">
        <v>0</v>
      </c>
      <c r="AJ97" s="156"/>
      <c r="AK97" s="156"/>
      <c r="AL97" s="157" t="s">
        <v>28</v>
      </c>
      <c r="AM97" s="156"/>
      <c r="AN97" s="156"/>
      <c r="AO97" s="157" t="s">
        <v>28</v>
      </c>
      <c r="AP97" s="156"/>
      <c r="AQ97" s="156"/>
      <c r="AR97" s="157" t="s">
        <v>28</v>
      </c>
      <c r="AS97" s="156"/>
      <c r="AT97" s="156"/>
      <c r="AU97" s="157" t="s">
        <v>28</v>
      </c>
      <c r="AV97" s="156"/>
      <c r="AW97" s="156"/>
      <c r="AX97" s="157" t="s">
        <v>28</v>
      </c>
      <c r="AY97" s="156"/>
      <c r="AZ97" s="156"/>
      <c r="BA97" s="156"/>
    </row>
    <row r="98" spans="1:53" ht="27.6" customHeight="1" x14ac:dyDescent="0.25">
      <c r="A98" s="158" t="s">
        <v>102</v>
      </c>
      <c r="B98" s="156"/>
      <c r="C98" s="159">
        <v>0</v>
      </c>
      <c r="D98" s="156"/>
      <c r="E98" s="156"/>
      <c r="F98" s="159">
        <v>0</v>
      </c>
      <c r="G98" s="156"/>
      <c r="H98" s="156"/>
      <c r="I98" s="159">
        <v>424.63</v>
      </c>
      <c r="J98" s="156"/>
      <c r="K98" s="156"/>
      <c r="L98" s="159">
        <v>2203.21</v>
      </c>
      <c r="M98" s="156"/>
      <c r="N98" s="156"/>
      <c r="O98" s="159">
        <v>0</v>
      </c>
      <c r="P98" s="156"/>
      <c r="Q98" s="156"/>
      <c r="R98" s="156"/>
      <c r="S98" s="156"/>
      <c r="T98" s="159">
        <v>0</v>
      </c>
      <c r="U98" s="156"/>
      <c r="V98" s="156"/>
      <c r="W98" s="159">
        <v>0</v>
      </c>
      <c r="X98" s="156"/>
      <c r="Y98" s="156"/>
      <c r="Z98" s="159">
        <v>0</v>
      </c>
      <c r="AA98" s="156"/>
      <c r="AB98" s="156"/>
      <c r="AC98" s="159">
        <v>0</v>
      </c>
      <c r="AD98" s="156"/>
      <c r="AE98" s="156"/>
      <c r="AF98" s="159">
        <v>0</v>
      </c>
      <c r="AG98" s="156"/>
      <c r="AH98" s="156"/>
      <c r="AI98" s="159">
        <v>0</v>
      </c>
      <c r="AJ98" s="156"/>
      <c r="AK98" s="156"/>
      <c r="AL98" s="157" t="s">
        <v>28</v>
      </c>
      <c r="AM98" s="156"/>
      <c r="AN98" s="156"/>
      <c r="AO98" s="157" t="s">
        <v>28</v>
      </c>
      <c r="AP98" s="156"/>
      <c r="AQ98" s="156"/>
      <c r="AR98" s="157" t="s">
        <v>28</v>
      </c>
      <c r="AS98" s="156"/>
      <c r="AT98" s="156"/>
      <c r="AU98" s="157" t="s">
        <v>28</v>
      </c>
      <c r="AV98" s="156"/>
      <c r="AW98" s="156"/>
      <c r="AX98" s="157" t="s">
        <v>28</v>
      </c>
      <c r="AY98" s="156"/>
      <c r="AZ98" s="156"/>
      <c r="BA98" s="156"/>
    </row>
    <row r="99" spans="1:53" ht="14.45" customHeight="1" x14ac:dyDescent="0.25">
      <c r="A99" s="158" t="s">
        <v>103</v>
      </c>
      <c r="B99" s="156"/>
      <c r="C99" s="159">
        <v>0</v>
      </c>
      <c r="D99" s="156"/>
      <c r="E99" s="156"/>
      <c r="F99" s="159">
        <v>0</v>
      </c>
      <c r="G99" s="156"/>
      <c r="H99" s="156"/>
      <c r="I99" s="159">
        <v>0</v>
      </c>
      <c r="J99" s="156"/>
      <c r="K99" s="156"/>
      <c r="L99" s="159">
        <v>0</v>
      </c>
      <c r="M99" s="156"/>
      <c r="N99" s="156"/>
      <c r="O99" s="159">
        <v>0</v>
      </c>
      <c r="P99" s="156"/>
      <c r="Q99" s="156"/>
      <c r="R99" s="156"/>
      <c r="S99" s="156"/>
      <c r="T99" s="159">
        <v>0</v>
      </c>
      <c r="U99" s="156"/>
      <c r="V99" s="156"/>
      <c r="W99" s="159">
        <v>0</v>
      </c>
      <c r="X99" s="156"/>
      <c r="Y99" s="156"/>
      <c r="Z99" s="159">
        <v>0</v>
      </c>
      <c r="AA99" s="156"/>
      <c r="AB99" s="156"/>
      <c r="AC99" s="159">
        <v>0</v>
      </c>
      <c r="AD99" s="156"/>
      <c r="AE99" s="156"/>
      <c r="AF99" s="159">
        <v>0</v>
      </c>
      <c r="AG99" s="156"/>
      <c r="AH99" s="156"/>
      <c r="AI99" s="159">
        <v>0</v>
      </c>
      <c r="AJ99" s="156"/>
      <c r="AK99" s="156"/>
      <c r="AL99" s="157" t="s">
        <v>28</v>
      </c>
      <c r="AM99" s="156"/>
      <c r="AN99" s="156"/>
      <c r="AO99" s="157" t="s">
        <v>28</v>
      </c>
      <c r="AP99" s="156"/>
      <c r="AQ99" s="156"/>
      <c r="AR99" s="157" t="s">
        <v>28</v>
      </c>
      <c r="AS99" s="156"/>
      <c r="AT99" s="156"/>
      <c r="AU99" s="157" t="s">
        <v>28</v>
      </c>
      <c r="AV99" s="156"/>
      <c r="AW99" s="156"/>
      <c r="AX99" s="157" t="s">
        <v>28</v>
      </c>
      <c r="AY99" s="156"/>
      <c r="AZ99" s="156"/>
      <c r="BA99" s="156"/>
    </row>
    <row r="100" spans="1:53" ht="27.6" customHeight="1" x14ac:dyDescent="0.25">
      <c r="A100" s="158" t="s">
        <v>104</v>
      </c>
      <c r="B100" s="156"/>
      <c r="C100" s="159">
        <v>0</v>
      </c>
      <c r="D100" s="156"/>
      <c r="E100" s="156"/>
      <c r="F100" s="159">
        <v>0</v>
      </c>
      <c r="G100" s="156"/>
      <c r="H100" s="156"/>
      <c r="I100" s="159">
        <v>0</v>
      </c>
      <c r="J100" s="156"/>
      <c r="K100" s="156"/>
      <c r="L100" s="159">
        <v>0</v>
      </c>
      <c r="M100" s="156"/>
      <c r="N100" s="156"/>
      <c r="O100" s="159">
        <v>0</v>
      </c>
      <c r="P100" s="156"/>
      <c r="Q100" s="156"/>
      <c r="R100" s="156"/>
      <c r="S100" s="156"/>
      <c r="T100" s="159">
        <v>0</v>
      </c>
      <c r="U100" s="156"/>
      <c r="V100" s="156"/>
      <c r="W100" s="159">
        <v>0</v>
      </c>
      <c r="X100" s="156"/>
      <c r="Y100" s="156"/>
      <c r="Z100" s="159">
        <v>0</v>
      </c>
      <c r="AA100" s="156"/>
      <c r="AB100" s="156"/>
      <c r="AC100" s="159">
        <v>0</v>
      </c>
      <c r="AD100" s="156"/>
      <c r="AE100" s="156"/>
      <c r="AF100" s="159">
        <v>0</v>
      </c>
      <c r="AG100" s="156"/>
      <c r="AH100" s="156"/>
      <c r="AI100" s="159">
        <v>0</v>
      </c>
      <c r="AJ100" s="156"/>
      <c r="AK100" s="156"/>
      <c r="AL100" s="157" t="s">
        <v>28</v>
      </c>
      <c r="AM100" s="156"/>
      <c r="AN100" s="156"/>
      <c r="AO100" s="157" t="s">
        <v>28</v>
      </c>
      <c r="AP100" s="156"/>
      <c r="AQ100" s="156"/>
      <c r="AR100" s="157" t="s">
        <v>28</v>
      </c>
      <c r="AS100" s="156"/>
      <c r="AT100" s="156"/>
      <c r="AU100" s="157" t="s">
        <v>28</v>
      </c>
      <c r="AV100" s="156"/>
      <c r="AW100" s="156"/>
      <c r="AX100" s="157" t="s">
        <v>28</v>
      </c>
      <c r="AY100" s="156"/>
      <c r="AZ100" s="156"/>
      <c r="BA100" s="156"/>
    </row>
    <row r="101" spans="1:53" ht="14.45" customHeight="1" x14ac:dyDescent="0.25">
      <c r="A101" s="158" t="s">
        <v>105</v>
      </c>
      <c r="B101" s="156"/>
      <c r="C101" s="159">
        <v>0</v>
      </c>
      <c r="D101" s="156"/>
      <c r="E101" s="156"/>
      <c r="F101" s="159">
        <v>0</v>
      </c>
      <c r="G101" s="156"/>
      <c r="H101" s="156"/>
      <c r="I101" s="159">
        <v>0</v>
      </c>
      <c r="J101" s="156"/>
      <c r="K101" s="156"/>
      <c r="L101" s="159">
        <v>0</v>
      </c>
      <c r="M101" s="156"/>
      <c r="N101" s="156"/>
      <c r="O101" s="159">
        <v>0</v>
      </c>
      <c r="P101" s="156"/>
      <c r="Q101" s="156"/>
      <c r="R101" s="156"/>
      <c r="S101" s="156"/>
      <c r="T101" s="159">
        <v>0</v>
      </c>
      <c r="U101" s="156"/>
      <c r="V101" s="156"/>
      <c r="W101" s="159">
        <v>0</v>
      </c>
      <c r="X101" s="156"/>
      <c r="Y101" s="156"/>
      <c r="Z101" s="159">
        <v>0</v>
      </c>
      <c r="AA101" s="156"/>
      <c r="AB101" s="156"/>
      <c r="AC101" s="159">
        <v>0</v>
      </c>
      <c r="AD101" s="156"/>
      <c r="AE101" s="156"/>
      <c r="AF101" s="159">
        <v>0</v>
      </c>
      <c r="AG101" s="156"/>
      <c r="AH101" s="156"/>
      <c r="AI101" s="159">
        <v>0</v>
      </c>
      <c r="AJ101" s="156"/>
      <c r="AK101" s="156"/>
      <c r="AL101" s="157" t="s">
        <v>28</v>
      </c>
      <c r="AM101" s="156"/>
      <c r="AN101" s="156"/>
      <c r="AO101" s="157" t="s">
        <v>28</v>
      </c>
      <c r="AP101" s="156"/>
      <c r="AQ101" s="156"/>
      <c r="AR101" s="157" t="s">
        <v>28</v>
      </c>
      <c r="AS101" s="156"/>
      <c r="AT101" s="156"/>
      <c r="AU101" s="157" t="s">
        <v>28</v>
      </c>
      <c r="AV101" s="156"/>
      <c r="AW101" s="156"/>
      <c r="AX101" s="157" t="s">
        <v>28</v>
      </c>
      <c r="AY101" s="156"/>
      <c r="AZ101" s="156"/>
      <c r="BA101" s="156"/>
    </row>
    <row r="102" spans="1:53" ht="14.45" customHeight="1" x14ac:dyDescent="0.25">
      <c r="A102" s="158" t="s">
        <v>106</v>
      </c>
      <c r="B102" s="156"/>
      <c r="C102" s="159">
        <v>0</v>
      </c>
      <c r="D102" s="156"/>
      <c r="E102" s="156"/>
      <c r="F102" s="159">
        <v>0</v>
      </c>
      <c r="G102" s="156"/>
      <c r="H102" s="156"/>
      <c r="I102" s="159">
        <v>0</v>
      </c>
      <c r="J102" s="156"/>
      <c r="K102" s="156"/>
      <c r="L102" s="159">
        <v>0</v>
      </c>
      <c r="M102" s="156"/>
      <c r="N102" s="156"/>
      <c r="O102" s="159">
        <v>0</v>
      </c>
      <c r="P102" s="156"/>
      <c r="Q102" s="156"/>
      <c r="R102" s="156"/>
      <c r="S102" s="156"/>
      <c r="T102" s="159">
        <v>0</v>
      </c>
      <c r="U102" s="156"/>
      <c r="V102" s="156"/>
      <c r="W102" s="159">
        <v>0</v>
      </c>
      <c r="X102" s="156"/>
      <c r="Y102" s="156"/>
      <c r="Z102" s="159">
        <v>0</v>
      </c>
      <c r="AA102" s="156"/>
      <c r="AB102" s="156"/>
      <c r="AC102" s="159">
        <v>0</v>
      </c>
      <c r="AD102" s="156"/>
      <c r="AE102" s="156"/>
      <c r="AF102" s="159">
        <v>0</v>
      </c>
      <c r="AG102" s="156"/>
      <c r="AH102" s="156"/>
      <c r="AI102" s="159">
        <v>0</v>
      </c>
      <c r="AJ102" s="156"/>
      <c r="AK102" s="156"/>
      <c r="AL102" s="157" t="s">
        <v>28</v>
      </c>
      <c r="AM102" s="156"/>
      <c r="AN102" s="156"/>
      <c r="AO102" s="157" t="s">
        <v>28</v>
      </c>
      <c r="AP102" s="156"/>
      <c r="AQ102" s="156"/>
      <c r="AR102" s="157" t="s">
        <v>28</v>
      </c>
      <c r="AS102" s="156"/>
      <c r="AT102" s="156"/>
      <c r="AU102" s="157" t="s">
        <v>28</v>
      </c>
      <c r="AV102" s="156"/>
      <c r="AW102" s="156"/>
      <c r="AX102" s="157" t="s">
        <v>28</v>
      </c>
      <c r="AY102" s="156"/>
      <c r="AZ102" s="156"/>
      <c r="BA102" s="156"/>
    </row>
    <row r="103" spans="1:53" ht="14.45" customHeight="1" x14ac:dyDescent="0.25">
      <c r="A103" s="158" t="s">
        <v>107</v>
      </c>
      <c r="B103" s="156"/>
      <c r="C103" s="159">
        <v>16875.82</v>
      </c>
      <c r="D103" s="156"/>
      <c r="E103" s="156"/>
      <c r="F103" s="159">
        <v>16578.560000000001</v>
      </c>
      <c r="G103" s="156"/>
      <c r="H103" s="156"/>
      <c r="I103" s="159">
        <v>17357.759999999998</v>
      </c>
      <c r="J103" s="156"/>
      <c r="K103" s="156"/>
      <c r="L103" s="159">
        <v>27575.91</v>
      </c>
      <c r="M103" s="156"/>
      <c r="N103" s="156"/>
      <c r="O103" s="159">
        <v>14206.36</v>
      </c>
      <c r="P103" s="156"/>
      <c r="Q103" s="156"/>
      <c r="R103" s="156"/>
      <c r="S103" s="156"/>
      <c r="T103" s="159">
        <v>19895.75</v>
      </c>
      <c r="U103" s="156"/>
      <c r="V103" s="156"/>
      <c r="W103" s="159">
        <v>13227.79</v>
      </c>
      <c r="X103" s="156"/>
      <c r="Y103" s="156"/>
      <c r="Z103" s="159">
        <v>12457.07</v>
      </c>
      <c r="AA103" s="156"/>
      <c r="AB103" s="156"/>
      <c r="AC103" s="159">
        <v>9000.42</v>
      </c>
      <c r="AD103" s="156"/>
      <c r="AE103" s="156"/>
      <c r="AF103" s="159">
        <v>18877.91</v>
      </c>
      <c r="AG103" s="156"/>
      <c r="AH103" s="156"/>
      <c r="AI103" s="159">
        <v>33793.269999999997</v>
      </c>
      <c r="AJ103" s="156"/>
      <c r="AK103" s="156"/>
      <c r="AL103" s="157" t="s">
        <v>28</v>
      </c>
      <c r="AM103" s="156"/>
      <c r="AN103" s="156"/>
      <c r="AO103" s="157" t="s">
        <v>28</v>
      </c>
      <c r="AP103" s="156"/>
      <c r="AQ103" s="156"/>
      <c r="AR103" s="157" t="s">
        <v>28</v>
      </c>
      <c r="AS103" s="156"/>
      <c r="AT103" s="156"/>
      <c r="AU103" s="157" t="s">
        <v>28</v>
      </c>
      <c r="AV103" s="156"/>
      <c r="AW103" s="156"/>
      <c r="AX103" s="157" t="s">
        <v>28</v>
      </c>
      <c r="AY103" s="156"/>
      <c r="AZ103" s="156"/>
      <c r="BA103" s="156"/>
    </row>
    <row r="104" spans="1:53" ht="14.45" customHeight="1" x14ac:dyDescent="0.25">
      <c r="A104" s="158" t="s">
        <v>108</v>
      </c>
      <c r="B104" s="156"/>
      <c r="C104" s="159">
        <v>32195.85</v>
      </c>
      <c r="D104" s="156"/>
      <c r="E104" s="156"/>
      <c r="F104" s="159">
        <v>64294.69</v>
      </c>
      <c r="G104" s="156"/>
      <c r="H104" s="156"/>
      <c r="I104" s="159">
        <v>53356.75</v>
      </c>
      <c r="J104" s="156"/>
      <c r="K104" s="156"/>
      <c r="L104" s="159">
        <v>61461.919999999998</v>
      </c>
      <c r="M104" s="156"/>
      <c r="N104" s="156"/>
      <c r="O104" s="159">
        <v>79690.5</v>
      </c>
      <c r="P104" s="156"/>
      <c r="Q104" s="156"/>
      <c r="R104" s="156"/>
      <c r="S104" s="156"/>
      <c r="T104" s="159">
        <v>32876.449000000001</v>
      </c>
      <c r="U104" s="156"/>
      <c r="V104" s="156"/>
      <c r="W104" s="159">
        <v>24264.06</v>
      </c>
      <c r="X104" s="156"/>
      <c r="Y104" s="156"/>
      <c r="Z104" s="159">
        <v>39553.83</v>
      </c>
      <c r="AA104" s="156"/>
      <c r="AB104" s="156"/>
      <c r="AC104" s="159">
        <v>111647.78</v>
      </c>
      <c r="AD104" s="156"/>
      <c r="AE104" s="156"/>
      <c r="AF104" s="159">
        <v>28046.94</v>
      </c>
      <c r="AG104" s="156"/>
      <c r="AH104" s="156"/>
      <c r="AI104" s="159">
        <v>30880.6</v>
      </c>
      <c r="AJ104" s="156"/>
      <c r="AK104" s="156"/>
      <c r="AL104" s="157" t="s">
        <v>28</v>
      </c>
      <c r="AM104" s="156"/>
      <c r="AN104" s="156"/>
      <c r="AO104" s="157" t="s">
        <v>28</v>
      </c>
      <c r="AP104" s="156"/>
      <c r="AQ104" s="156"/>
      <c r="AR104" s="157" t="s">
        <v>28</v>
      </c>
      <c r="AS104" s="156"/>
      <c r="AT104" s="156"/>
      <c r="AU104" s="157" t="s">
        <v>28</v>
      </c>
      <c r="AV104" s="156"/>
      <c r="AW104" s="156"/>
      <c r="AX104" s="157" t="s">
        <v>28</v>
      </c>
      <c r="AY104" s="156"/>
      <c r="AZ104" s="156"/>
      <c r="BA104" s="156"/>
    </row>
    <row r="105" spans="1:53" ht="27.6" customHeight="1" x14ac:dyDescent="0.25">
      <c r="A105" s="158" t="s">
        <v>109</v>
      </c>
      <c r="B105" s="156"/>
      <c r="C105" s="159">
        <v>2655655.64</v>
      </c>
      <c r="D105" s="156"/>
      <c r="E105" s="156"/>
      <c r="F105" s="159">
        <v>1810664.24</v>
      </c>
      <c r="G105" s="156"/>
      <c r="H105" s="156"/>
      <c r="I105" s="159">
        <v>1779681.49</v>
      </c>
      <c r="J105" s="156"/>
      <c r="K105" s="156"/>
      <c r="L105" s="159">
        <v>1802953.7</v>
      </c>
      <c r="M105" s="156"/>
      <c r="N105" s="156"/>
      <c r="O105" s="159">
        <v>1855069.7</v>
      </c>
      <c r="P105" s="156"/>
      <c r="Q105" s="156"/>
      <c r="R105" s="156"/>
      <c r="S105" s="156"/>
      <c r="T105" s="159">
        <v>2053698.07</v>
      </c>
      <c r="U105" s="156"/>
      <c r="V105" s="156"/>
      <c r="W105" s="159">
        <v>2320640.33</v>
      </c>
      <c r="X105" s="156"/>
      <c r="Y105" s="156"/>
      <c r="Z105" s="159">
        <v>1884380.15</v>
      </c>
      <c r="AA105" s="156"/>
      <c r="AB105" s="156"/>
      <c r="AC105" s="159">
        <v>1006027.61</v>
      </c>
      <c r="AD105" s="156"/>
      <c r="AE105" s="156"/>
      <c r="AF105" s="159">
        <v>1368984.52</v>
      </c>
      <c r="AG105" s="156"/>
      <c r="AH105" s="156"/>
      <c r="AI105" s="159">
        <v>1505634.27</v>
      </c>
      <c r="AJ105" s="156"/>
      <c r="AK105" s="156"/>
      <c r="AL105" s="157" t="s">
        <v>28</v>
      </c>
      <c r="AM105" s="156"/>
      <c r="AN105" s="156"/>
      <c r="AO105" s="157" t="s">
        <v>28</v>
      </c>
      <c r="AP105" s="156"/>
      <c r="AQ105" s="156"/>
      <c r="AR105" s="157" t="s">
        <v>28</v>
      </c>
      <c r="AS105" s="156"/>
      <c r="AT105" s="156"/>
      <c r="AU105" s="157" t="s">
        <v>28</v>
      </c>
      <c r="AV105" s="156"/>
      <c r="AW105" s="156"/>
      <c r="AX105" s="157" t="s">
        <v>28</v>
      </c>
      <c r="AY105" s="156"/>
      <c r="AZ105" s="156"/>
      <c r="BA105" s="156"/>
    </row>
    <row r="106" spans="1:53" ht="27.6" customHeight="1" x14ac:dyDescent="0.25">
      <c r="A106" s="158" t="s">
        <v>110</v>
      </c>
      <c r="B106" s="156"/>
      <c r="C106" s="159">
        <v>105567.03</v>
      </c>
      <c r="D106" s="156"/>
      <c r="E106" s="156"/>
      <c r="F106" s="159">
        <v>90270.19</v>
      </c>
      <c r="G106" s="156"/>
      <c r="H106" s="156"/>
      <c r="I106" s="159">
        <v>89878.63</v>
      </c>
      <c r="J106" s="156"/>
      <c r="K106" s="156"/>
      <c r="L106" s="159">
        <v>81064.53</v>
      </c>
      <c r="M106" s="156"/>
      <c r="N106" s="156"/>
      <c r="O106" s="159">
        <v>59138.2</v>
      </c>
      <c r="P106" s="156"/>
      <c r="Q106" s="156"/>
      <c r="R106" s="156"/>
      <c r="S106" s="156"/>
      <c r="T106" s="159">
        <v>46501.760000000002</v>
      </c>
      <c r="U106" s="156"/>
      <c r="V106" s="156"/>
      <c r="W106" s="159">
        <v>40655.199999999997</v>
      </c>
      <c r="X106" s="156"/>
      <c r="Y106" s="156"/>
      <c r="Z106" s="159">
        <v>43555.51</v>
      </c>
      <c r="AA106" s="156"/>
      <c r="AB106" s="156"/>
      <c r="AC106" s="159">
        <v>45748.32</v>
      </c>
      <c r="AD106" s="156"/>
      <c r="AE106" s="156"/>
      <c r="AF106" s="159">
        <v>46376.22</v>
      </c>
      <c r="AG106" s="156"/>
      <c r="AH106" s="156"/>
      <c r="AI106" s="159">
        <v>56321.48</v>
      </c>
      <c r="AJ106" s="156"/>
      <c r="AK106" s="156"/>
      <c r="AL106" s="157" t="s">
        <v>28</v>
      </c>
      <c r="AM106" s="156"/>
      <c r="AN106" s="156"/>
      <c r="AO106" s="157" t="s">
        <v>28</v>
      </c>
      <c r="AP106" s="156"/>
      <c r="AQ106" s="156"/>
      <c r="AR106" s="157" t="s">
        <v>28</v>
      </c>
      <c r="AS106" s="156"/>
      <c r="AT106" s="156"/>
      <c r="AU106" s="157" t="s">
        <v>28</v>
      </c>
      <c r="AV106" s="156"/>
      <c r="AW106" s="156"/>
      <c r="AX106" s="157" t="s">
        <v>28</v>
      </c>
      <c r="AY106" s="156"/>
      <c r="AZ106" s="156"/>
      <c r="BA106" s="156"/>
    </row>
    <row r="107" spans="1:53" ht="27.6" customHeight="1" x14ac:dyDescent="0.25">
      <c r="A107" s="158" t="s">
        <v>111</v>
      </c>
      <c r="B107" s="156"/>
      <c r="C107" s="159">
        <v>0</v>
      </c>
      <c r="D107" s="156"/>
      <c r="E107" s="156"/>
      <c r="F107" s="159">
        <v>0</v>
      </c>
      <c r="G107" s="156"/>
      <c r="H107" s="156"/>
      <c r="I107" s="159">
        <v>0</v>
      </c>
      <c r="J107" s="156"/>
      <c r="K107" s="156"/>
      <c r="L107" s="159">
        <v>0</v>
      </c>
      <c r="M107" s="156"/>
      <c r="N107" s="156"/>
      <c r="O107" s="159">
        <v>0</v>
      </c>
      <c r="P107" s="156"/>
      <c r="Q107" s="156"/>
      <c r="R107" s="156"/>
      <c r="S107" s="156"/>
      <c r="T107" s="159">
        <v>0</v>
      </c>
      <c r="U107" s="156"/>
      <c r="V107" s="156"/>
      <c r="W107" s="159">
        <v>0</v>
      </c>
      <c r="X107" s="156"/>
      <c r="Y107" s="156"/>
      <c r="Z107" s="159">
        <v>0</v>
      </c>
      <c r="AA107" s="156"/>
      <c r="AB107" s="156"/>
      <c r="AC107" s="159">
        <v>0</v>
      </c>
      <c r="AD107" s="156"/>
      <c r="AE107" s="156"/>
      <c r="AF107" s="159">
        <v>9977.7999999999993</v>
      </c>
      <c r="AG107" s="156"/>
      <c r="AH107" s="156"/>
      <c r="AI107" s="159">
        <v>3391.37</v>
      </c>
      <c r="AJ107" s="156"/>
      <c r="AK107" s="156"/>
      <c r="AL107" s="157" t="s">
        <v>28</v>
      </c>
      <c r="AM107" s="156"/>
      <c r="AN107" s="156"/>
      <c r="AO107" s="157" t="s">
        <v>28</v>
      </c>
      <c r="AP107" s="156"/>
      <c r="AQ107" s="156"/>
      <c r="AR107" s="157" t="s">
        <v>28</v>
      </c>
      <c r="AS107" s="156"/>
      <c r="AT107" s="156"/>
      <c r="AU107" s="157" t="s">
        <v>28</v>
      </c>
      <c r="AV107" s="156"/>
      <c r="AW107" s="156"/>
      <c r="AX107" s="157" t="s">
        <v>28</v>
      </c>
      <c r="AY107" s="156"/>
      <c r="AZ107" s="156"/>
      <c r="BA107" s="156"/>
    </row>
    <row r="108" spans="1:53" ht="27.6" customHeight="1" x14ac:dyDescent="0.25">
      <c r="A108" s="158" t="s">
        <v>112</v>
      </c>
      <c r="B108" s="156"/>
      <c r="C108" s="159">
        <v>2550088.61</v>
      </c>
      <c r="D108" s="156"/>
      <c r="E108" s="156"/>
      <c r="F108" s="159">
        <v>1720394.05</v>
      </c>
      <c r="G108" s="156"/>
      <c r="H108" s="156"/>
      <c r="I108" s="159">
        <v>1689802.86</v>
      </c>
      <c r="J108" s="156"/>
      <c r="K108" s="156"/>
      <c r="L108" s="159">
        <v>1721889.17</v>
      </c>
      <c r="M108" s="156"/>
      <c r="N108" s="156"/>
      <c r="O108" s="159">
        <v>1795931.5</v>
      </c>
      <c r="P108" s="156"/>
      <c r="Q108" s="156"/>
      <c r="R108" s="156"/>
      <c r="S108" s="156"/>
      <c r="T108" s="159">
        <v>2007196.31</v>
      </c>
      <c r="U108" s="156"/>
      <c r="V108" s="156"/>
      <c r="W108" s="159">
        <v>2279985.13</v>
      </c>
      <c r="X108" s="156"/>
      <c r="Y108" s="156"/>
      <c r="Z108" s="159">
        <v>1840824.64</v>
      </c>
      <c r="AA108" s="156"/>
      <c r="AB108" s="156"/>
      <c r="AC108" s="159">
        <v>960279.29</v>
      </c>
      <c r="AD108" s="156"/>
      <c r="AE108" s="156"/>
      <c r="AF108" s="159">
        <v>1312630.5</v>
      </c>
      <c r="AG108" s="156"/>
      <c r="AH108" s="156"/>
      <c r="AI108" s="159">
        <v>1445921.42</v>
      </c>
      <c r="AJ108" s="156"/>
      <c r="AK108" s="156"/>
      <c r="AL108" s="157" t="s">
        <v>28</v>
      </c>
      <c r="AM108" s="156"/>
      <c r="AN108" s="156"/>
      <c r="AO108" s="157" t="s">
        <v>28</v>
      </c>
      <c r="AP108" s="156"/>
      <c r="AQ108" s="156"/>
      <c r="AR108" s="157" t="s">
        <v>28</v>
      </c>
      <c r="AS108" s="156"/>
      <c r="AT108" s="156"/>
      <c r="AU108" s="157" t="s">
        <v>28</v>
      </c>
      <c r="AV108" s="156"/>
      <c r="AW108" s="156"/>
      <c r="AX108" s="157" t="s">
        <v>28</v>
      </c>
      <c r="AY108" s="156"/>
      <c r="AZ108" s="156"/>
      <c r="BA108" s="156"/>
    </row>
    <row r="109" spans="1:53" ht="14.45" customHeight="1" x14ac:dyDescent="0.25">
      <c r="A109" s="158" t="s">
        <v>113</v>
      </c>
      <c r="B109" s="156"/>
      <c r="C109" s="159">
        <v>0</v>
      </c>
      <c r="D109" s="156"/>
      <c r="E109" s="156"/>
      <c r="F109" s="159">
        <v>0</v>
      </c>
      <c r="G109" s="156"/>
      <c r="H109" s="156"/>
      <c r="I109" s="159">
        <v>0</v>
      </c>
      <c r="J109" s="156"/>
      <c r="K109" s="156"/>
      <c r="L109" s="159">
        <v>0</v>
      </c>
      <c r="M109" s="156"/>
      <c r="N109" s="156"/>
      <c r="O109" s="159">
        <v>0</v>
      </c>
      <c r="P109" s="156"/>
      <c r="Q109" s="156"/>
      <c r="R109" s="156"/>
      <c r="S109" s="156"/>
      <c r="T109" s="159">
        <v>0.33</v>
      </c>
      <c r="U109" s="156"/>
      <c r="V109" s="156"/>
      <c r="W109" s="159">
        <v>3.38</v>
      </c>
      <c r="X109" s="156"/>
      <c r="Y109" s="156"/>
      <c r="Z109" s="159">
        <v>0</v>
      </c>
      <c r="AA109" s="156"/>
      <c r="AB109" s="156"/>
      <c r="AC109" s="159">
        <v>0</v>
      </c>
      <c r="AD109" s="156"/>
      <c r="AE109" s="156"/>
      <c r="AF109" s="159">
        <v>0</v>
      </c>
      <c r="AG109" s="156"/>
      <c r="AH109" s="156"/>
      <c r="AI109" s="159">
        <v>0</v>
      </c>
      <c r="AJ109" s="156"/>
      <c r="AK109" s="156"/>
      <c r="AL109" s="157" t="s">
        <v>28</v>
      </c>
      <c r="AM109" s="156"/>
      <c r="AN109" s="156"/>
      <c r="AO109" s="157" t="s">
        <v>28</v>
      </c>
      <c r="AP109" s="156"/>
      <c r="AQ109" s="156"/>
      <c r="AR109" s="157" t="s">
        <v>28</v>
      </c>
      <c r="AS109" s="156"/>
      <c r="AT109" s="156"/>
      <c r="AU109" s="157" t="s">
        <v>28</v>
      </c>
      <c r="AV109" s="156"/>
      <c r="AW109" s="156"/>
      <c r="AX109" s="157" t="s">
        <v>28</v>
      </c>
      <c r="AY109" s="156"/>
      <c r="AZ109" s="156"/>
      <c r="BA109" s="156"/>
    </row>
    <row r="110" spans="1:53" ht="14.45" customHeight="1" x14ac:dyDescent="0.25">
      <c r="A110" s="158" t="s">
        <v>114</v>
      </c>
      <c r="B110" s="156"/>
      <c r="C110" s="159">
        <v>3432.55</v>
      </c>
      <c r="D110" s="156"/>
      <c r="E110" s="156"/>
      <c r="F110" s="159">
        <v>10127.67</v>
      </c>
      <c r="G110" s="156"/>
      <c r="H110" s="156"/>
      <c r="I110" s="159">
        <v>2337.75</v>
      </c>
      <c r="J110" s="156"/>
      <c r="K110" s="156"/>
      <c r="L110" s="159">
        <v>11107.28</v>
      </c>
      <c r="M110" s="156"/>
      <c r="N110" s="156"/>
      <c r="O110" s="159">
        <v>4531.83</v>
      </c>
      <c r="P110" s="156"/>
      <c r="Q110" s="156"/>
      <c r="R110" s="156"/>
      <c r="S110" s="156"/>
      <c r="T110" s="159">
        <v>19810.89</v>
      </c>
      <c r="U110" s="156"/>
      <c r="V110" s="156"/>
      <c r="W110" s="159">
        <v>23505.72</v>
      </c>
      <c r="X110" s="156"/>
      <c r="Y110" s="156"/>
      <c r="Z110" s="159">
        <v>18668.16</v>
      </c>
      <c r="AA110" s="156"/>
      <c r="AB110" s="156"/>
      <c r="AC110" s="159">
        <v>17017.490000000002</v>
      </c>
      <c r="AD110" s="156"/>
      <c r="AE110" s="156"/>
      <c r="AF110" s="159">
        <v>0</v>
      </c>
      <c r="AG110" s="156"/>
      <c r="AH110" s="156"/>
      <c r="AI110" s="159">
        <v>0</v>
      </c>
      <c r="AJ110" s="156"/>
      <c r="AK110" s="156"/>
      <c r="AL110" s="157" t="s">
        <v>28</v>
      </c>
      <c r="AM110" s="156"/>
      <c r="AN110" s="156"/>
      <c r="AO110" s="157" t="s">
        <v>28</v>
      </c>
      <c r="AP110" s="156"/>
      <c r="AQ110" s="156"/>
      <c r="AR110" s="157" t="s">
        <v>28</v>
      </c>
      <c r="AS110" s="156"/>
      <c r="AT110" s="156"/>
      <c r="AU110" s="157" t="s">
        <v>28</v>
      </c>
      <c r="AV110" s="156"/>
      <c r="AW110" s="156"/>
      <c r="AX110" s="157" t="s">
        <v>28</v>
      </c>
      <c r="AY110" s="156"/>
      <c r="AZ110" s="156"/>
      <c r="BA110" s="156"/>
    </row>
    <row r="111" spans="1:53" ht="14.45" customHeight="1" x14ac:dyDescent="0.25">
      <c r="A111" s="158" t="s">
        <v>115</v>
      </c>
      <c r="B111" s="156"/>
      <c r="C111" s="159">
        <v>2546656.06</v>
      </c>
      <c r="D111" s="156"/>
      <c r="E111" s="156"/>
      <c r="F111" s="159">
        <v>1710266.38</v>
      </c>
      <c r="G111" s="156"/>
      <c r="H111" s="156"/>
      <c r="I111" s="159">
        <v>1687465.11</v>
      </c>
      <c r="J111" s="156"/>
      <c r="K111" s="156"/>
      <c r="L111" s="159">
        <v>1710781.89</v>
      </c>
      <c r="M111" s="156"/>
      <c r="N111" s="156"/>
      <c r="O111" s="159">
        <v>1791399.67</v>
      </c>
      <c r="P111" s="156"/>
      <c r="Q111" s="156"/>
      <c r="R111" s="156"/>
      <c r="S111" s="156"/>
      <c r="T111" s="159">
        <v>1987385.75</v>
      </c>
      <c r="U111" s="156"/>
      <c r="V111" s="156"/>
      <c r="W111" s="159">
        <v>2256482.79</v>
      </c>
      <c r="X111" s="156"/>
      <c r="Y111" s="156"/>
      <c r="Z111" s="159">
        <v>1822156.48</v>
      </c>
      <c r="AA111" s="156"/>
      <c r="AB111" s="156"/>
      <c r="AC111" s="159">
        <v>943261.8</v>
      </c>
      <c r="AD111" s="156"/>
      <c r="AE111" s="156"/>
      <c r="AF111" s="159">
        <v>1312630.5</v>
      </c>
      <c r="AG111" s="156"/>
      <c r="AH111" s="156"/>
      <c r="AI111" s="159">
        <v>1445921.42</v>
      </c>
      <c r="AJ111" s="156"/>
      <c r="AK111" s="156"/>
      <c r="AL111" s="157" t="s">
        <v>28</v>
      </c>
      <c r="AM111" s="156"/>
      <c r="AN111" s="156"/>
      <c r="AO111" s="157" t="s">
        <v>28</v>
      </c>
      <c r="AP111" s="156"/>
      <c r="AQ111" s="156"/>
      <c r="AR111" s="157" t="s">
        <v>28</v>
      </c>
      <c r="AS111" s="156"/>
      <c r="AT111" s="156"/>
      <c r="AU111" s="157" t="s">
        <v>28</v>
      </c>
      <c r="AV111" s="156"/>
      <c r="AW111" s="156"/>
      <c r="AX111" s="157" t="s">
        <v>28</v>
      </c>
      <c r="AY111" s="156"/>
      <c r="AZ111" s="156"/>
      <c r="BA111" s="156"/>
    </row>
    <row r="112" spans="1:53" ht="14.45" customHeight="1" x14ac:dyDescent="0.25">
      <c r="A112" s="158" t="s">
        <v>116</v>
      </c>
      <c r="B112" s="156"/>
      <c r="C112" s="159">
        <v>290179.95</v>
      </c>
      <c r="D112" s="156"/>
      <c r="E112" s="156"/>
      <c r="F112" s="159">
        <v>415274.19</v>
      </c>
      <c r="G112" s="156"/>
      <c r="H112" s="156"/>
      <c r="I112" s="159">
        <v>401121.44</v>
      </c>
      <c r="J112" s="156"/>
      <c r="K112" s="156"/>
      <c r="L112" s="159">
        <v>415583.02</v>
      </c>
      <c r="M112" s="156"/>
      <c r="N112" s="156"/>
      <c r="O112" s="159">
        <v>23802.38</v>
      </c>
      <c r="P112" s="156"/>
      <c r="Q112" s="156"/>
      <c r="R112" s="156"/>
      <c r="S112" s="156"/>
      <c r="T112" s="159">
        <v>18965.560000000001</v>
      </c>
      <c r="U112" s="156"/>
      <c r="V112" s="156"/>
      <c r="W112" s="159">
        <v>18296.16</v>
      </c>
      <c r="X112" s="156"/>
      <c r="Y112" s="156"/>
      <c r="Z112" s="159">
        <v>11187.98</v>
      </c>
      <c r="AA112" s="156"/>
      <c r="AB112" s="156"/>
      <c r="AC112" s="159">
        <v>13302.59</v>
      </c>
      <c r="AD112" s="156"/>
      <c r="AE112" s="156"/>
      <c r="AF112" s="159">
        <v>0</v>
      </c>
      <c r="AG112" s="156"/>
      <c r="AH112" s="156"/>
      <c r="AI112" s="159">
        <v>0</v>
      </c>
      <c r="AJ112" s="156"/>
      <c r="AK112" s="156"/>
      <c r="AL112" s="157" t="s">
        <v>28</v>
      </c>
      <c r="AM112" s="156"/>
      <c r="AN112" s="156"/>
      <c r="AO112" s="157" t="s">
        <v>28</v>
      </c>
      <c r="AP112" s="156"/>
      <c r="AQ112" s="156"/>
      <c r="AR112" s="157" t="s">
        <v>28</v>
      </c>
      <c r="AS112" s="156"/>
      <c r="AT112" s="156"/>
      <c r="AU112" s="157" t="s">
        <v>28</v>
      </c>
      <c r="AV112" s="156"/>
      <c r="AW112" s="156"/>
      <c r="AX112" s="157" t="s">
        <v>28</v>
      </c>
      <c r="AY112" s="156"/>
      <c r="AZ112" s="156"/>
      <c r="BA112" s="156"/>
    </row>
    <row r="113" spans="1:53" ht="14.45" customHeight="1" x14ac:dyDescent="0.25">
      <c r="A113" s="158" t="s">
        <v>68</v>
      </c>
      <c r="B113" s="156"/>
      <c r="C113" s="159">
        <v>2256476.11</v>
      </c>
      <c r="D113" s="156"/>
      <c r="E113" s="156"/>
      <c r="F113" s="159">
        <v>1294992.19</v>
      </c>
      <c r="G113" s="156"/>
      <c r="H113" s="156"/>
      <c r="I113" s="159">
        <v>1286343.67</v>
      </c>
      <c r="J113" s="156"/>
      <c r="K113" s="156"/>
      <c r="L113" s="159">
        <v>1295198.8700000001</v>
      </c>
      <c r="M113" s="156"/>
      <c r="N113" s="156"/>
      <c r="O113" s="159">
        <v>1767597.29</v>
      </c>
      <c r="P113" s="156"/>
      <c r="Q113" s="156"/>
      <c r="R113" s="156"/>
      <c r="S113" s="156"/>
      <c r="T113" s="159">
        <v>1968420.19</v>
      </c>
      <c r="U113" s="156"/>
      <c r="V113" s="156"/>
      <c r="W113" s="159">
        <v>2238186.63</v>
      </c>
      <c r="X113" s="156"/>
      <c r="Y113" s="156"/>
      <c r="Z113" s="159">
        <v>1810968.5</v>
      </c>
      <c r="AA113" s="156"/>
      <c r="AB113" s="156"/>
      <c r="AC113" s="159">
        <v>929959.21</v>
      </c>
      <c r="AD113" s="156"/>
      <c r="AE113" s="156"/>
      <c r="AF113" s="159">
        <v>1312630.5</v>
      </c>
      <c r="AG113" s="156"/>
      <c r="AH113" s="156"/>
      <c r="AI113" s="159">
        <v>1445921.42</v>
      </c>
      <c r="AJ113" s="156"/>
      <c r="AK113" s="156"/>
      <c r="AL113" s="157" t="s">
        <v>28</v>
      </c>
      <c r="AM113" s="156"/>
      <c r="AN113" s="156"/>
      <c r="AO113" s="157" t="s">
        <v>28</v>
      </c>
      <c r="AP113" s="156"/>
      <c r="AQ113" s="156"/>
      <c r="AR113" s="157" t="s">
        <v>28</v>
      </c>
      <c r="AS113" s="156"/>
      <c r="AT113" s="156"/>
      <c r="AU113" s="157" t="s">
        <v>28</v>
      </c>
      <c r="AV113" s="156"/>
      <c r="AW113" s="156"/>
      <c r="AX113" s="157" t="s">
        <v>28</v>
      </c>
      <c r="AY113" s="156"/>
      <c r="AZ113" s="156"/>
      <c r="BA113" s="156"/>
    </row>
    <row r="114" spans="1:53" ht="14.45" customHeight="1" x14ac:dyDescent="0.25">
      <c r="A114" s="158" t="s">
        <v>117</v>
      </c>
      <c r="B114" s="156"/>
      <c r="C114" s="159">
        <v>0</v>
      </c>
      <c r="D114" s="156"/>
      <c r="E114" s="156"/>
      <c r="F114" s="159">
        <v>0</v>
      </c>
      <c r="G114" s="156"/>
      <c r="H114" s="156"/>
      <c r="I114" s="159">
        <v>0</v>
      </c>
      <c r="J114" s="156"/>
      <c r="K114" s="156"/>
      <c r="L114" s="159">
        <v>0</v>
      </c>
      <c r="M114" s="156"/>
      <c r="N114" s="156"/>
      <c r="O114" s="159">
        <v>0</v>
      </c>
      <c r="P114" s="156"/>
      <c r="Q114" s="156"/>
      <c r="R114" s="156"/>
      <c r="S114" s="156"/>
      <c r="T114" s="159">
        <v>0</v>
      </c>
      <c r="U114" s="156"/>
      <c r="V114" s="156"/>
      <c r="W114" s="159">
        <v>0</v>
      </c>
      <c r="X114" s="156"/>
      <c r="Y114" s="156"/>
      <c r="Z114" s="159">
        <v>0</v>
      </c>
      <c r="AA114" s="156"/>
      <c r="AB114" s="156"/>
      <c r="AC114" s="159">
        <v>0</v>
      </c>
      <c r="AD114" s="156"/>
      <c r="AE114" s="156"/>
      <c r="AF114" s="159">
        <v>0</v>
      </c>
      <c r="AG114" s="156"/>
      <c r="AH114" s="156"/>
      <c r="AI114" s="159">
        <v>0</v>
      </c>
      <c r="AJ114" s="156"/>
      <c r="AK114" s="156"/>
      <c r="AL114" s="157" t="s">
        <v>28</v>
      </c>
      <c r="AM114" s="156"/>
      <c r="AN114" s="156"/>
      <c r="AO114" s="157" t="s">
        <v>28</v>
      </c>
      <c r="AP114" s="156"/>
      <c r="AQ114" s="156"/>
      <c r="AR114" s="157" t="s">
        <v>28</v>
      </c>
      <c r="AS114" s="156"/>
      <c r="AT114" s="156"/>
      <c r="AU114" s="157" t="s">
        <v>28</v>
      </c>
      <c r="AV114" s="156"/>
      <c r="AW114" s="156"/>
      <c r="AX114" s="157" t="s">
        <v>28</v>
      </c>
      <c r="AY114" s="156"/>
      <c r="AZ114" s="156"/>
      <c r="BA114" s="156"/>
    </row>
    <row r="115" spans="1:53" ht="14.45" customHeight="1" x14ac:dyDescent="0.25">
      <c r="A115" s="156"/>
      <c r="B115" s="156"/>
      <c r="C115" s="156"/>
      <c r="D115" s="156"/>
      <c r="E115" s="156"/>
      <c r="F115" s="156"/>
      <c r="G115" s="156"/>
      <c r="H115" s="156"/>
      <c r="I115" s="156"/>
      <c r="J115" s="156"/>
      <c r="K115" s="156"/>
      <c r="L115" s="156"/>
      <c r="M115" s="156"/>
      <c r="N115" s="156"/>
      <c r="O115" s="156"/>
      <c r="P115" s="156"/>
      <c r="Q115" s="156"/>
      <c r="R115" s="156"/>
      <c r="S115" s="156"/>
      <c r="T115" s="156"/>
      <c r="U115" s="156"/>
      <c r="V115" s="156"/>
      <c r="W115" s="156"/>
      <c r="X115" s="156"/>
      <c r="Y115" s="156"/>
      <c r="Z115" s="156"/>
      <c r="AA115" s="156"/>
      <c r="AB115" s="156"/>
      <c r="AC115" s="156"/>
      <c r="AD115" s="156"/>
      <c r="AE115" s="156"/>
      <c r="AF115" s="156"/>
      <c r="AG115" s="156"/>
      <c r="AH115" s="156"/>
      <c r="AI115" s="156"/>
      <c r="AJ115" s="156"/>
      <c r="AK115" s="156"/>
      <c r="AL115" s="156"/>
      <c r="AM115" s="156"/>
      <c r="AN115" s="156"/>
      <c r="AO115" s="156"/>
      <c r="AP115" s="156"/>
      <c r="AQ115" s="156"/>
      <c r="AR115" s="156"/>
      <c r="AS115" s="156"/>
      <c r="AT115" s="156"/>
      <c r="AU115" s="156"/>
      <c r="AV115" s="156"/>
      <c r="AW115" s="156"/>
      <c r="AX115" s="156"/>
      <c r="AY115" s="156"/>
      <c r="AZ115" s="156"/>
      <c r="BA115" s="156"/>
    </row>
  </sheetData>
  <mergeCells count="1877">
    <mergeCell ref="B1:Q1"/>
    <mergeCell ref="A2:P2"/>
    <mergeCell ref="A3:AZ3"/>
    <mergeCell ref="A4:P4"/>
    <mergeCell ref="A5:B6"/>
    <mergeCell ref="C5:C6"/>
    <mergeCell ref="D5:E5"/>
    <mergeCell ref="F5:F6"/>
    <mergeCell ref="G5:H5"/>
    <mergeCell ref="I5:I6"/>
    <mergeCell ref="AC5:AC6"/>
    <mergeCell ref="AD5:AE5"/>
    <mergeCell ref="AF5:AF6"/>
    <mergeCell ref="AG5:AH5"/>
    <mergeCell ref="AI5:AI6"/>
    <mergeCell ref="U5:V5"/>
    <mergeCell ref="W5:W6"/>
    <mergeCell ref="X5:Y5"/>
    <mergeCell ref="Z5:Z6"/>
    <mergeCell ref="AA5:AB5"/>
    <mergeCell ref="AX5:AX6"/>
    <mergeCell ref="AJ5:AK5"/>
    <mergeCell ref="AL5:AL6"/>
    <mergeCell ref="AM5:AN5"/>
    <mergeCell ref="AO5:AO6"/>
    <mergeCell ref="AP5:AQ5"/>
    <mergeCell ref="AG6:AH6"/>
    <mergeCell ref="AJ6:AK6"/>
    <mergeCell ref="AM6:AN6"/>
    <mergeCell ref="AP6:AQ6"/>
    <mergeCell ref="AS6:AT6"/>
    <mergeCell ref="AV6:AW6"/>
    <mergeCell ref="AR5:AR6"/>
    <mergeCell ref="AS5:AT5"/>
    <mergeCell ref="AU5:AU6"/>
    <mergeCell ref="AV5:AW5"/>
    <mergeCell ref="AY5:BA5"/>
    <mergeCell ref="D6:E6"/>
    <mergeCell ref="G6:H6"/>
    <mergeCell ref="J6:K6"/>
    <mergeCell ref="M6:N6"/>
    <mergeCell ref="P6:S6"/>
    <mergeCell ref="U6:V6"/>
    <mergeCell ref="X6:Y6"/>
    <mergeCell ref="AA6:AB6"/>
    <mergeCell ref="AD6:AE6"/>
    <mergeCell ref="AY6:BA6"/>
    <mergeCell ref="J5:K5"/>
    <mergeCell ref="L5:L6"/>
    <mergeCell ref="M5:N5"/>
    <mergeCell ref="O5:O6"/>
    <mergeCell ref="P5:S5"/>
    <mergeCell ref="T5:T6"/>
    <mergeCell ref="A7:B7"/>
    <mergeCell ref="C7:D9"/>
    <mergeCell ref="F7:G9"/>
    <mergeCell ref="I7:J9"/>
    <mergeCell ref="L7:M9"/>
    <mergeCell ref="O7:R9"/>
    <mergeCell ref="T7:U9"/>
    <mergeCell ref="W7:X9"/>
    <mergeCell ref="Z7:AA9"/>
    <mergeCell ref="AX7:AY9"/>
    <mergeCell ref="AZ7:BA7"/>
    <mergeCell ref="A8:B8"/>
    <mergeCell ref="AZ8:BA8"/>
    <mergeCell ref="A9:B9"/>
    <mergeCell ref="AZ9:BA9"/>
    <mergeCell ref="AC7:AD9"/>
    <mergeCell ref="AF7:AG9"/>
    <mergeCell ref="AI7:AJ9"/>
    <mergeCell ref="AL7:AM9"/>
    <mergeCell ref="F10:H10"/>
    <mergeCell ref="I10:K10"/>
    <mergeCell ref="L10:N10"/>
    <mergeCell ref="AU7:AV9"/>
    <mergeCell ref="AO7:AP9"/>
    <mergeCell ref="AR7:AS9"/>
    <mergeCell ref="AR10:AT10"/>
    <mergeCell ref="O10:S10"/>
    <mergeCell ref="T10:V10"/>
    <mergeCell ref="W10:Y10"/>
    <mergeCell ref="Z10:AB10"/>
    <mergeCell ref="AC10:AE10"/>
    <mergeCell ref="AL11:AN11"/>
    <mergeCell ref="AO11:AQ11"/>
    <mergeCell ref="AF10:AH10"/>
    <mergeCell ref="AI10:AK10"/>
    <mergeCell ref="AL10:AN10"/>
    <mergeCell ref="AO10:AQ10"/>
    <mergeCell ref="T11:V11"/>
    <mergeCell ref="W11:Y11"/>
    <mergeCell ref="Z11:AB11"/>
    <mergeCell ref="AC11:AE11"/>
    <mergeCell ref="AF11:AH11"/>
    <mergeCell ref="AI11:AK11"/>
    <mergeCell ref="AU10:AW10"/>
    <mergeCell ref="AX10:BA10"/>
    <mergeCell ref="A11:B11"/>
    <mergeCell ref="C11:E11"/>
    <mergeCell ref="F11:H11"/>
    <mergeCell ref="I11:K11"/>
    <mergeCell ref="L11:N11"/>
    <mergeCell ref="O11:S11"/>
    <mergeCell ref="O12:S12"/>
    <mergeCell ref="T12:V12"/>
    <mergeCell ref="W12:Y12"/>
    <mergeCell ref="Z12:AB12"/>
    <mergeCell ref="AC12:AE12"/>
    <mergeCell ref="AF12:AH12"/>
    <mergeCell ref="AF13:AH13"/>
    <mergeCell ref="AI13:AK13"/>
    <mergeCell ref="AR11:AT11"/>
    <mergeCell ref="AU11:AW11"/>
    <mergeCell ref="AX11:BA11"/>
    <mergeCell ref="A12:B12"/>
    <mergeCell ref="C12:E12"/>
    <mergeCell ref="F12:H12"/>
    <mergeCell ref="I12:K12"/>
    <mergeCell ref="L12:N12"/>
    <mergeCell ref="L13:N13"/>
    <mergeCell ref="O13:S13"/>
    <mergeCell ref="T13:V13"/>
    <mergeCell ref="W13:Y13"/>
    <mergeCell ref="Z13:AB13"/>
    <mergeCell ref="AC13:AE13"/>
    <mergeCell ref="A10:B10"/>
    <mergeCell ref="C10:E10"/>
    <mergeCell ref="AO13:AQ13"/>
    <mergeCell ref="AR13:AT13"/>
    <mergeCell ref="AU13:AW13"/>
    <mergeCell ref="AX13:BA13"/>
    <mergeCell ref="AO12:AQ12"/>
    <mergeCell ref="AR12:AT12"/>
    <mergeCell ref="AU12:AW12"/>
    <mergeCell ref="AX12:BA12"/>
    <mergeCell ref="A14:B14"/>
    <mergeCell ref="C14:E14"/>
    <mergeCell ref="F14:H14"/>
    <mergeCell ref="I14:K14"/>
    <mergeCell ref="L14:N14"/>
    <mergeCell ref="AL13:AN13"/>
    <mergeCell ref="A13:B13"/>
    <mergeCell ref="C13:E13"/>
    <mergeCell ref="F13:H13"/>
    <mergeCell ref="I13:K13"/>
    <mergeCell ref="AR14:AT14"/>
    <mergeCell ref="O14:S14"/>
    <mergeCell ref="T14:V14"/>
    <mergeCell ref="W14:Y14"/>
    <mergeCell ref="Z14:AB14"/>
    <mergeCell ref="AC14:AE14"/>
    <mergeCell ref="AI12:AK12"/>
    <mergeCell ref="AL12:AN12"/>
    <mergeCell ref="AF14:AH14"/>
    <mergeCell ref="AI14:AK14"/>
    <mergeCell ref="AL14:AN14"/>
    <mergeCell ref="AO14:AQ14"/>
    <mergeCell ref="AU14:AW14"/>
    <mergeCell ref="AX14:BA14"/>
    <mergeCell ref="A15:B15"/>
    <mergeCell ref="C15:E15"/>
    <mergeCell ref="F15:H15"/>
    <mergeCell ref="I15:K15"/>
    <mergeCell ref="L15:N15"/>
    <mergeCell ref="O15:S15"/>
    <mergeCell ref="O16:S16"/>
    <mergeCell ref="T16:V16"/>
    <mergeCell ref="W16:Y16"/>
    <mergeCell ref="Z16:AB16"/>
    <mergeCell ref="AC16:AE16"/>
    <mergeCell ref="AF16:AH16"/>
    <mergeCell ref="AR15:AT15"/>
    <mergeCell ref="AU15:AW15"/>
    <mergeCell ref="AX15:BA15"/>
    <mergeCell ref="A16:B16"/>
    <mergeCell ref="C16:E16"/>
    <mergeCell ref="F16:H16"/>
    <mergeCell ref="I16:K16"/>
    <mergeCell ref="L16:N16"/>
    <mergeCell ref="AO17:AQ17"/>
    <mergeCell ref="AR17:AT17"/>
    <mergeCell ref="AU17:AW17"/>
    <mergeCell ref="AX17:BA17"/>
    <mergeCell ref="AO16:AQ16"/>
    <mergeCell ref="AR16:AT16"/>
    <mergeCell ref="AU16:AW16"/>
    <mergeCell ref="AX16:BA16"/>
    <mergeCell ref="AL15:AN15"/>
    <mergeCell ref="AO15:AQ15"/>
    <mergeCell ref="F18:H18"/>
    <mergeCell ref="I18:K18"/>
    <mergeCell ref="L18:N18"/>
    <mergeCell ref="AL17:AN17"/>
    <mergeCell ref="AU18:AW18"/>
    <mergeCell ref="AX18:BA18"/>
    <mergeCell ref="T15:V15"/>
    <mergeCell ref="W15:Y15"/>
    <mergeCell ref="Z15:AB15"/>
    <mergeCell ref="AC15:AE15"/>
    <mergeCell ref="AF15:AH15"/>
    <mergeCell ref="AI15:AK15"/>
    <mergeCell ref="AI16:AK16"/>
    <mergeCell ref="AL16:AN16"/>
    <mergeCell ref="AC19:AE19"/>
    <mergeCell ref="AF19:AH19"/>
    <mergeCell ref="AI19:AK19"/>
    <mergeCell ref="AF17:AH17"/>
    <mergeCell ref="AI17:AK17"/>
    <mergeCell ref="A19:B19"/>
    <mergeCell ref="C19:E19"/>
    <mergeCell ref="F19:H19"/>
    <mergeCell ref="I19:K19"/>
    <mergeCell ref="L19:N19"/>
    <mergeCell ref="O19:S19"/>
    <mergeCell ref="A18:B18"/>
    <mergeCell ref="C18:E18"/>
    <mergeCell ref="L17:N17"/>
    <mergeCell ref="O17:S17"/>
    <mergeCell ref="T17:V17"/>
    <mergeCell ref="W17:Y17"/>
    <mergeCell ref="Z17:AB17"/>
    <mergeCell ref="AC17:AE17"/>
    <mergeCell ref="AU21:AW21"/>
    <mergeCell ref="AX21:BA21"/>
    <mergeCell ref="AO20:AQ20"/>
    <mergeCell ref="AR20:AT20"/>
    <mergeCell ref="AU20:AW20"/>
    <mergeCell ref="AX20:BA20"/>
    <mergeCell ref="AL21:AN21"/>
    <mergeCell ref="A21:B21"/>
    <mergeCell ref="C21:E21"/>
    <mergeCell ref="F21:H21"/>
    <mergeCell ref="I21:K21"/>
    <mergeCell ref="AI20:AK20"/>
    <mergeCell ref="AL20:AN20"/>
    <mergeCell ref="A17:B17"/>
    <mergeCell ref="C17:E17"/>
    <mergeCell ref="F17:H17"/>
    <mergeCell ref="I17:K17"/>
    <mergeCell ref="AR18:AT18"/>
    <mergeCell ref="O18:S18"/>
    <mergeCell ref="T18:V18"/>
    <mergeCell ref="W18:Y18"/>
    <mergeCell ref="Z18:AB18"/>
    <mergeCell ref="AC18:AE18"/>
    <mergeCell ref="AL19:AN19"/>
    <mergeCell ref="AO19:AQ19"/>
    <mergeCell ref="AF18:AH18"/>
    <mergeCell ref="AI18:AK18"/>
    <mergeCell ref="AL18:AN18"/>
    <mergeCell ref="AO18:AQ18"/>
    <mergeCell ref="T19:V19"/>
    <mergeCell ref="W19:Y19"/>
    <mergeCell ref="Z19:AB19"/>
    <mergeCell ref="O20:S20"/>
    <mergeCell ref="T20:V20"/>
    <mergeCell ref="W20:Y20"/>
    <mergeCell ref="Z20:AB20"/>
    <mergeCell ref="AC20:AE20"/>
    <mergeCell ref="AF20:AH20"/>
    <mergeCell ref="AF21:AH21"/>
    <mergeCell ref="AI21:AK21"/>
    <mergeCell ref="AR19:AT19"/>
    <mergeCell ref="AU19:AW19"/>
    <mergeCell ref="AU22:AW22"/>
    <mergeCell ref="AX22:BA22"/>
    <mergeCell ref="A23:B23"/>
    <mergeCell ref="C23:E23"/>
    <mergeCell ref="F23:H23"/>
    <mergeCell ref="I23:K23"/>
    <mergeCell ref="L23:N23"/>
    <mergeCell ref="O23:S23"/>
    <mergeCell ref="AX19:BA19"/>
    <mergeCell ref="A20:B20"/>
    <mergeCell ref="C20:E20"/>
    <mergeCell ref="F20:H20"/>
    <mergeCell ref="I20:K20"/>
    <mergeCell ref="L20:N20"/>
    <mergeCell ref="L21:N21"/>
    <mergeCell ref="O21:S21"/>
    <mergeCell ref="T21:V21"/>
    <mergeCell ref="W21:Y21"/>
    <mergeCell ref="Z21:AB21"/>
    <mergeCell ref="AC21:AE21"/>
    <mergeCell ref="AO21:AQ21"/>
    <mergeCell ref="AR21:AT21"/>
    <mergeCell ref="AX23:BA23"/>
    <mergeCell ref="A24:B24"/>
    <mergeCell ref="C24:E24"/>
    <mergeCell ref="F24:H24"/>
    <mergeCell ref="I24:K24"/>
    <mergeCell ref="L24:N24"/>
    <mergeCell ref="A22:B22"/>
    <mergeCell ref="C22:E22"/>
    <mergeCell ref="F22:H22"/>
    <mergeCell ref="I22:K22"/>
    <mergeCell ref="L22:N22"/>
    <mergeCell ref="AR22:AT22"/>
    <mergeCell ref="O22:S22"/>
    <mergeCell ref="T22:V22"/>
    <mergeCell ref="W22:Y22"/>
    <mergeCell ref="Z22:AB22"/>
    <mergeCell ref="AC22:AE22"/>
    <mergeCell ref="AF22:AH22"/>
    <mergeCell ref="AI22:AK22"/>
    <mergeCell ref="AL22:AN22"/>
    <mergeCell ref="AO22:AQ22"/>
    <mergeCell ref="AO25:AQ25"/>
    <mergeCell ref="AR25:AT25"/>
    <mergeCell ref="AU25:AW25"/>
    <mergeCell ref="AX25:BA25"/>
    <mergeCell ref="AO24:AQ24"/>
    <mergeCell ref="AR24:AT24"/>
    <mergeCell ref="AU24:AW24"/>
    <mergeCell ref="AX24:BA24"/>
    <mergeCell ref="AL23:AN23"/>
    <mergeCell ref="AO23:AQ23"/>
    <mergeCell ref="F26:H26"/>
    <mergeCell ref="I26:K26"/>
    <mergeCell ref="L26:N26"/>
    <mergeCell ref="AL25:AN25"/>
    <mergeCell ref="AU26:AW26"/>
    <mergeCell ref="AX26:BA26"/>
    <mergeCell ref="T23:V23"/>
    <mergeCell ref="W23:Y23"/>
    <mergeCell ref="Z23:AB23"/>
    <mergeCell ref="AC23:AE23"/>
    <mergeCell ref="AF23:AH23"/>
    <mergeCell ref="AI23:AK23"/>
    <mergeCell ref="AI24:AK24"/>
    <mergeCell ref="AL24:AN24"/>
    <mergeCell ref="O24:S24"/>
    <mergeCell ref="T24:V24"/>
    <mergeCell ref="W24:Y24"/>
    <mergeCell ref="Z24:AB24"/>
    <mergeCell ref="AC24:AE24"/>
    <mergeCell ref="AF24:AH24"/>
    <mergeCell ref="AR23:AT23"/>
    <mergeCell ref="AU23:AW23"/>
    <mergeCell ref="AC27:AE27"/>
    <mergeCell ref="AF27:AH27"/>
    <mergeCell ref="AI27:AK27"/>
    <mergeCell ref="AF25:AH25"/>
    <mergeCell ref="AI25:AK25"/>
    <mergeCell ref="A27:B27"/>
    <mergeCell ref="C27:E27"/>
    <mergeCell ref="F27:H27"/>
    <mergeCell ref="I27:K27"/>
    <mergeCell ref="L27:N27"/>
    <mergeCell ref="O27:S27"/>
    <mergeCell ref="A26:B26"/>
    <mergeCell ref="C26:E26"/>
    <mergeCell ref="L25:N25"/>
    <mergeCell ref="O25:S25"/>
    <mergeCell ref="T25:V25"/>
    <mergeCell ref="W25:Y25"/>
    <mergeCell ref="Z25:AB25"/>
    <mergeCell ref="AC25:AE25"/>
    <mergeCell ref="AU29:AW29"/>
    <mergeCell ref="AX29:BA29"/>
    <mergeCell ref="AO28:AQ28"/>
    <mergeCell ref="AR28:AT28"/>
    <mergeCell ref="AU28:AW28"/>
    <mergeCell ref="AX28:BA28"/>
    <mergeCell ref="AL29:AN29"/>
    <mergeCell ref="A29:B29"/>
    <mergeCell ref="C29:E29"/>
    <mergeCell ref="F29:H29"/>
    <mergeCell ref="I29:K29"/>
    <mergeCell ref="AI28:AK28"/>
    <mergeCell ref="AL28:AN28"/>
    <mergeCell ref="A25:B25"/>
    <mergeCell ref="C25:E25"/>
    <mergeCell ref="F25:H25"/>
    <mergeCell ref="I25:K25"/>
    <mergeCell ref="AR26:AT26"/>
    <mergeCell ref="O26:S26"/>
    <mergeCell ref="T26:V26"/>
    <mergeCell ref="W26:Y26"/>
    <mergeCell ref="Z26:AB26"/>
    <mergeCell ref="AC26:AE26"/>
    <mergeCell ref="AL27:AN27"/>
    <mergeCell ref="AO27:AQ27"/>
    <mergeCell ref="AF26:AH26"/>
    <mergeCell ref="AI26:AK26"/>
    <mergeCell ref="AL26:AN26"/>
    <mergeCell ref="AO26:AQ26"/>
    <mergeCell ref="T27:V27"/>
    <mergeCell ref="W27:Y27"/>
    <mergeCell ref="Z27:AB27"/>
    <mergeCell ref="O28:S28"/>
    <mergeCell ref="T28:V28"/>
    <mergeCell ref="W28:Y28"/>
    <mergeCell ref="Z28:AB28"/>
    <mergeCell ref="AC28:AE28"/>
    <mergeCell ref="AF28:AH28"/>
    <mergeCell ref="AF29:AH29"/>
    <mergeCell ref="AI29:AK29"/>
    <mergeCell ref="AR27:AT27"/>
    <mergeCell ref="AU27:AW27"/>
    <mergeCell ref="AU30:AW30"/>
    <mergeCell ref="AX30:BA30"/>
    <mergeCell ref="A31:B31"/>
    <mergeCell ref="C31:E31"/>
    <mergeCell ref="F31:H31"/>
    <mergeCell ref="I31:K31"/>
    <mergeCell ref="L31:N31"/>
    <mergeCell ref="O31:S31"/>
    <mergeCell ref="AX27:BA27"/>
    <mergeCell ref="A28:B28"/>
    <mergeCell ref="C28:E28"/>
    <mergeCell ref="F28:H28"/>
    <mergeCell ref="I28:K28"/>
    <mergeCell ref="L28:N28"/>
    <mergeCell ref="L29:N29"/>
    <mergeCell ref="O29:S29"/>
    <mergeCell ref="T29:V29"/>
    <mergeCell ref="W29:Y29"/>
    <mergeCell ref="Z29:AB29"/>
    <mergeCell ref="AC29:AE29"/>
    <mergeCell ref="AO29:AQ29"/>
    <mergeCell ref="AR29:AT29"/>
    <mergeCell ref="AX31:BA31"/>
    <mergeCell ref="A32:B32"/>
    <mergeCell ref="C32:E32"/>
    <mergeCell ref="F32:H32"/>
    <mergeCell ref="I32:K32"/>
    <mergeCell ref="L32:N32"/>
    <mergeCell ref="A30:B30"/>
    <mergeCell ref="C30:E30"/>
    <mergeCell ref="F30:H30"/>
    <mergeCell ref="I30:K30"/>
    <mergeCell ref="L30:N30"/>
    <mergeCell ref="AR30:AT30"/>
    <mergeCell ref="O30:S30"/>
    <mergeCell ref="T30:V30"/>
    <mergeCell ref="W30:Y30"/>
    <mergeCell ref="Z30:AB30"/>
    <mergeCell ref="AC30:AE30"/>
    <mergeCell ref="AF30:AH30"/>
    <mergeCell ref="AI30:AK30"/>
    <mergeCell ref="AL30:AN30"/>
    <mergeCell ref="AO30:AQ30"/>
    <mergeCell ref="AO33:AQ33"/>
    <mergeCell ref="AR33:AT33"/>
    <mergeCell ref="AU33:AW33"/>
    <mergeCell ref="AX33:BA33"/>
    <mergeCell ref="AO32:AQ32"/>
    <mergeCell ref="AR32:AT32"/>
    <mergeCell ref="AU32:AW32"/>
    <mergeCell ref="AX32:BA32"/>
    <mergeCell ref="AL31:AN31"/>
    <mergeCell ref="AO31:AQ31"/>
    <mergeCell ref="F34:H34"/>
    <mergeCell ref="I34:K34"/>
    <mergeCell ref="L34:N34"/>
    <mergeCell ref="AL33:AN33"/>
    <mergeCell ref="AU34:AW34"/>
    <mergeCell ref="AX34:BA34"/>
    <mergeCell ref="T31:V31"/>
    <mergeCell ref="W31:Y31"/>
    <mergeCell ref="Z31:AB31"/>
    <mergeCell ref="AC31:AE31"/>
    <mergeCell ref="AF31:AH31"/>
    <mergeCell ref="AI31:AK31"/>
    <mergeCell ref="AI32:AK32"/>
    <mergeCell ref="AL32:AN32"/>
    <mergeCell ref="O32:S32"/>
    <mergeCell ref="T32:V32"/>
    <mergeCell ref="W32:Y32"/>
    <mergeCell ref="Z32:AB32"/>
    <mergeCell ref="AC32:AE32"/>
    <mergeCell ref="AF32:AH32"/>
    <mergeCell ref="AR31:AT31"/>
    <mergeCell ref="AU31:AW31"/>
    <mergeCell ref="AC35:AE35"/>
    <mergeCell ref="AF35:AH35"/>
    <mergeCell ref="AI35:AK35"/>
    <mergeCell ref="AF33:AH33"/>
    <mergeCell ref="AI33:AK33"/>
    <mergeCell ref="A35:B35"/>
    <mergeCell ref="C35:E35"/>
    <mergeCell ref="F35:H35"/>
    <mergeCell ref="I35:K35"/>
    <mergeCell ref="L35:N35"/>
    <mergeCell ref="O35:S35"/>
    <mergeCell ref="A34:B34"/>
    <mergeCell ref="C34:E34"/>
    <mergeCell ref="L33:N33"/>
    <mergeCell ref="O33:S33"/>
    <mergeCell ref="T33:V33"/>
    <mergeCell ref="W33:Y33"/>
    <mergeCell ref="Z33:AB33"/>
    <mergeCell ref="AC33:AE33"/>
    <mergeCell ref="AU37:AW37"/>
    <mergeCell ref="AX37:BA37"/>
    <mergeCell ref="AO36:AQ36"/>
    <mergeCell ref="AR36:AT36"/>
    <mergeCell ref="AU36:AW36"/>
    <mergeCell ref="AX36:BA36"/>
    <mergeCell ref="AL37:AN37"/>
    <mergeCell ref="A37:B37"/>
    <mergeCell ref="C37:E37"/>
    <mergeCell ref="F37:H37"/>
    <mergeCell ref="I37:K37"/>
    <mergeCell ref="AI36:AK36"/>
    <mergeCell ref="AL36:AN36"/>
    <mergeCell ref="A33:B33"/>
    <mergeCell ref="C33:E33"/>
    <mergeCell ref="F33:H33"/>
    <mergeCell ref="I33:K33"/>
    <mergeCell ref="AR34:AT34"/>
    <mergeCell ref="O34:S34"/>
    <mergeCell ref="T34:V34"/>
    <mergeCell ref="W34:Y34"/>
    <mergeCell ref="Z34:AB34"/>
    <mergeCell ref="AC34:AE34"/>
    <mergeCell ref="AL35:AN35"/>
    <mergeCell ref="AO35:AQ35"/>
    <mergeCell ref="AF34:AH34"/>
    <mergeCell ref="AI34:AK34"/>
    <mergeCell ref="AL34:AN34"/>
    <mergeCell ref="AO34:AQ34"/>
    <mergeCell ref="T35:V35"/>
    <mergeCell ref="W35:Y35"/>
    <mergeCell ref="Z35:AB35"/>
    <mergeCell ref="O36:S36"/>
    <mergeCell ref="T36:V36"/>
    <mergeCell ref="W36:Y36"/>
    <mergeCell ref="Z36:AB36"/>
    <mergeCell ref="AC36:AE36"/>
    <mergeCell ref="AF36:AH36"/>
    <mergeCell ref="AF37:AH37"/>
    <mergeCell ref="AI37:AK37"/>
    <mergeCell ref="AR35:AT35"/>
    <mergeCell ref="AU35:AW35"/>
    <mergeCell ref="AU38:AW38"/>
    <mergeCell ref="AX38:BA38"/>
    <mergeCell ref="A39:B39"/>
    <mergeCell ref="C39:E39"/>
    <mergeCell ref="F39:H39"/>
    <mergeCell ref="I39:K39"/>
    <mergeCell ref="L39:N39"/>
    <mergeCell ref="O39:S39"/>
    <mergeCell ref="AX35:BA35"/>
    <mergeCell ref="A36:B36"/>
    <mergeCell ref="C36:E36"/>
    <mergeCell ref="F36:H36"/>
    <mergeCell ref="I36:K36"/>
    <mergeCell ref="L36:N36"/>
    <mergeCell ref="L37:N37"/>
    <mergeCell ref="O37:S37"/>
    <mergeCell ref="T37:V37"/>
    <mergeCell ref="W37:Y37"/>
    <mergeCell ref="Z37:AB37"/>
    <mergeCell ref="AC37:AE37"/>
    <mergeCell ref="AO37:AQ37"/>
    <mergeCell ref="AR37:AT37"/>
    <mergeCell ref="AX39:BA39"/>
    <mergeCell ref="A40:B40"/>
    <mergeCell ref="C40:E40"/>
    <mergeCell ref="F40:H40"/>
    <mergeCell ref="I40:K40"/>
    <mergeCell ref="L40:N40"/>
    <mergeCell ref="A38:B38"/>
    <mergeCell ref="C38:E38"/>
    <mergeCell ref="F38:H38"/>
    <mergeCell ref="I38:K38"/>
    <mergeCell ref="L38:N38"/>
    <mergeCell ref="AR38:AT38"/>
    <mergeCell ref="O38:S38"/>
    <mergeCell ref="T38:V38"/>
    <mergeCell ref="W38:Y38"/>
    <mergeCell ref="Z38:AB38"/>
    <mergeCell ref="AC38:AE38"/>
    <mergeCell ref="AF38:AH38"/>
    <mergeCell ref="AI38:AK38"/>
    <mergeCell ref="AL38:AN38"/>
    <mergeCell ref="AO38:AQ38"/>
    <mergeCell ref="AO41:AQ41"/>
    <mergeCell ref="AR41:AT41"/>
    <mergeCell ref="AU41:AW41"/>
    <mergeCell ref="AX41:BA41"/>
    <mergeCell ref="AO40:AQ40"/>
    <mergeCell ref="AR40:AT40"/>
    <mergeCell ref="AU40:AW40"/>
    <mergeCell ref="AX40:BA40"/>
    <mergeCell ref="AL39:AN39"/>
    <mergeCell ref="AO39:AQ39"/>
    <mergeCell ref="F42:H42"/>
    <mergeCell ref="I42:K42"/>
    <mergeCell ref="L42:N42"/>
    <mergeCell ref="AL41:AN41"/>
    <mergeCell ref="AU42:AW42"/>
    <mergeCell ref="AX42:BA42"/>
    <mergeCell ref="T39:V39"/>
    <mergeCell ref="W39:Y39"/>
    <mergeCell ref="Z39:AB39"/>
    <mergeCell ref="AC39:AE39"/>
    <mergeCell ref="AF39:AH39"/>
    <mergeCell ref="AI39:AK39"/>
    <mergeCell ref="AI40:AK40"/>
    <mergeCell ref="AL40:AN40"/>
    <mergeCell ref="O40:S40"/>
    <mergeCell ref="T40:V40"/>
    <mergeCell ref="W40:Y40"/>
    <mergeCell ref="Z40:AB40"/>
    <mergeCell ref="AC40:AE40"/>
    <mergeCell ref="AF40:AH40"/>
    <mergeCell ref="AR39:AT39"/>
    <mergeCell ref="AU39:AW39"/>
    <mergeCell ref="AC43:AE43"/>
    <mergeCell ref="AF43:AH43"/>
    <mergeCell ref="AI43:AK43"/>
    <mergeCell ref="AF41:AH41"/>
    <mergeCell ref="AI41:AK41"/>
    <mergeCell ref="A43:B43"/>
    <mergeCell ref="C43:E43"/>
    <mergeCell ref="F43:H43"/>
    <mergeCell ref="I43:K43"/>
    <mergeCell ref="L43:N43"/>
    <mergeCell ref="O43:S43"/>
    <mergeCell ref="A42:B42"/>
    <mergeCell ref="C42:E42"/>
    <mergeCell ref="L41:N41"/>
    <mergeCell ref="O41:S41"/>
    <mergeCell ref="T41:V41"/>
    <mergeCell ref="W41:Y41"/>
    <mergeCell ref="Z41:AB41"/>
    <mergeCell ref="AC41:AE41"/>
    <mergeCell ref="AU45:AW45"/>
    <mergeCell ref="AX45:BA45"/>
    <mergeCell ref="AO44:AQ44"/>
    <mergeCell ref="AR44:AT44"/>
    <mergeCell ref="AU44:AW44"/>
    <mergeCell ref="AX44:BA44"/>
    <mergeCell ref="AL45:AN45"/>
    <mergeCell ref="A45:B45"/>
    <mergeCell ref="C45:E45"/>
    <mergeCell ref="F45:H45"/>
    <mergeCell ref="I45:K45"/>
    <mergeCell ref="AI44:AK44"/>
    <mergeCell ref="AL44:AN44"/>
    <mergeCell ref="A41:B41"/>
    <mergeCell ref="C41:E41"/>
    <mergeCell ref="F41:H41"/>
    <mergeCell ref="I41:K41"/>
    <mergeCell ref="AR42:AT42"/>
    <mergeCell ref="O42:S42"/>
    <mergeCell ref="T42:V42"/>
    <mergeCell ref="W42:Y42"/>
    <mergeCell ref="Z42:AB42"/>
    <mergeCell ref="AC42:AE42"/>
    <mergeCell ref="AL43:AN43"/>
    <mergeCell ref="AO43:AQ43"/>
    <mergeCell ref="AF42:AH42"/>
    <mergeCell ref="AI42:AK42"/>
    <mergeCell ref="AL42:AN42"/>
    <mergeCell ref="AO42:AQ42"/>
    <mergeCell ref="T43:V43"/>
    <mergeCell ref="W43:Y43"/>
    <mergeCell ref="Z43:AB43"/>
    <mergeCell ref="O44:S44"/>
    <mergeCell ref="T44:V44"/>
    <mergeCell ref="W44:Y44"/>
    <mergeCell ref="Z44:AB44"/>
    <mergeCell ref="AC44:AE44"/>
    <mergeCell ref="AF44:AH44"/>
    <mergeCell ref="AF45:AH45"/>
    <mergeCell ref="AI45:AK45"/>
    <mergeCell ref="AR43:AT43"/>
    <mergeCell ref="AU43:AW43"/>
    <mergeCell ref="AU46:AW46"/>
    <mergeCell ref="AX46:BA46"/>
    <mergeCell ref="A47:B47"/>
    <mergeCell ref="C47:E47"/>
    <mergeCell ref="F47:H47"/>
    <mergeCell ref="I47:K47"/>
    <mergeCell ref="L47:N47"/>
    <mergeCell ref="O47:S47"/>
    <mergeCell ref="AX43:BA43"/>
    <mergeCell ref="A44:B44"/>
    <mergeCell ref="C44:E44"/>
    <mergeCell ref="F44:H44"/>
    <mergeCell ref="I44:K44"/>
    <mergeCell ref="L44:N44"/>
    <mergeCell ref="L45:N45"/>
    <mergeCell ref="O45:S45"/>
    <mergeCell ref="T45:V45"/>
    <mergeCell ref="W45:Y45"/>
    <mergeCell ref="Z45:AB45"/>
    <mergeCell ref="AC45:AE45"/>
    <mergeCell ref="AO45:AQ45"/>
    <mergeCell ref="AR45:AT45"/>
    <mergeCell ref="AX47:BA47"/>
    <mergeCell ref="A48:B48"/>
    <mergeCell ref="C48:E48"/>
    <mergeCell ref="F48:H48"/>
    <mergeCell ref="I48:K48"/>
    <mergeCell ref="L48:N48"/>
    <mergeCell ref="A46:B46"/>
    <mergeCell ref="C46:E46"/>
    <mergeCell ref="F46:H46"/>
    <mergeCell ref="I46:K46"/>
    <mergeCell ref="L46:N46"/>
    <mergeCell ref="AR46:AT46"/>
    <mergeCell ref="O46:S46"/>
    <mergeCell ref="T46:V46"/>
    <mergeCell ref="W46:Y46"/>
    <mergeCell ref="Z46:AB46"/>
    <mergeCell ref="AC46:AE46"/>
    <mergeCell ref="AF46:AH46"/>
    <mergeCell ref="AI46:AK46"/>
    <mergeCell ref="AL46:AN46"/>
    <mergeCell ref="AO46:AQ46"/>
    <mergeCell ref="AO49:AQ49"/>
    <mergeCell ref="AR49:AT49"/>
    <mergeCell ref="AU49:AW49"/>
    <mergeCell ref="AX49:BA49"/>
    <mergeCell ref="AO48:AQ48"/>
    <mergeCell ref="AR48:AT48"/>
    <mergeCell ref="AU48:AW48"/>
    <mergeCell ref="AX48:BA48"/>
    <mergeCell ref="AL47:AN47"/>
    <mergeCell ref="AO47:AQ47"/>
    <mergeCell ref="F50:H50"/>
    <mergeCell ref="I50:K50"/>
    <mergeCell ref="L50:N50"/>
    <mergeCell ref="AL49:AN49"/>
    <mergeCell ref="AU50:AW50"/>
    <mergeCell ref="AX50:BA50"/>
    <mergeCell ref="T47:V47"/>
    <mergeCell ref="W47:Y47"/>
    <mergeCell ref="Z47:AB47"/>
    <mergeCell ref="AC47:AE47"/>
    <mergeCell ref="AF47:AH47"/>
    <mergeCell ref="AI47:AK47"/>
    <mergeCell ref="AI48:AK48"/>
    <mergeCell ref="AL48:AN48"/>
    <mergeCell ref="O48:S48"/>
    <mergeCell ref="T48:V48"/>
    <mergeCell ref="W48:Y48"/>
    <mergeCell ref="Z48:AB48"/>
    <mergeCell ref="AC48:AE48"/>
    <mergeCell ref="AF48:AH48"/>
    <mergeCell ref="AR47:AT47"/>
    <mergeCell ref="AU47:AW47"/>
    <mergeCell ref="AC51:AE51"/>
    <mergeCell ref="AF51:AH51"/>
    <mergeCell ref="AI51:AK51"/>
    <mergeCell ref="AF49:AH49"/>
    <mergeCell ref="AI49:AK49"/>
    <mergeCell ref="A51:B51"/>
    <mergeCell ref="C51:E51"/>
    <mergeCell ref="F51:H51"/>
    <mergeCell ref="I51:K51"/>
    <mergeCell ref="L51:N51"/>
    <mergeCell ref="O51:S51"/>
    <mergeCell ref="A50:B50"/>
    <mergeCell ref="C50:E50"/>
    <mergeCell ref="L49:N49"/>
    <mergeCell ref="O49:S49"/>
    <mergeCell ref="T49:V49"/>
    <mergeCell ref="W49:Y49"/>
    <mergeCell ref="Z49:AB49"/>
    <mergeCell ref="AC49:AE49"/>
    <mergeCell ref="AU53:AW53"/>
    <mergeCell ref="AX53:BA53"/>
    <mergeCell ref="AO52:AQ52"/>
    <mergeCell ref="AR52:AT52"/>
    <mergeCell ref="AU52:AW52"/>
    <mergeCell ref="AX52:BA52"/>
    <mergeCell ref="AL53:AN53"/>
    <mergeCell ref="A53:B53"/>
    <mergeCell ref="C53:E53"/>
    <mergeCell ref="F53:H53"/>
    <mergeCell ref="I53:K53"/>
    <mergeCell ref="AI52:AK52"/>
    <mergeCell ref="AL52:AN52"/>
    <mergeCell ref="A49:B49"/>
    <mergeCell ref="C49:E49"/>
    <mergeCell ref="F49:H49"/>
    <mergeCell ref="I49:K49"/>
    <mergeCell ref="AR50:AT50"/>
    <mergeCell ref="O50:S50"/>
    <mergeCell ref="T50:V50"/>
    <mergeCell ref="W50:Y50"/>
    <mergeCell ref="Z50:AB50"/>
    <mergeCell ref="AC50:AE50"/>
    <mergeCell ref="AL51:AN51"/>
    <mergeCell ref="AO51:AQ51"/>
    <mergeCell ref="AF50:AH50"/>
    <mergeCell ref="AI50:AK50"/>
    <mergeCell ref="AL50:AN50"/>
    <mergeCell ref="AO50:AQ50"/>
    <mergeCell ref="T51:V51"/>
    <mergeCell ref="W51:Y51"/>
    <mergeCell ref="Z51:AB51"/>
    <mergeCell ref="O52:S52"/>
    <mergeCell ref="T52:V52"/>
    <mergeCell ref="W52:Y52"/>
    <mergeCell ref="Z52:AB52"/>
    <mergeCell ref="AC52:AE52"/>
    <mergeCell ref="AF52:AH52"/>
    <mergeCell ref="AF53:AH53"/>
    <mergeCell ref="AI53:AK53"/>
    <mergeCell ref="AR51:AT51"/>
    <mergeCell ref="AU51:AW51"/>
    <mergeCell ref="AU54:AW54"/>
    <mergeCell ref="AX54:BA54"/>
    <mergeCell ref="A55:B55"/>
    <mergeCell ref="C55:E55"/>
    <mergeCell ref="F55:H55"/>
    <mergeCell ref="I55:K55"/>
    <mergeCell ref="L55:N55"/>
    <mergeCell ref="O55:S55"/>
    <mergeCell ref="AX51:BA51"/>
    <mergeCell ref="A52:B52"/>
    <mergeCell ref="C52:E52"/>
    <mergeCell ref="F52:H52"/>
    <mergeCell ref="I52:K52"/>
    <mergeCell ref="L52:N52"/>
    <mergeCell ref="L53:N53"/>
    <mergeCell ref="O53:S53"/>
    <mergeCell ref="T53:V53"/>
    <mergeCell ref="W53:Y53"/>
    <mergeCell ref="Z53:AB53"/>
    <mergeCell ref="AC53:AE53"/>
    <mergeCell ref="AO53:AQ53"/>
    <mergeCell ref="AR53:AT53"/>
    <mergeCell ref="AX55:BA55"/>
    <mergeCell ref="A56:B56"/>
    <mergeCell ref="C56:E56"/>
    <mergeCell ref="F56:H56"/>
    <mergeCell ref="I56:K56"/>
    <mergeCell ref="L56:N56"/>
    <mergeCell ref="A54:B54"/>
    <mergeCell ref="C54:E54"/>
    <mergeCell ref="F54:H54"/>
    <mergeCell ref="I54:K54"/>
    <mergeCell ref="L54:N54"/>
    <mergeCell ref="AR54:AT54"/>
    <mergeCell ref="O54:S54"/>
    <mergeCell ref="T54:V54"/>
    <mergeCell ref="W54:Y54"/>
    <mergeCell ref="Z54:AB54"/>
    <mergeCell ref="AC54:AE54"/>
    <mergeCell ref="AF54:AH54"/>
    <mergeCell ref="AI54:AK54"/>
    <mergeCell ref="AL54:AN54"/>
    <mergeCell ref="AO54:AQ54"/>
    <mergeCell ref="AO57:AQ57"/>
    <mergeCell ref="AR57:AT57"/>
    <mergeCell ref="AU57:AW57"/>
    <mergeCell ref="AX57:BA57"/>
    <mergeCell ref="AO56:AQ56"/>
    <mergeCell ref="AR56:AT56"/>
    <mergeCell ref="AU56:AW56"/>
    <mergeCell ref="AX56:BA56"/>
    <mergeCell ref="AL55:AN55"/>
    <mergeCell ref="AO55:AQ55"/>
    <mergeCell ref="F58:H58"/>
    <mergeCell ref="I58:K58"/>
    <mergeCell ref="L58:N58"/>
    <mergeCell ref="AL57:AN57"/>
    <mergeCell ref="AU58:AW58"/>
    <mergeCell ref="AX58:BA58"/>
    <mergeCell ref="T55:V55"/>
    <mergeCell ref="W55:Y55"/>
    <mergeCell ref="Z55:AB55"/>
    <mergeCell ref="AC55:AE55"/>
    <mergeCell ref="AF55:AH55"/>
    <mergeCell ref="AI55:AK55"/>
    <mergeCell ref="AI56:AK56"/>
    <mergeCell ref="AL56:AN56"/>
    <mergeCell ref="O56:S56"/>
    <mergeCell ref="T56:V56"/>
    <mergeCell ref="W56:Y56"/>
    <mergeCell ref="Z56:AB56"/>
    <mergeCell ref="AC56:AE56"/>
    <mergeCell ref="AF56:AH56"/>
    <mergeCell ref="AR55:AT55"/>
    <mergeCell ref="AU55:AW55"/>
    <mergeCell ref="AC59:AE59"/>
    <mergeCell ref="AF59:AH59"/>
    <mergeCell ref="AI59:AK59"/>
    <mergeCell ref="AF57:AH57"/>
    <mergeCell ref="AI57:AK57"/>
    <mergeCell ref="A59:B59"/>
    <mergeCell ref="C59:E59"/>
    <mergeCell ref="F59:H59"/>
    <mergeCell ref="I59:K59"/>
    <mergeCell ref="L59:N59"/>
    <mergeCell ref="O59:S59"/>
    <mergeCell ref="A58:B58"/>
    <mergeCell ref="C58:E58"/>
    <mergeCell ref="L57:N57"/>
    <mergeCell ref="O57:S57"/>
    <mergeCell ref="T57:V57"/>
    <mergeCell ref="W57:Y57"/>
    <mergeCell ref="Z57:AB57"/>
    <mergeCell ref="AC57:AE57"/>
    <mergeCell ref="AU61:AW61"/>
    <mergeCell ref="AX61:BA61"/>
    <mergeCell ref="AO60:AQ60"/>
    <mergeCell ref="AR60:AT60"/>
    <mergeCell ref="AU60:AW60"/>
    <mergeCell ref="AX60:BA60"/>
    <mergeCell ref="AL61:AN61"/>
    <mergeCell ref="A61:B61"/>
    <mergeCell ref="C61:E61"/>
    <mergeCell ref="F61:H61"/>
    <mergeCell ref="I61:K61"/>
    <mergeCell ref="AI60:AK60"/>
    <mergeCell ref="AL60:AN60"/>
    <mergeCell ref="A57:B57"/>
    <mergeCell ref="C57:E57"/>
    <mergeCell ref="F57:H57"/>
    <mergeCell ref="I57:K57"/>
    <mergeCell ref="AR58:AT58"/>
    <mergeCell ref="O58:S58"/>
    <mergeCell ref="T58:V58"/>
    <mergeCell ref="W58:Y58"/>
    <mergeCell ref="Z58:AB58"/>
    <mergeCell ref="AC58:AE58"/>
    <mergeCell ref="AL59:AN59"/>
    <mergeCell ref="AO59:AQ59"/>
    <mergeCell ref="AF58:AH58"/>
    <mergeCell ref="AI58:AK58"/>
    <mergeCell ref="AL58:AN58"/>
    <mergeCell ref="AO58:AQ58"/>
    <mergeCell ref="T59:V59"/>
    <mergeCell ref="W59:Y59"/>
    <mergeCell ref="Z59:AB59"/>
    <mergeCell ref="O60:S60"/>
    <mergeCell ref="T60:V60"/>
    <mergeCell ref="W60:Y60"/>
    <mergeCell ref="Z60:AB60"/>
    <mergeCell ref="AC60:AE60"/>
    <mergeCell ref="AF60:AH60"/>
    <mergeCell ref="AF61:AH61"/>
    <mergeCell ref="AI61:AK61"/>
    <mergeCell ref="AR59:AT59"/>
    <mergeCell ref="AU59:AW59"/>
    <mergeCell ref="AU62:AW62"/>
    <mergeCell ref="AX62:BA62"/>
    <mergeCell ref="A63:B63"/>
    <mergeCell ref="C63:E63"/>
    <mergeCell ref="F63:H63"/>
    <mergeCell ref="I63:K63"/>
    <mergeCell ref="L63:N63"/>
    <mergeCell ref="O63:S63"/>
    <mergeCell ref="AX59:BA59"/>
    <mergeCell ref="A60:B60"/>
    <mergeCell ref="C60:E60"/>
    <mergeCell ref="F60:H60"/>
    <mergeCell ref="I60:K60"/>
    <mergeCell ref="L60:N60"/>
    <mergeCell ref="L61:N61"/>
    <mergeCell ref="O61:S61"/>
    <mergeCell ref="T61:V61"/>
    <mergeCell ref="W61:Y61"/>
    <mergeCell ref="Z61:AB61"/>
    <mergeCell ref="AC61:AE61"/>
    <mergeCell ref="AO61:AQ61"/>
    <mergeCell ref="AR61:AT61"/>
    <mergeCell ref="AX63:BA63"/>
    <mergeCell ref="A64:B64"/>
    <mergeCell ref="C64:E64"/>
    <mergeCell ref="F64:H64"/>
    <mergeCell ref="I64:K64"/>
    <mergeCell ref="L64:N64"/>
    <mergeCell ref="A62:B62"/>
    <mergeCell ref="C62:E62"/>
    <mergeCell ref="F62:H62"/>
    <mergeCell ref="I62:K62"/>
    <mergeCell ref="L62:N62"/>
    <mergeCell ref="AR62:AT62"/>
    <mergeCell ref="O62:S62"/>
    <mergeCell ref="T62:V62"/>
    <mergeCell ref="W62:Y62"/>
    <mergeCell ref="Z62:AB62"/>
    <mergeCell ref="AC62:AE62"/>
    <mergeCell ref="AF62:AH62"/>
    <mergeCell ref="AI62:AK62"/>
    <mergeCell ref="AL62:AN62"/>
    <mergeCell ref="AO62:AQ62"/>
    <mergeCell ref="AO65:AQ65"/>
    <mergeCell ref="AR65:AT65"/>
    <mergeCell ref="AU65:AW65"/>
    <mergeCell ref="AX65:BA65"/>
    <mergeCell ref="AO64:AQ64"/>
    <mergeCell ref="AR64:AT64"/>
    <mergeCell ref="AU64:AW64"/>
    <mergeCell ref="AX64:BA64"/>
    <mergeCell ref="AL63:AN63"/>
    <mergeCell ref="AO63:AQ63"/>
    <mergeCell ref="F66:H66"/>
    <mergeCell ref="I66:K66"/>
    <mergeCell ref="L66:N66"/>
    <mergeCell ref="AL65:AN65"/>
    <mergeCell ref="AU66:AW66"/>
    <mergeCell ref="AX66:BA66"/>
    <mergeCell ref="T63:V63"/>
    <mergeCell ref="W63:Y63"/>
    <mergeCell ref="Z63:AB63"/>
    <mergeCell ref="AC63:AE63"/>
    <mergeCell ref="AF63:AH63"/>
    <mergeCell ref="AI63:AK63"/>
    <mergeCell ref="AI64:AK64"/>
    <mergeCell ref="AL64:AN64"/>
    <mergeCell ref="O64:S64"/>
    <mergeCell ref="T64:V64"/>
    <mergeCell ref="W64:Y64"/>
    <mergeCell ref="Z64:AB64"/>
    <mergeCell ref="AC64:AE64"/>
    <mergeCell ref="AF64:AH64"/>
    <mergeCell ref="AR63:AT63"/>
    <mergeCell ref="AU63:AW63"/>
    <mergeCell ref="AC67:AE67"/>
    <mergeCell ref="AF67:AH67"/>
    <mergeCell ref="AI67:AK67"/>
    <mergeCell ref="AF65:AH65"/>
    <mergeCell ref="AI65:AK65"/>
    <mergeCell ref="A67:B67"/>
    <mergeCell ref="C67:E67"/>
    <mergeCell ref="F67:H67"/>
    <mergeCell ref="I67:K67"/>
    <mergeCell ref="L67:N67"/>
    <mergeCell ref="O67:S67"/>
    <mergeCell ref="A66:B66"/>
    <mergeCell ref="C66:E66"/>
    <mergeCell ref="L65:N65"/>
    <mergeCell ref="O65:S65"/>
    <mergeCell ref="T65:V65"/>
    <mergeCell ref="W65:Y65"/>
    <mergeCell ref="Z65:AB65"/>
    <mergeCell ref="AC65:AE65"/>
    <mergeCell ref="AU69:AW69"/>
    <mergeCell ref="AX69:BA69"/>
    <mergeCell ref="AO68:AQ68"/>
    <mergeCell ref="AR68:AT68"/>
    <mergeCell ref="AU68:AW68"/>
    <mergeCell ref="AX68:BA68"/>
    <mergeCell ref="AL69:AN69"/>
    <mergeCell ref="A69:B69"/>
    <mergeCell ref="C69:E69"/>
    <mergeCell ref="F69:H69"/>
    <mergeCell ref="I69:K69"/>
    <mergeCell ref="AI68:AK68"/>
    <mergeCell ref="AL68:AN68"/>
    <mergeCell ref="A65:B65"/>
    <mergeCell ref="C65:E65"/>
    <mergeCell ref="F65:H65"/>
    <mergeCell ref="I65:K65"/>
    <mergeCell ref="AR66:AT66"/>
    <mergeCell ref="O66:S66"/>
    <mergeCell ref="T66:V66"/>
    <mergeCell ref="W66:Y66"/>
    <mergeCell ref="Z66:AB66"/>
    <mergeCell ref="AC66:AE66"/>
    <mergeCell ref="AL67:AN67"/>
    <mergeCell ref="AO67:AQ67"/>
    <mergeCell ref="AF66:AH66"/>
    <mergeCell ref="AI66:AK66"/>
    <mergeCell ref="AL66:AN66"/>
    <mergeCell ref="AO66:AQ66"/>
    <mergeCell ref="T67:V67"/>
    <mergeCell ref="W67:Y67"/>
    <mergeCell ref="Z67:AB67"/>
    <mergeCell ref="O68:S68"/>
    <mergeCell ref="T68:V68"/>
    <mergeCell ref="W68:Y68"/>
    <mergeCell ref="Z68:AB68"/>
    <mergeCell ref="AC68:AE68"/>
    <mergeCell ref="AF68:AH68"/>
    <mergeCell ref="AF69:AH69"/>
    <mergeCell ref="AI69:AK69"/>
    <mergeCell ref="AR67:AT67"/>
    <mergeCell ref="AU67:AW67"/>
    <mergeCell ref="AU70:AW70"/>
    <mergeCell ref="AX70:BA70"/>
    <mergeCell ref="A71:B71"/>
    <mergeCell ref="C71:E71"/>
    <mergeCell ref="F71:H71"/>
    <mergeCell ref="I71:K71"/>
    <mergeCell ref="L71:N71"/>
    <mergeCell ref="O71:S71"/>
    <mergeCell ref="AX67:BA67"/>
    <mergeCell ref="A68:B68"/>
    <mergeCell ref="C68:E68"/>
    <mergeCell ref="F68:H68"/>
    <mergeCell ref="I68:K68"/>
    <mergeCell ref="L68:N68"/>
    <mergeCell ref="L69:N69"/>
    <mergeCell ref="O69:S69"/>
    <mergeCell ref="T69:V69"/>
    <mergeCell ref="W69:Y69"/>
    <mergeCell ref="Z69:AB69"/>
    <mergeCell ref="AC69:AE69"/>
    <mergeCell ref="AO69:AQ69"/>
    <mergeCell ref="AR69:AT69"/>
    <mergeCell ref="AX71:BA71"/>
    <mergeCell ref="A72:B72"/>
    <mergeCell ref="C72:E72"/>
    <mergeCell ref="F72:H72"/>
    <mergeCell ref="I72:K72"/>
    <mergeCell ref="L72:N72"/>
    <mergeCell ref="A70:B70"/>
    <mergeCell ref="C70:E70"/>
    <mergeCell ref="F70:H70"/>
    <mergeCell ref="I70:K70"/>
    <mergeCell ref="L70:N70"/>
    <mergeCell ref="AR70:AT70"/>
    <mergeCell ref="O70:S70"/>
    <mergeCell ref="T70:V70"/>
    <mergeCell ref="W70:Y70"/>
    <mergeCell ref="Z70:AB70"/>
    <mergeCell ref="AC70:AE70"/>
    <mergeCell ref="AF70:AH70"/>
    <mergeCell ref="AI70:AK70"/>
    <mergeCell ref="AL70:AN70"/>
    <mergeCell ref="AO70:AQ70"/>
    <mergeCell ref="AO73:AQ73"/>
    <mergeCell ref="AR73:AT73"/>
    <mergeCell ref="AU73:AW73"/>
    <mergeCell ref="AX73:BA73"/>
    <mergeCell ref="AO72:AQ72"/>
    <mergeCell ref="AR72:AT72"/>
    <mergeCell ref="AU72:AW72"/>
    <mergeCell ref="AX72:BA72"/>
    <mergeCell ref="AL71:AN71"/>
    <mergeCell ref="AO71:AQ71"/>
    <mergeCell ref="F74:H74"/>
    <mergeCell ref="I74:K74"/>
    <mergeCell ref="L74:N74"/>
    <mergeCell ref="AL73:AN73"/>
    <mergeCell ref="AU74:AW74"/>
    <mergeCell ref="AX74:BA74"/>
    <mergeCell ref="T71:V71"/>
    <mergeCell ref="W71:Y71"/>
    <mergeCell ref="Z71:AB71"/>
    <mergeCell ref="AC71:AE71"/>
    <mergeCell ref="AF71:AH71"/>
    <mergeCell ref="AI71:AK71"/>
    <mergeCell ref="AI72:AK72"/>
    <mergeCell ref="AL72:AN72"/>
    <mergeCell ref="O72:S72"/>
    <mergeCell ref="T72:V72"/>
    <mergeCell ref="W72:Y72"/>
    <mergeCell ref="Z72:AB72"/>
    <mergeCell ref="AC72:AE72"/>
    <mergeCell ref="AF72:AH72"/>
    <mergeCell ref="AR71:AT71"/>
    <mergeCell ref="AU71:AW71"/>
    <mergeCell ref="AC75:AE75"/>
    <mergeCell ref="AF75:AH75"/>
    <mergeCell ref="AI75:AK75"/>
    <mergeCell ref="AF73:AH73"/>
    <mergeCell ref="AI73:AK73"/>
    <mergeCell ref="A75:B75"/>
    <mergeCell ref="C75:E75"/>
    <mergeCell ref="F75:H75"/>
    <mergeCell ref="I75:K75"/>
    <mergeCell ref="L75:N75"/>
    <mergeCell ref="O75:S75"/>
    <mergeCell ref="A74:B74"/>
    <mergeCell ref="C74:E74"/>
    <mergeCell ref="L73:N73"/>
    <mergeCell ref="O73:S73"/>
    <mergeCell ref="T73:V73"/>
    <mergeCell ref="W73:Y73"/>
    <mergeCell ref="Z73:AB73"/>
    <mergeCell ref="AC73:AE73"/>
    <mergeCell ref="AU77:AW77"/>
    <mergeCell ref="AX77:BA77"/>
    <mergeCell ref="AO76:AQ76"/>
    <mergeCell ref="AR76:AT76"/>
    <mergeCell ref="AU76:AW76"/>
    <mergeCell ref="AX76:BA76"/>
    <mergeCell ref="AL77:AN77"/>
    <mergeCell ref="A77:B77"/>
    <mergeCell ref="C77:E77"/>
    <mergeCell ref="F77:H77"/>
    <mergeCell ref="I77:K77"/>
    <mergeCell ref="AI76:AK76"/>
    <mergeCell ref="AL76:AN76"/>
    <mergeCell ref="A73:B73"/>
    <mergeCell ref="C73:E73"/>
    <mergeCell ref="F73:H73"/>
    <mergeCell ref="I73:K73"/>
    <mergeCell ref="AR74:AT74"/>
    <mergeCell ref="O74:S74"/>
    <mergeCell ref="T74:V74"/>
    <mergeCell ref="W74:Y74"/>
    <mergeCell ref="Z74:AB74"/>
    <mergeCell ref="AC74:AE74"/>
    <mergeCell ref="AL75:AN75"/>
    <mergeCell ref="AO75:AQ75"/>
    <mergeCell ref="AF74:AH74"/>
    <mergeCell ref="AI74:AK74"/>
    <mergeCell ref="AL74:AN74"/>
    <mergeCell ref="AO74:AQ74"/>
    <mergeCell ref="T75:V75"/>
    <mergeCell ref="W75:Y75"/>
    <mergeCell ref="Z75:AB75"/>
    <mergeCell ref="O76:S76"/>
    <mergeCell ref="T76:V76"/>
    <mergeCell ref="W76:Y76"/>
    <mergeCell ref="Z76:AB76"/>
    <mergeCell ref="AC76:AE76"/>
    <mergeCell ref="AF76:AH76"/>
    <mergeCell ref="AF77:AH77"/>
    <mergeCell ref="AI77:AK77"/>
    <mergeCell ref="AR75:AT75"/>
    <mergeCell ref="AU75:AW75"/>
    <mergeCell ref="AU78:AW78"/>
    <mergeCell ref="AX78:BA78"/>
    <mergeCell ref="A79:B79"/>
    <mergeCell ref="C79:E79"/>
    <mergeCell ref="F79:H79"/>
    <mergeCell ref="I79:K79"/>
    <mergeCell ref="L79:N79"/>
    <mergeCell ref="O79:S79"/>
    <mergeCell ref="AX75:BA75"/>
    <mergeCell ref="A76:B76"/>
    <mergeCell ref="C76:E76"/>
    <mergeCell ref="F76:H76"/>
    <mergeCell ref="I76:K76"/>
    <mergeCell ref="L76:N76"/>
    <mergeCell ref="L77:N77"/>
    <mergeCell ref="O77:S77"/>
    <mergeCell ref="T77:V77"/>
    <mergeCell ref="W77:Y77"/>
    <mergeCell ref="Z77:AB77"/>
    <mergeCell ref="AC77:AE77"/>
    <mergeCell ref="AO77:AQ77"/>
    <mergeCell ref="AR77:AT77"/>
    <mergeCell ref="AX79:BA79"/>
    <mergeCell ref="A80:B80"/>
    <mergeCell ref="C80:E80"/>
    <mergeCell ref="F80:H80"/>
    <mergeCell ref="I80:K80"/>
    <mergeCell ref="L80:N80"/>
    <mergeCell ref="A78:B78"/>
    <mergeCell ref="C78:E78"/>
    <mergeCell ref="F78:H78"/>
    <mergeCell ref="I78:K78"/>
    <mergeCell ref="L78:N78"/>
    <mergeCell ref="AR78:AT78"/>
    <mergeCell ref="O78:S78"/>
    <mergeCell ref="T78:V78"/>
    <mergeCell ref="W78:Y78"/>
    <mergeCell ref="Z78:AB78"/>
    <mergeCell ref="AC78:AE78"/>
    <mergeCell ref="AF78:AH78"/>
    <mergeCell ref="AI78:AK78"/>
    <mergeCell ref="AL78:AN78"/>
    <mergeCell ref="AO78:AQ78"/>
    <mergeCell ref="AO81:AQ81"/>
    <mergeCell ref="AR81:AT81"/>
    <mergeCell ref="AU81:AW81"/>
    <mergeCell ref="AX81:BA81"/>
    <mergeCell ref="AO80:AQ80"/>
    <mergeCell ref="AR80:AT80"/>
    <mergeCell ref="AU80:AW80"/>
    <mergeCell ref="AX80:BA80"/>
    <mergeCell ref="AL79:AN79"/>
    <mergeCell ref="AO79:AQ79"/>
    <mergeCell ref="F82:H82"/>
    <mergeCell ref="I82:K82"/>
    <mergeCell ref="L82:N82"/>
    <mergeCell ref="AL81:AN81"/>
    <mergeCell ref="AU82:AW82"/>
    <mergeCell ref="AX82:BA82"/>
    <mergeCell ref="T79:V79"/>
    <mergeCell ref="W79:Y79"/>
    <mergeCell ref="Z79:AB79"/>
    <mergeCell ref="AC79:AE79"/>
    <mergeCell ref="AF79:AH79"/>
    <mergeCell ref="AI79:AK79"/>
    <mergeCell ref="AI80:AK80"/>
    <mergeCell ref="AL80:AN80"/>
    <mergeCell ref="O80:S80"/>
    <mergeCell ref="T80:V80"/>
    <mergeCell ref="W80:Y80"/>
    <mergeCell ref="Z80:AB80"/>
    <mergeCell ref="AC80:AE80"/>
    <mergeCell ref="AF80:AH80"/>
    <mergeCell ref="AR79:AT79"/>
    <mergeCell ref="AU79:AW79"/>
    <mergeCell ref="AC83:AE83"/>
    <mergeCell ref="AF83:AH83"/>
    <mergeCell ref="AI83:AK83"/>
    <mergeCell ref="AF81:AH81"/>
    <mergeCell ref="AI81:AK81"/>
    <mergeCell ref="A83:B83"/>
    <mergeCell ref="C83:E83"/>
    <mergeCell ref="F83:H83"/>
    <mergeCell ref="I83:K83"/>
    <mergeCell ref="L83:N83"/>
    <mergeCell ref="O83:S83"/>
    <mergeCell ref="A82:B82"/>
    <mergeCell ref="C82:E82"/>
    <mergeCell ref="L81:N81"/>
    <mergeCell ref="O81:S81"/>
    <mergeCell ref="T81:V81"/>
    <mergeCell ref="W81:Y81"/>
    <mergeCell ref="Z81:AB81"/>
    <mergeCell ref="AC81:AE81"/>
    <mergeCell ref="AU85:AW85"/>
    <mergeCell ref="AX85:BA85"/>
    <mergeCell ref="AO84:AQ84"/>
    <mergeCell ref="AR84:AT84"/>
    <mergeCell ref="AU84:AW84"/>
    <mergeCell ref="AX84:BA84"/>
    <mergeCell ref="AL85:AN85"/>
    <mergeCell ref="A85:B85"/>
    <mergeCell ref="C85:E85"/>
    <mergeCell ref="F85:H85"/>
    <mergeCell ref="I85:K85"/>
    <mergeCell ref="AI84:AK84"/>
    <mergeCell ref="AL84:AN84"/>
    <mergeCell ref="A81:B81"/>
    <mergeCell ref="C81:E81"/>
    <mergeCell ref="F81:H81"/>
    <mergeCell ref="I81:K81"/>
    <mergeCell ref="AR82:AT82"/>
    <mergeCell ref="O82:S82"/>
    <mergeCell ref="T82:V82"/>
    <mergeCell ref="W82:Y82"/>
    <mergeCell ref="Z82:AB82"/>
    <mergeCell ref="AC82:AE82"/>
    <mergeCell ref="AL83:AN83"/>
    <mergeCell ref="AO83:AQ83"/>
    <mergeCell ref="AF82:AH82"/>
    <mergeCell ref="AI82:AK82"/>
    <mergeCell ref="AL82:AN82"/>
    <mergeCell ref="AO82:AQ82"/>
    <mergeCell ref="T83:V83"/>
    <mergeCell ref="W83:Y83"/>
    <mergeCell ref="Z83:AB83"/>
    <mergeCell ref="O84:S84"/>
    <mergeCell ref="T84:V84"/>
    <mergeCell ref="W84:Y84"/>
    <mergeCell ref="Z84:AB84"/>
    <mergeCell ref="AC84:AE84"/>
    <mergeCell ref="AF84:AH84"/>
    <mergeCell ref="AF85:AH85"/>
    <mergeCell ref="AI85:AK85"/>
    <mergeCell ref="AR83:AT83"/>
    <mergeCell ref="AU83:AW83"/>
    <mergeCell ref="AU86:AW86"/>
    <mergeCell ref="AX86:BA86"/>
    <mergeCell ref="A87:B87"/>
    <mergeCell ref="C87:E87"/>
    <mergeCell ref="F87:H87"/>
    <mergeCell ref="I87:K87"/>
    <mergeCell ref="L87:N87"/>
    <mergeCell ref="O87:S87"/>
    <mergeCell ref="AX83:BA83"/>
    <mergeCell ref="A84:B84"/>
    <mergeCell ref="C84:E84"/>
    <mergeCell ref="F84:H84"/>
    <mergeCell ref="I84:K84"/>
    <mergeCell ref="L84:N84"/>
    <mergeCell ref="L85:N85"/>
    <mergeCell ref="O85:S85"/>
    <mergeCell ref="T85:V85"/>
    <mergeCell ref="W85:Y85"/>
    <mergeCell ref="Z85:AB85"/>
    <mergeCell ref="AC85:AE85"/>
    <mergeCell ref="AO85:AQ85"/>
    <mergeCell ref="AR85:AT85"/>
    <mergeCell ref="AX87:BA87"/>
    <mergeCell ref="A88:B88"/>
    <mergeCell ref="C88:E88"/>
    <mergeCell ref="F88:H88"/>
    <mergeCell ref="I88:K88"/>
    <mergeCell ref="L88:N88"/>
    <mergeCell ref="A86:B86"/>
    <mergeCell ref="C86:E86"/>
    <mergeCell ref="F86:H86"/>
    <mergeCell ref="I86:K86"/>
    <mergeCell ref="L86:N86"/>
    <mergeCell ref="AR86:AT86"/>
    <mergeCell ref="O86:S86"/>
    <mergeCell ref="T86:V86"/>
    <mergeCell ref="W86:Y86"/>
    <mergeCell ref="Z86:AB86"/>
    <mergeCell ref="AC86:AE86"/>
    <mergeCell ref="AF86:AH86"/>
    <mergeCell ref="AI86:AK86"/>
    <mergeCell ref="AL86:AN86"/>
    <mergeCell ref="AO86:AQ86"/>
    <mergeCell ref="AO89:AQ89"/>
    <mergeCell ref="AR89:AT89"/>
    <mergeCell ref="AU89:AW89"/>
    <mergeCell ref="AX89:BA89"/>
    <mergeCell ref="AO88:AQ88"/>
    <mergeCell ref="AR88:AT88"/>
    <mergeCell ref="AU88:AW88"/>
    <mergeCell ref="AX88:BA88"/>
    <mergeCell ref="AL87:AN87"/>
    <mergeCell ref="AO87:AQ87"/>
    <mergeCell ref="F90:H90"/>
    <mergeCell ref="I90:K90"/>
    <mergeCell ref="L90:N90"/>
    <mergeCell ref="AL89:AN89"/>
    <mergeCell ref="AU90:AW90"/>
    <mergeCell ref="AX90:BA90"/>
    <mergeCell ref="T87:V87"/>
    <mergeCell ref="W87:Y87"/>
    <mergeCell ref="Z87:AB87"/>
    <mergeCell ref="AC87:AE87"/>
    <mergeCell ref="AF87:AH87"/>
    <mergeCell ref="AI87:AK87"/>
    <mergeCell ref="AI88:AK88"/>
    <mergeCell ref="AL88:AN88"/>
    <mergeCell ref="O88:S88"/>
    <mergeCell ref="T88:V88"/>
    <mergeCell ref="W88:Y88"/>
    <mergeCell ref="Z88:AB88"/>
    <mergeCell ref="AC88:AE88"/>
    <mergeCell ref="AF88:AH88"/>
    <mergeCell ref="AR87:AT87"/>
    <mergeCell ref="AU87:AW87"/>
    <mergeCell ref="AC91:AE91"/>
    <mergeCell ref="AF91:AH91"/>
    <mergeCell ref="AI91:AK91"/>
    <mergeCell ref="AF89:AH89"/>
    <mergeCell ref="AI89:AK89"/>
    <mergeCell ref="A91:B91"/>
    <mergeCell ref="C91:E91"/>
    <mergeCell ref="F91:H91"/>
    <mergeCell ref="I91:K91"/>
    <mergeCell ref="L91:N91"/>
    <mergeCell ref="O91:S91"/>
    <mergeCell ref="A90:B90"/>
    <mergeCell ref="C90:E90"/>
    <mergeCell ref="L89:N89"/>
    <mergeCell ref="O89:S89"/>
    <mergeCell ref="T89:V89"/>
    <mergeCell ref="W89:Y89"/>
    <mergeCell ref="Z89:AB89"/>
    <mergeCell ref="AC89:AE89"/>
    <mergeCell ref="AU93:AW93"/>
    <mergeCell ref="AX93:BA93"/>
    <mergeCell ref="AO92:AQ92"/>
    <mergeCell ref="AR92:AT92"/>
    <mergeCell ref="AU92:AW92"/>
    <mergeCell ref="AX92:BA92"/>
    <mergeCell ref="AL93:AN93"/>
    <mergeCell ref="A93:B93"/>
    <mergeCell ref="C93:E93"/>
    <mergeCell ref="F93:H93"/>
    <mergeCell ref="I93:K93"/>
    <mergeCell ref="AI92:AK92"/>
    <mergeCell ref="AL92:AN92"/>
    <mergeCell ref="A89:B89"/>
    <mergeCell ref="C89:E89"/>
    <mergeCell ref="F89:H89"/>
    <mergeCell ref="I89:K89"/>
    <mergeCell ref="AR90:AT90"/>
    <mergeCell ref="O90:S90"/>
    <mergeCell ref="T90:V90"/>
    <mergeCell ref="W90:Y90"/>
    <mergeCell ref="Z90:AB90"/>
    <mergeCell ref="AC90:AE90"/>
    <mergeCell ref="AL91:AN91"/>
    <mergeCell ref="AO91:AQ91"/>
    <mergeCell ref="AF90:AH90"/>
    <mergeCell ref="AI90:AK90"/>
    <mergeCell ref="AL90:AN90"/>
    <mergeCell ref="AO90:AQ90"/>
    <mergeCell ref="T91:V91"/>
    <mergeCell ref="W91:Y91"/>
    <mergeCell ref="Z91:AB91"/>
    <mergeCell ref="O92:S92"/>
    <mergeCell ref="T92:V92"/>
    <mergeCell ref="W92:Y92"/>
    <mergeCell ref="Z92:AB92"/>
    <mergeCell ref="AC92:AE92"/>
    <mergeCell ref="AF92:AH92"/>
    <mergeCell ref="AF93:AH93"/>
    <mergeCell ref="AI93:AK93"/>
    <mergeCell ref="AR91:AT91"/>
    <mergeCell ref="AU91:AW91"/>
    <mergeCell ref="AU94:AW94"/>
    <mergeCell ref="AX94:BA94"/>
    <mergeCell ref="A95:B95"/>
    <mergeCell ref="C95:E95"/>
    <mergeCell ref="F95:H95"/>
    <mergeCell ref="I95:K95"/>
    <mergeCell ref="L95:N95"/>
    <mergeCell ref="O95:S95"/>
    <mergeCell ref="AX91:BA91"/>
    <mergeCell ref="A92:B92"/>
    <mergeCell ref="C92:E92"/>
    <mergeCell ref="F92:H92"/>
    <mergeCell ref="I92:K92"/>
    <mergeCell ref="L92:N92"/>
    <mergeCell ref="L93:N93"/>
    <mergeCell ref="O93:S93"/>
    <mergeCell ref="T93:V93"/>
    <mergeCell ref="W93:Y93"/>
    <mergeCell ref="Z93:AB93"/>
    <mergeCell ref="AC93:AE93"/>
    <mergeCell ref="AO93:AQ93"/>
    <mergeCell ref="AR93:AT93"/>
    <mergeCell ref="AX95:BA95"/>
    <mergeCell ref="A96:B96"/>
    <mergeCell ref="C96:E96"/>
    <mergeCell ref="F96:H96"/>
    <mergeCell ref="I96:K96"/>
    <mergeCell ref="L96:N96"/>
    <mergeCell ref="A94:B94"/>
    <mergeCell ref="C94:E94"/>
    <mergeCell ref="F94:H94"/>
    <mergeCell ref="I94:K94"/>
    <mergeCell ref="L94:N94"/>
    <mergeCell ref="AR94:AT94"/>
    <mergeCell ref="O94:S94"/>
    <mergeCell ref="T94:V94"/>
    <mergeCell ref="W94:Y94"/>
    <mergeCell ref="Z94:AB94"/>
    <mergeCell ref="AC94:AE94"/>
    <mergeCell ref="AF94:AH94"/>
    <mergeCell ref="AI94:AK94"/>
    <mergeCell ref="AL94:AN94"/>
    <mergeCell ref="AO94:AQ94"/>
    <mergeCell ref="AO97:AQ97"/>
    <mergeCell ref="AR97:AT97"/>
    <mergeCell ref="AU97:AW97"/>
    <mergeCell ref="AX97:BA97"/>
    <mergeCell ref="AO96:AQ96"/>
    <mergeCell ref="AR96:AT96"/>
    <mergeCell ref="AU96:AW96"/>
    <mergeCell ref="AX96:BA96"/>
    <mergeCell ref="AL95:AN95"/>
    <mergeCell ref="AO95:AQ95"/>
    <mergeCell ref="F98:H98"/>
    <mergeCell ref="I98:K98"/>
    <mergeCell ref="L98:N98"/>
    <mergeCell ref="AL97:AN97"/>
    <mergeCell ref="AU98:AW98"/>
    <mergeCell ref="AX98:BA98"/>
    <mergeCell ref="T95:V95"/>
    <mergeCell ref="W95:Y95"/>
    <mergeCell ref="Z95:AB95"/>
    <mergeCell ref="AC95:AE95"/>
    <mergeCell ref="AF95:AH95"/>
    <mergeCell ref="AI95:AK95"/>
    <mergeCell ref="AI96:AK96"/>
    <mergeCell ref="AL96:AN96"/>
    <mergeCell ref="O96:S96"/>
    <mergeCell ref="T96:V96"/>
    <mergeCell ref="W96:Y96"/>
    <mergeCell ref="Z96:AB96"/>
    <mergeCell ref="AC96:AE96"/>
    <mergeCell ref="AF96:AH96"/>
    <mergeCell ref="AR95:AT95"/>
    <mergeCell ref="AU95:AW95"/>
    <mergeCell ref="AC99:AE99"/>
    <mergeCell ref="AF99:AH99"/>
    <mergeCell ref="AI99:AK99"/>
    <mergeCell ref="AF97:AH97"/>
    <mergeCell ref="AI97:AK97"/>
    <mergeCell ref="A99:B99"/>
    <mergeCell ref="C99:E99"/>
    <mergeCell ref="F99:H99"/>
    <mergeCell ref="I99:K99"/>
    <mergeCell ref="L99:N99"/>
    <mergeCell ref="O99:S99"/>
    <mergeCell ref="A98:B98"/>
    <mergeCell ref="C98:E98"/>
    <mergeCell ref="L97:N97"/>
    <mergeCell ref="O97:S97"/>
    <mergeCell ref="T97:V97"/>
    <mergeCell ref="W97:Y97"/>
    <mergeCell ref="Z97:AB97"/>
    <mergeCell ref="AC97:AE97"/>
    <mergeCell ref="AU101:AW101"/>
    <mergeCell ref="AX101:BA101"/>
    <mergeCell ref="AO100:AQ100"/>
    <mergeCell ref="AR100:AT100"/>
    <mergeCell ref="AU100:AW100"/>
    <mergeCell ref="AX100:BA100"/>
    <mergeCell ref="AL101:AN101"/>
    <mergeCell ref="A101:B101"/>
    <mergeCell ref="C101:E101"/>
    <mergeCell ref="F101:H101"/>
    <mergeCell ref="I101:K101"/>
    <mergeCell ref="AI100:AK100"/>
    <mergeCell ref="AL100:AN100"/>
    <mergeCell ref="A97:B97"/>
    <mergeCell ref="C97:E97"/>
    <mergeCell ref="F97:H97"/>
    <mergeCell ref="I97:K97"/>
    <mergeCell ref="AR98:AT98"/>
    <mergeCell ref="O98:S98"/>
    <mergeCell ref="T98:V98"/>
    <mergeCell ref="W98:Y98"/>
    <mergeCell ref="Z98:AB98"/>
    <mergeCell ref="AC98:AE98"/>
    <mergeCell ref="AL99:AN99"/>
    <mergeCell ref="AO99:AQ99"/>
    <mergeCell ref="AF98:AH98"/>
    <mergeCell ref="AI98:AK98"/>
    <mergeCell ref="AL98:AN98"/>
    <mergeCell ref="AO98:AQ98"/>
    <mergeCell ref="T99:V99"/>
    <mergeCell ref="W99:Y99"/>
    <mergeCell ref="Z99:AB99"/>
    <mergeCell ref="O100:S100"/>
    <mergeCell ref="T100:V100"/>
    <mergeCell ref="W100:Y100"/>
    <mergeCell ref="Z100:AB100"/>
    <mergeCell ref="AC100:AE100"/>
    <mergeCell ref="AF100:AH100"/>
    <mergeCell ref="AF101:AH101"/>
    <mergeCell ref="AI101:AK101"/>
    <mergeCell ref="AR99:AT99"/>
    <mergeCell ref="AU99:AW99"/>
    <mergeCell ref="AU102:AW102"/>
    <mergeCell ref="AX102:BA102"/>
    <mergeCell ref="A103:B103"/>
    <mergeCell ref="C103:E103"/>
    <mergeCell ref="F103:H103"/>
    <mergeCell ref="I103:K103"/>
    <mergeCell ref="L103:N103"/>
    <mergeCell ref="O103:S103"/>
    <mergeCell ref="AX99:BA99"/>
    <mergeCell ref="A100:B100"/>
    <mergeCell ref="C100:E100"/>
    <mergeCell ref="F100:H100"/>
    <mergeCell ref="I100:K100"/>
    <mergeCell ref="L100:N100"/>
    <mergeCell ref="L101:N101"/>
    <mergeCell ref="O101:S101"/>
    <mergeCell ref="T101:V101"/>
    <mergeCell ref="W101:Y101"/>
    <mergeCell ref="Z101:AB101"/>
    <mergeCell ref="AC101:AE101"/>
    <mergeCell ref="AO101:AQ101"/>
    <mergeCell ref="AR101:AT101"/>
    <mergeCell ref="W104:Y104"/>
    <mergeCell ref="Z104:AB104"/>
    <mergeCell ref="AC104:AE104"/>
    <mergeCell ref="AF104:AH104"/>
    <mergeCell ref="AR103:AT103"/>
    <mergeCell ref="AU103:AW103"/>
    <mergeCell ref="AX103:BA103"/>
    <mergeCell ref="A104:B104"/>
    <mergeCell ref="C104:E104"/>
    <mergeCell ref="F104:H104"/>
    <mergeCell ref="I104:K104"/>
    <mergeCell ref="L104:N104"/>
    <mergeCell ref="A102:B102"/>
    <mergeCell ref="C102:E102"/>
    <mergeCell ref="F102:H102"/>
    <mergeCell ref="I102:K102"/>
    <mergeCell ref="L102:N102"/>
    <mergeCell ref="AR102:AT102"/>
    <mergeCell ref="O102:S102"/>
    <mergeCell ref="T102:V102"/>
    <mergeCell ref="W102:Y102"/>
    <mergeCell ref="Z102:AB102"/>
    <mergeCell ref="AC102:AE102"/>
    <mergeCell ref="AF102:AH102"/>
    <mergeCell ref="AI102:AK102"/>
    <mergeCell ref="AL102:AN102"/>
    <mergeCell ref="AO102:AQ102"/>
    <mergeCell ref="L105:N105"/>
    <mergeCell ref="O105:S105"/>
    <mergeCell ref="T105:V105"/>
    <mergeCell ref="W105:Y105"/>
    <mergeCell ref="Z105:AB105"/>
    <mergeCell ref="AC105:AE105"/>
    <mergeCell ref="AO105:AQ105"/>
    <mergeCell ref="AR105:AT105"/>
    <mergeCell ref="AU105:AW105"/>
    <mergeCell ref="AX105:BA105"/>
    <mergeCell ref="AO104:AQ104"/>
    <mergeCell ref="AR104:AT104"/>
    <mergeCell ref="AU104:AW104"/>
    <mergeCell ref="AX104:BA104"/>
    <mergeCell ref="AL103:AN103"/>
    <mergeCell ref="AO103:AQ103"/>
    <mergeCell ref="F106:H106"/>
    <mergeCell ref="I106:K106"/>
    <mergeCell ref="L106:N106"/>
    <mergeCell ref="AL105:AN105"/>
    <mergeCell ref="AU106:AW106"/>
    <mergeCell ref="AX106:BA106"/>
    <mergeCell ref="T103:V103"/>
    <mergeCell ref="W103:Y103"/>
    <mergeCell ref="Z103:AB103"/>
    <mergeCell ref="AC103:AE103"/>
    <mergeCell ref="AF103:AH103"/>
    <mergeCell ref="AI103:AK103"/>
    <mergeCell ref="AI104:AK104"/>
    <mergeCell ref="AL104:AN104"/>
    <mergeCell ref="O104:S104"/>
    <mergeCell ref="T104:V104"/>
    <mergeCell ref="A105:B105"/>
    <mergeCell ref="C105:E105"/>
    <mergeCell ref="F105:H105"/>
    <mergeCell ref="I105:K105"/>
    <mergeCell ref="AR106:AT106"/>
    <mergeCell ref="O106:S106"/>
    <mergeCell ref="T106:V106"/>
    <mergeCell ref="W106:Y106"/>
    <mergeCell ref="Z106:AB106"/>
    <mergeCell ref="AC106:AE106"/>
    <mergeCell ref="AL107:AN107"/>
    <mergeCell ref="AO107:AQ107"/>
    <mergeCell ref="AF106:AH106"/>
    <mergeCell ref="AI106:AK106"/>
    <mergeCell ref="AL106:AN106"/>
    <mergeCell ref="AO106:AQ106"/>
    <mergeCell ref="T107:V107"/>
    <mergeCell ref="W107:Y107"/>
    <mergeCell ref="Z107:AB107"/>
    <mergeCell ref="AC107:AE107"/>
    <mergeCell ref="AF107:AH107"/>
    <mergeCell ref="AI107:AK107"/>
    <mergeCell ref="AF105:AH105"/>
    <mergeCell ref="AI105:AK105"/>
    <mergeCell ref="A107:B107"/>
    <mergeCell ref="C107:E107"/>
    <mergeCell ref="F107:H107"/>
    <mergeCell ref="I107:K107"/>
    <mergeCell ref="L107:N107"/>
    <mergeCell ref="O107:S107"/>
    <mergeCell ref="A106:B106"/>
    <mergeCell ref="C106:E106"/>
    <mergeCell ref="AR107:AT107"/>
    <mergeCell ref="AU107:AW107"/>
    <mergeCell ref="AX107:BA107"/>
    <mergeCell ref="A108:B108"/>
    <mergeCell ref="C108:E108"/>
    <mergeCell ref="F108:H108"/>
    <mergeCell ref="I108:K108"/>
    <mergeCell ref="L108:N108"/>
    <mergeCell ref="L109:N109"/>
    <mergeCell ref="O109:S109"/>
    <mergeCell ref="T109:V109"/>
    <mergeCell ref="W109:Y109"/>
    <mergeCell ref="Z109:AB109"/>
    <mergeCell ref="AC109:AE109"/>
    <mergeCell ref="AO109:AQ109"/>
    <mergeCell ref="AR109:AT109"/>
    <mergeCell ref="AU109:AW109"/>
    <mergeCell ref="AX109:BA109"/>
    <mergeCell ref="AO108:AQ108"/>
    <mergeCell ref="AR108:AT108"/>
    <mergeCell ref="AU108:AW108"/>
    <mergeCell ref="AX108:BA108"/>
    <mergeCell ref="AL109:AN109"/>
    <mergeCell ref="A109:B109"/>
    <mergeCell ref="C109:E109"/>
    <mergeCell ref="F109:H109"/>
    <mergeCell ref="I109:K109"/>
    <mergeCell ref="AI108:AK108"/>
    <mergeCell ref="AL108:AN108"/>
    <mergeCell ref="O108:S108"/>
    <mergeCell ref="T108:V108"/>
    <mergeCell ref="W108:Y108"/>
    <mergeCell ref="Z108:AB108"/>
    <mergeCell ref="AC108:AE108"/>
    <mergeCell ref="AF108:AH108"/>
    <mergeCell ref="AF109:AH109"/>
    <mergeCell ref="AI109:AK109"/>
    <mergeCell ref="AO111:AQ111"/>
    <mergeCell ref="AF110:AH110"/>
    <mergeCell ref="AI110:AK110"/>
    <mergeCell ref="AL110:AN110"/>
    <mergeCell ref="AO110:AQ110"/>
    <mergeCell ref="T111:V111"/>
    <mergeCell ref="W111:Y111"/>
    <mergeCell ref="Z111:AB111"/>
    <mergeCell ref="AC111:AE111"/>
    <mergeCell ref="AF111:AH111"/>
    <mergeCell ref="AI111:AK111"/>
    <mergeCell ref="AI112:AK112"/>
    <mergeCell ref="AL112:AN112"/>
    <mergeCell ref="AU110:AW110"/>
    <mergeCell ref="AX110:BA110"/>
    <mergeCell ref="A111:B111"/>
    <mergeCell ref="C111:E111"/>
    <mergeCell ref="F111:H111"/>
    <mergeCell ref="I111:K111"/>
    <mergeCell ref="L111:N111"/>
    <mergeCell ref="O111:S111"/>
    <mergeCell ref="O112:S112"/>
    <mergeCell ref="T112:V112"/>
    <mergeCell ref="W112:Y112"/>
    <mergeCell ref="Z112:AB112"/>
    <mergeCell ref="AC112:AE112"/>
    <mergeCell ref="AF112:AH112"/>
    <mergeCell ref="A110:B110"/>
    <mergeCell ref="C110:E110"/>
    <mergeCell ref="F110:H110"/>
    <mergeCell ref="I110:K110"/>
    <mergeCell ref="L110:N110"/>
    <mergeCell ref="AR110:AT110"/>
    <mergeCell ref="O110:S110"/>
    <mergeCell ref="T110:V110"/>
    <mergeCell ref="W110:Y110"/>
    <mergeCell ref="Z110:AB110"/>
    <mergeCell ref="AC110:AE110"/>
    <mergeCell ref="O115:S115"/>
    <mergeCell ref="T115:V115"/>
    <mergeCell ref="W115:Y115"/>
    <mergeCell ref="Z115:AB115"/>
    <mergeCell ref="AC115:AE115"/>
    <mergeCell ref="AF115:AH115"/>
    <mergeCell ref="AR115:AT115"/>
    <mergeCell ref="AF113:AH113"/>
    <mergeCell ref="AI113:AK113"/>
    <mergeCell ref="AR111:AT111"/>
    <mergeCell ref="AU111:AW111"/>
    <mergeCell ref="AX111:BA111"/>
    <mergeCell ref="A112:B112"/>
    <mergeCell ref="C112:E112"/>
    <mergeCell ref="F112:H112"/>
    <mergeCell ref="I112:K112"/>
    <mergeCell ref="L112:N112"/>
    <mergeCell ref="L113:N113"/>
    <mergeCell ref="O113:S113"/>
    <mergeCell ref="T113:V113"/>
    <mergeCell ref="W113:Y113"/>
    <mergeCell ref="Z113:AB113"/>
    <mergeCell ref="AC113:AE113"/>
    <mergeCell ref="AO113:AQ113"/>
    <mergeCell ref="AR113:AT113"/>
    <mergeCell ref="AU113:AW113"/>
    <mergeCell ref="AX113:BA113"/>
    <mergeCell ref="AO112:AQ112"/>
    <mergeCell ref="AR112:AT112"/>
    <mergeCell ref="AU112:AW112"/>
    <mergeCell ref="AX112:BA112"/>
    <mergeCell ref="AL111:AN111"/>
    <mergeCell ref="AU115:AW115"/>
    <mergeCell ref="AX115:BA115"/>
    <mergeCell ref="AU114:AW114"/>
    <mergeCell ref="AX114:BA114"/>
    <mergeCell ref="A115:B115"/>
    <mergeCell ref="C115:E115"/>
    <mergeCell ref="F115:H115"/>
    <mergeCell ref="I115:K115"/>
    <mergeCell ref="L115:N115"/>
    <mergeCell ref="A114:B114"/>
    <mergeCell ref="C114:E114"/>
    <mergeCell ref="F114:H114"/>
    <mergeCell ref="I114:K114"/>
    <mergeCell ref="L114:N114"/>
    <mergeCell ref="AL113:AN113"/>
    <mergeCell ref="A113:B113"/>
    <mergeCell ref="C113:E113"/>
    <mergeCell ref="F113:H113"/>
    <mergeCell ref="I113:K113"/>
    <mergeCell ref="AR114:AT114"/>
    <mergeCell ref="O114:S114"/>
    <mergeCell ref="T114:V114"/>
    <mergeCell ref="W114:Y114"/>
    <mergeCell ref="Z114:AB114"/>
    <mergeCell ref="AC114:AE114"/>
    <mergeCell ref="AI115:AK115"/>
    <mergeCell ref="AL115:AN115"/>
    <mergeCell ref="AO115:AQ115"/>
    <mergeCell ref="AF114:AH114"/>
    <mergeCell ref="AI114:AK114"/>
    <mergeCell ref="AL114:AN114"/>
    <mergeCell ref="AO114:AQ11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5F935-9410-4C83-80B0-099F537B8E56}">
  <dimension ref="A1:U35"/>
  <sheetViews>
    <sheetView showGridLines="0" workbookViewId="0">
      <selection activeCell="O9" sqref="O9"/>
    </sheetView>
  </sheetViews>
  <sheetFormatPr defaultRowHeight="15" x14ac:dyDescent="0.25"/>
  <cols>
    <col min="1" max="1" width="31.85546875" bestFit="1" customWidth="1"/>
    <col min="2" max="6" width="12.85546875" bestFit="1" customWidth="1"/>
    <col min="7" max="7" width="9.7109375" customWidth="1"/>
    <col min="8" max="8" width="26.42578125" bestFit="1" customWidth="1"/>
    <col min="9" max="13" width="10.7109375" bestFit="1" customWidth="1"/>
    <col min="14" max="14" width="18" bestFit="1" customWidth="1"/>
    <col min="16" max="16" width="23" bestFit="1" customWidth="1"/>
    <col min="17" max="21" width="10.7109375" bestFit="1" customWidth="1"/>
  </cols>
  <sheetData>
    <row r="1" spans="1:21" ht="20.25" customHeight="1" x14ac:dyDescent="0.25">
      <c r="A1" s="210" t="s">
        <v>499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</row>
    <row r="2" spans="1:21" ht="20.25" customHeight="1" x14ac:dyDescent="0.25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</row>
    <row r="4" spans="1:21" ht="31.5" customHeight="1" x14ac:dyDescent="0.25"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H4" s="42" t="s">
        <v>500</v>
      </c>
      <c r="I4" s="11" t="s">
        <v>3</v>
      </c>
      <c r="J4" s="11" t="s">
        <v>4</v>
      </c>
      <c r="K4" s="11" t="s">
        <v>5</v>
      </c>
      <c r="L4" s="11" t="s">
        <v>6</v>
      </c>
      <c r="M4" s="11" t="s">
        <v>7</v>
      </c>
      <c r="N4" s="36" t="s">
        <v>495</v>
      </c>
      <c r="P4" s="42" t="s">
        <v>501</v>
      </c>
      <c r="Q4" s="11" t="s">
        <v>3</v>
      </c>
      <c r="R4" s="11" t="s">
        <v>4</v>
      </c>
      <c r="S4" s="11" t="s">
        <v>5</v>
      </c>
      <c r="T4" s="11" t="s">
        <v>6</v>
      </c>
      <c r="U4" s="11" t="s">
        <v>7</v>
      </c>
    </row>
    <row r="5" spans="1:21" ht="20.25" customHeight="1" x14ac:dyDescent="0.25">
      <c r="A5" s="21" t="s">
        <v>502</v>
      </c>
      <c r="B5" s="18">
        <f>Balanço_DR!C27</f>
        <v>295438.45</v>
      </c>
      <c r="C5" s="18">
        <f>Balanço_DR!F27</f>
        <v>38950.42</v>
      </c>
      <c r="D5" s="18">
        <f>Balanço_DR!I27</f>
        <v>37854.93</v>
      </c>
      <c r="E5" s="18">
        <f>Balanço_DR!L27</f>
        <v>34711.58</v>
      </c>
      <c r="F5" s="18">
        <f>Balanço_DR!O27</f>
        <v>71429.78</v>
      </c>
      <c r="H5" s="21" t="str">
        <f>A5</f>
        <v>Existências Finais</v>
      </c>
      <c r="I5" s="16">
        <f t="shared" ref="I5:I14" si="0">IFERROR((B5/C5)-1,"")</f>
        <v>6.5849875303013423</v>
      </c>
      <c r="J5" s="16">
        <f t="shared" ref="J5:J14" si="1">IFERROR((C5/D5)-1,"")</f>
        <v>2.8939163274109836E-2</v>
      </c>
      <c r="K5" s="16">
        <f t="shared" ref="K5:K14" si="2">IFERROR((D5/E5)-1,"")</f>
        <v>9.0556235123840478E-2</v>
      </c>
      <c r="L5" s="16">
        <f t="shared" ref="L5:L14" si="3">IFERROR((E5/F5)-1,"")</f>
        <v>-0.5140461023399483</v>
      </c>
      <c r="M5" s="16">
        <f t="shared" ref="M5:M14" si="4">IFERROR((F5/F5)-1,"")</f>
        <v>0</v>
      </c>
      <c r="N5" s="16">
        <f>IFERROR(((B5/F5)^0.25)-1,"")</f>
        <v>0.42608997164741558</v>
      </c>
      <c r="P5" s="21" t="str">
        <f>A5</f>
        <v>Existências Finais</v>
      </c>
      <c r="Q5" s="37">
        <f>(B5/$F5)*100</f>
        <v>413.60683177240645</v>
      </c>
      <c r="R5" s="37">
        <f>(C5/$F5)*100</f>
        <v>54.52966535806214</v>
      </c>
      <c r="S5" s="37">
        <f>(D5/$F5)*100</f>
        <v>52.996005307590202</v>
      </c>
      <c r="T5" s="37">
        <f>(E5/$F5)*100</f>
        <v>48.595389766005162</v>
      </c>
      <c r="U5" s="37">
        <f>(F5/$F5)*100</f>
        <v>100</v>
      </c>
    </row>
    <row r="6" spans="1:21" ht="20.25" customHeight="1" x14ac:dyDescent="0.25">
      <c r="A6" s="21" t="s">
        <v>503</v>
      </c>
      <c r="B6" s="18">
        <f>Balanço_DR!F27</f>
        <v>38950.42</v>
      </c>
      <c r="C6" s="18">
        <f>Balanço_DR!I27</f>
        <v>37854.93</v>
      </c>
      <c r="D6" s="18">
        <f>Balanço_DR!L27</f>
        <v>34711.58</v>
      </c>
      <c r="E6" s="18">
        <f>Balanço_DR!O27</f>
        <v>71429.78</v>
      </c>
      <c r="F6" s="18">
        <f>Balanço_DR!R27</f>
        <v>0</v>
      </c>
      <c r="H6" s="21" t="str">
        <f>A6</f>
        <v>Existências Iniciais</v>
      </c>
      <c r="I6" s="16">
        <f t="shared" si="0"/>
        <v>2.8939163274109836E-2</v>
      </c>
      <c r="J6" s="16">
        <f t="shared" si="1"/>
        <v>9.0556235123840478E-2</v>
      </c>
      <c r="K6" s="16">
        <f t="shared" si="2"/>
        <v>-0.5140461023399483</v>
      </c>
      <c r="L6" s="16" t="str">
        <f t="shared" si="3"/>
        <v/>
      </c>
      <c r="M6" s="16" t="str">
        <f t="shared" si="4"/>
        <v/>
      </c>
      <c r="N6" s="16" t="str">
        <f t="shared" ref="N6:N14" si="5">IFERROR(((B6/F6)^0.25)-1,"")</f>
        <v/>
      </c>
      <c r="P6" s="21" t="str">
        <f>A7</f>
        <v>CMVMC</v>
      </c>
      <c r="Q6" s="37">
        <f t="shared" ref="Q6:U13" si="6">(B7/$F7)*100</f>
        <v>404.35090079556187</v>
      </c>
      <c r="R6" s="37">
        <f t="shared" si="6"/>
        <v>90.989630360190816</v>
      </c>
      <c r="S6" s="37">
        <f t="shared" si="6"/>
        <v>93.797389532629623</v>
      </c>
      <c r="T6" s="37">
        <f t="shared" si="6"/>
        <v>97.456526948730797</v>
      </c>
      <c r="U6" s="37">
        <f t="shared" si="6"/>
        <v>100</v>
      </c>
    </row>
    <row r="7" spans="1:21" ht="20.25" customHeight="1" x14ac:dyDescent="0.25">
      <c r="A7" s="21" t="s">
        <v>504</v>
      </c>
      <c r="B7" s="18">
        <f>Balanço_DR!C94</f>
        <v>2710165.39</v>
      </c>
      <c r="C7" s="18">
        <f>Balanço_DR!F94</f>
        <v>609858.78</v>
      </c>
      <c r="D7" s="18">
        <f>Balanço_DR!I94</f>
        <v>628677.81000000006</v>
      </c>
      <c r="E7" s="18">
        <f>Balanço_DR!L94</f>
        <v>653203.21</v>
      </c>
      <c r="F7" s="18">
        <f>Balanço_DR!O94</f>
        <v>670250.86</v>
      </c>
      <c r="H7" s="21" t="str">
        <f>A7</f>
        <v>CMVMC</v>
      </c>
      <c r="I7" s="16">
        <f t="shared" si="0"/>
        <v>3.4439228865410447</v>
      </c>
      <c r="J7" s="16">
        <f t="shared" si="1"/>
        <v>-2.9934299732958691E-2</v>
      </c>
      <c r="K7" s="16">
        <f t="shared" si="2"/>
        <v>-3.7546355597364411E-2</v>
      </c>
      <c r="L7" s="16">
        <f t="shared" si="3"/>
        <v>-2.5434730512691961E-2</v>
      </c>
      <c r="M7" s="16">
        <f t="shared" si="4"/>
        <v>0</v>
      </c>
      <c r="N7" s="16">
        <f t="shared" si="5"/>
        <v>0.41804366403791149</v>
      </c>
      <c r="P7" s="21" t="s">
        <v>505</v>
      </c>
      <c r="Q7" s="37">
        <f t="shared" si="6"/>
        <v>399.99067792844107</v>
      </c>
      <c r="R7" s="37">
        <f t="shared" si="6"/>
        <v>82.374304660291514</v>
      </c>
      <c r="S7" s="37">
        <f t="shared" si="6"/>
        <v>85.187764911862899</v>
      </c>
      <c r="T7" s="37">
        <f t="shared" si="6"/>
        <v>83.120008363707569</v>
      </c>
      <c r="U7" s="37">
        <f t="shared" si="6"/>
        <v>100</v>
      </c>
    </row>
    <row r="8" spans="1:21" ht="20.25" customHeight="1" x14ac:dyDescent="0.25">
      <c r="A8" s="21" t="s">
        <v>505</v>
      </c>
      <c r="B8" s="18">
        <f>B5+B7-B6</f>
        <v>2966653.4200000004</v>
      </c>
      <c r="C8" s="18">
        <f>C5+C7-C6</f>
        <v>610954.27</v>
      </c>
      <c r="D8" s="18">
        <f>D5+D7-D6</f>
        <v>631821.16000000015</v>
      </c>
      <c r="E8" s="18">
        <f>E5+E7-E6</f>
        <v>616485.00999999989</v>
      </c>
      <c r="F8" s="18">
        <f>F5+F7-F6</f>
        <v>741680.64000000001</v>
      </c>
      <c r="H8" s="21" t="s">
        <v>505</v>
      </c>
      <c r="I8" s="16">
        <f t="shared" si="0"/>
        <v>3.8557700071398147</v>
      </c>
      <c r="J8" s="16">
        <f t="shared" si="1"/>
        <v>-3.3026576697748E-2</v>
      </c>
      <c r="K8" s="16">
        <f t="shared" si="2"/>
        <v>2.4876760588226299E-2</v>
      </c>
      <c r="L8" s="16">
        <f t="shared" si="3"/>
        <v>-0.16879991636292424</v>
      </c>
      <c r="M8" s="16">
        <f t="shared" si="4"/>
        <v>0</v>
      </c>
      <c r="N8" s="16">
        <f t="shared" si="5"/>
        <v>0.41420532267606669</v>
      </c>
      <c r="P8" s="21" t="s">
        <v>506</v>
      </c>
      <c r="Q8" s="37">
        <f t="shared" si="6"/>
        <v>162.10034034166517</v>
      </c>
      <c r="R8" s="37">
        <f t="shared" si="6"/>
        <v>119.65437483058214</v>
      </c>
      <c r="S8" s="37">
        <f t="shared" si="6"/>
        <v>108.12799923529532</v>
      </c>
      <c r="T8" s="37">
        <f t="shared" si="6"/>
        <v>102.21505523676365</v>
      </c>
      <c r="U8" s="37">
        <f t="shared" si="6"/>
        <v>100</v>
      </c>
    </row>
    <row r="9" spans="1:21" ht="20.25" customHeight="1" x14ac:dyDescent="0.25">
      <c r="A9" s="21" t="s">
        <v>506</v>
      </c>
      <c r="B9" s="18">
        <f>Balanço_DR!C95</f>
        <v>2292750.7799999998</v>
      </c>
      <c r="C9" s="18">
        <f>Balanço_DR!F95</f>
        <v>1692394.11</v>
      </c>
      <c r="D9" s="18">
        <f>Balanço_DR!I95</f>
        <v>1529364.8</v>
      </c>
      <c r="E9" s="18">
        <f>Balanço_DR!L95</f>
        <v>1445731.99</v>
      </c>
      <c r="F9" s="18">
        <f>Balanço_DR!O95</f>
        <v>1414402.2</v>
      </c>
      <c r="H9" s="21" t="s">
        <v>506</v>
      </c>
      <c r="I9" s="16">
        <f t="shared" si="0"/>
        <v>0.35473809938986345</v>
      </c>
      <c r="J9" s="16">
        <f t="shared" si="1"/>
        <v>0.10659936072806175</v>
      </c>
      <c r="K9" s="16">
        <f t="shared" si="2"/>
        <v>5.7848073210305051E-2</v>
      </c>
      <c r="L9" s="16">
        <f t="shared" si="3"/>
        <v>2.2150552367636411E-2</v>
      </c>
      <c r="M9" s="16">
        <f t="shared" si="4"/>
        <v>0</v>
      </c>
      <c r="N9" s="16">
        <f t="shared" si="5"/>
        <v>0.12835558190107221</v>
      </c>
      <c r="P9" s="21" t="s">
        <v>507</v>
      </c>
      <c r="Q9" s="37">
        <f t="shared" si="6"/>
        <v>243.93330823967787</v>
      </c>
      <c r="R9" s="37">
        <f t="shared" si="6"/>
        <v>106.83023570652786</v>
      </c>
      <c r="S9" s="37">
        <f t="shared" si="6"/>
        <v>100.23668478341028</v>
      </c>
      <c r="T9" s="37">
        <f t="shared" si="6"/>
        <v>95.646464121944405</v>
      </c>
      <c r="U9" s="37">
        <f t="shared" si="6"/>
        <v>100</v>
      </c>
    </row>
    <row r="10" spans="1:21" ht="20.25" customHeight="1" x14ac:dyDescent="0.25">
      <c r="A10" s="21" t="s">
        <v>507</v>
      </c>
      <c r="B10" s="18">
        <f>SUM(B8:B9)</f>
        <v>5259404.2</v>
      </c>
      <c r="C10" s="18">
        <f>SUM(C8:C9)</f>
        <v>2303348.38</v>
      </c>
      <c r="D10" s="18">
        <f>SUM(D8:D9)</f>
        <v>2161185.96</v>
      </c>
      <c r="E10" s="18">
        <f>SUM(E8:E9)</f>
        <v>2062217</v>
      </c>
      <c r="F10" s="18">
        <f>SUM(F8:F9)</f>
        <v>2156082.84</v>
      </c>
      <c r="H10" s="21" t="s">
        <v>507</v>
      </c>
      <c r="I10" s="16">
        <f t="shared" si="0"/>
        <v>1.2833733036945114</v>
      </c>
      <c r="J10" s="16">
        <f t="shared" si="1"/>
        <v>6.5779818410443447E-2</v>
      </c>
      <c r="K10" s="16">
        <f t="shared" si="2"/>
        <v>4.7991535323392176E-2</v>
      </c>
      <c r="L10" s="16">
        <f t="shared" si="3"/>
        <v>-4.3535358780555922E-2</v>
      </c>
      <c r="M10" s="16">
        <f t="shared" si="4"/>
        <v>0</v>
      </c>
      <c r="N10" s="16">
        <f t="shared" si="5"/>
        <v>0.24973455000231648</v>
      </c>
      <c r="P10" s="21" t="s">
        <v>508</v>
      </c>
      <c r="Q10" s="37">
        <f t="shared" si="6"/>
        <v>243.93330823967787</v>
      </c>
      <c r="R10" s="37">
        <f t="shared" si="6"/>
        <v>106.83023570652786</v>
      </c>
      <c r="S10" s="37">
        <f t="shared" si="6"/>
        <v>100.23668478341028</v>
      </c>
      <c r="T10" s="37">
        <f t="shared" si="6"/>
        <v>95.646464121944405</v>
      </c>
      <c r="U10" s="37">
        <f t="shared" si="6"/>
        <v>100</v>
      </c>
    </row>
    <row r="11" spans="1:21" ht="20.25" customHeight="1" x14ac:dyDescent="0.25">
      <c r="A11" s="21" t="s">
        <v>508</v>
      </c>
      <c r="B11" s="18">
        <f>B10*(1+$B$16)</f>
        <v>5259404.2</v>
      </c>
      <c r="C11" s="18">
        <f>C10*(1+$B$16)</f>
        <v>2303348.38</v>
      </c>
      <c r="D11" s="18">
        <f>D10*(1+$B$16)</f>
        <v>2161185.96</v>
      </c>
      <c r="E11" s="18">
        <f>E10*(1+$B$16)</f>
        <v>2062217</v>
      </c>
      <c r="F11" s="18">
        <f>F10*(1+$B$16)</f>
        <v>2156082.84</v>
      </c>
      <c r="H11" s="21" t="s">
        <v>508</v>
      </c>
      <c r="I11" s="16">
        <f t="shared" si="0"/>
        <v>1.2833733036945114</v>
      </c>
      <c r="J11" s="16">
        <f t="shared" si="1"/>
        <v>6.5779818410443447E-2</v>
      </c>
      <c r="K11" s="16">
        <f t="shared" si="2"/>
        <v>4.7991535323392176E-2</v>
      </c>
      <c r="L11" s="16">
        <f t="shared" si="3"/>
        <v>-4.3535358780555922E-2</v>
      </c>
      <c r="M11" s="16">
        <f t="shared" si="4"/>
        <v>0</v>
      </c>
      <c r="N11" s="16">
        <f t="shared" si="5"/>
        <v>0.24973455000231648</v>
      </c>
      <c r="P11" s="21" t="s">
        <v>509</v>
      </c>
      <c r="Q11" s="37">
        <f t="shared" si="6"/>
        <v>326.33289941265974</v>
      </c>
      <c r="R11" s="37">
        <f t="shared" si="6"/>
        <v>78.383204737947537</v>
      </c>
      <c r="S11" s="37">
        <f t="shared" si="6"/>
        <v>73.099363145384984</v>
      </c>
      <c r="T11" s="37">
        <f t="shared" si="6"/>
        <v>54.947122700012784</v>
      </c>
      <c r="U11" s="37">
        <f t="shared" si="6"/>
        <v>100</v>
      </c>
    </row>
    <row r="12" spans="1:21" ht="20.25" customHeight="1" x14ac:dyDescent="0.25">
      <c r="A12" s="21" t="s">
        <v>509</v>
      </c>
      <c r="B12" s="18">
        <f>Balanço_DR!C70</f>
        <v>649576.34</v>
      </c>
      <c r="C12" s="18">
        <f>Balanço_DR!F70</f>
        <v>156024.34</v>
      </c>
      <c r="D12" s="18">
        <f>Balanço_DR!I70</f>
        <v>145506.68</v>
      </c>
      <c r="E12" s="18">
        <f>Balanço_DR!L70</f>
        <v>109374.05</v>
      </c>
      <c r="F12" s="18">
        <f>Balanço_DR!O70</f>
        <v>199053.28</v>
      </c>
      <c r="H12" s="21" t="s">
        <v>509</v>
      </c>
      <c r="I12" s="16">
        <f t="shared" si="0"/>
        <v>3.1633013156793357</v>
      </c>
      <c r="J12" s="16">
        <f t="shared" si="1"/>
        <v>7.2283004464124945E-2</v>
      </c>
      <c r="K12" s="16">
        <f t="shared" si="2"/>
        <v>0.33035834368389927</v>
      </c>
      <c r="L12" s="16">
        <f t="shared" si="3"/>
        <v>-0.45052877299987215</v>
      </c>
      <c r="M12" s="16">
        <f t="shared" si="4"/>
        <v>0</v>
      </c>
      <c r="N12" s="16">
        <f t="shared" si="5"/>
        <v>0.34404934915346619</v>
      </c>
      <c r="P12" s="21" t="s">
        <v>510</v>
      </c>
      <c r="Q12" s="37">
        <f t="shared" si="6"/>
        <v>136.36363636363635</v>
      </c>
      <c r="R12" s="37">
        <f t="shared" si="6"/>
        <v>72.727272727272734</v>
      </c>
      <c r="S12" s="37">
        <f t="shared" si="6"/>
        <v>72.727272727272734</v>
      </c>
      <c r="T12" s="37">
        <f t="shared" si="6"/>
        <v>57.575757575757578</v>
      </c>
      <c r="U12" s="37">
        <f t="shared" si="6"/>
        <v>100</v>
      </c>
    </row>
    <row r="13" spans="1:21" ht="20.25" customHeight="1" x14ac:dyDescent="0.25">
      <c r="A13" s="21" t="s">
        <v>510</v>
      </c>
      <c r="B13" s="41">
        <f>_xlfn.FLOOR.MATH((B12/B11)*365)</f>
        <v>45</v>
      </c>
      <c r="C13" s="41">
        <f>_xlfn.FLOOR.MATH((C12/C11)*365)</f>
        <v>24</v>
      </c>
      <c r="D13" s="41">
        <f>_xlfn.FLOOR.MATH((D12/D11)*365)</f>
        <v>24</v>
      </c>
      <c r="E13" s="41">
        <f>_xlfn.FLOOR.MATH((E12/E11)*365)</f>
        <v>19</v>
      </c>
      <c r="F13" s="41">
        <f>_xlfn.FLOOR.MATH((F12/F11)*365)</f>
        <v>33</v>
      </c>
      <c r="H13" s="21" t="s">
        <v>510</v>
      </c>
      <c r="I13" s="16">
        <f t="shared" si="0"/>
        <v>0.875</v>
      </c>
      <c r="J13" s="16">
        <f t="shared" si="1"/>
        <v>0</v>
      </c>
      <c r="K13" s="16">
        <f t="shared" si="2"/>
        <v>0.26315789473684204</v>
      </c>
      <c r="L13" s="16">
        <f t="shared" si="3"/>
        <v>-0.4242424242424242</v>
      </c>
      <c r="M13" s="16">
        <f t="shared" si="4"/>
        <v>0</v>
      </c>
      <c r="N13" s="16">
        <f t="shared" si="5"/>
        <v>8.0624086462209199E-2</v>
      </c>
      <c r="P13" s="21" t="str">
        <f>A14</f>
        <v>PMP (Setor)</v>
      </c>
      <c r="Q13" s="37">
        <f t="shared" si="6"/>
        <v>98.780487804878049</v>
      </c>
      <c r="R13" s="37">
        <f t="shared" si="6"/>
        <v>85.365853658536579</v>
      </c>
      <c r="S13" s="37">
        <f t="shared" si="6"/>
        <v>89.024390243902445</v>
      </c>
      <c r="T13" s="37">
        <f t="shared" si="6"/>
        <v>96.341463414634148</v>
      </c>
      <c r="U13" s="37">
        <f t="shared" si="6"/>
        <v>100</v>
      </c>
    </row>
    <row r="14" spans="1:21" ht="20.25" customHeight="1" x14ac:dyDescent="0.25">
      <c r="A14" s="21" t="s">
        <v>511</v>
      </c>
      <c r="B14" s="41">
        <v>81</v>
      </c>
      <c r="C14" s="41">
        <v>70</v>
      </c>
      <c r="D14" s="41">
        <v>73</v>
      </c>
      <c r="E14" s="41">
        <v>79</v>
      </c>
      <c r="F14" s="41">
        <v>82</v>
      </c>
      <c r="H14" s="21" t="str">
        <f>A14</f>
        <v>PMP (Setor)</v>
      </c>
      <c r="I14" s="16">
        <f t="shared" si="0"/>
        <v>0.15714285714285725</v>
      </c>
      <c r="J14" s="16">
        <f t="shared" si="1"/>
        <v>-4.1095890410958957E-2</v>
      </c>
      <c r="K14" s="16">
        <f t="shared" si="2"/>
        <v>-7.5949367088607556E-2</v>
      </c>
      <c r="L14" s="16">
        <f t="shared" si="3"/>
        <v>-3.6585365853658569E-2</v>
      </c>
      <c r="M14" s="16">
        <f t="shared" si="4"/>
        <v>0</v>
      </c>
      <c r="N14" s="16">
        <f t="shared" si="5"/>
        <v>-3.0628231058794642E-3</v>
      </c>
    </row>
    <row r="15" spans="1:21" ht="20.25" customHeight="1" x14ac:dyDescent="0.25"/>
    <row r="16" spans="1:21" ht="20.25" customHeight="1" x14ac:dyDescent="0.25">
      <c r="A16" s="21" t="s">
        <v>512</v>
      </c>
      <c r="B16" s="14">
        <v>0</v>
      </c>
    </row>
    <row r="17" spans="1:14" ht="20.25" customHeight="1" x14ac:dyDescent="0.25"/>
    <row r="18" spans="1:14" ht="20.25" customHeight="1" x14ac:dyDescent="0.25"/>
    <row r="19" spans="1:14" ht="20.25" customHeight="1" x14ac:dyDescent="0.25">
      <c r="A19" s="210" t="s">
        <v>513</v>
      </c>
      <c r="B19" s="210"/>
      <c r="C19" s="210"/>
      <c r="D19" s="210"/>
      <c r="E19" s="210"/>
      <c r="F19" s="210"/>
      <c r="G19" s="210"/>
      <c r="H19" s="210"/>
      <c r="I19" s="210"/>
      <c r="J19" s="210"/>
      <c r="K19" s="210"/>
      <c r="L19" s="210"/>
      <c r="M19" s="210"/>
      <c r="N19" s="210"/>
    </row>
    <row r="20" spans="1:14" ht="20.25" customHeight="1" x14ac:dyDescent="0.25">
      <c r="A20" s="210"/>
      <c r="B20" s="210"/>
      <c r="C20" s="210"/>
      <c r="D20" s="210"/>
      <c r="E20" s="210"/>
      <c r="F20" s="210"/>
      <c r="G20" s="210"/>
      <c r="H20" s="210"/>
      <c r="I20" s="210"/>
      <c r="J20" s="210"/>
      <c r="K20" s="210"/>
      <c r="L20" s="210"/>
      <c r="M20" s="210"/>
      <c r="N20" s="210"/>
    </row>
    <row r="21" spans="1:14" ht="20.25" customHeight="1" x14ac:dyDescent="0.25"/>
    <row r="22" spans="1:14" ht="31.5" customHeight="1" x14ac:dyDescent="0.25">
      <c r="B22" s="11" t="s">
        <v>3</v>
      </c>
      <c r="C22" s="11" t="s">
        <v>4</v>
      </c>
      <c r="D22" s="11" t="s">
        <v>5</v>
      </c>
      <c r="E22" s="11" t="s">
        <v>6</v>
      </c>
      <c r="F22" s="11" t="s">
        <v>7</v>
      </c>
      <c r="H22" s="42" t="s">
        <v>500</v>
      </c>
      <c r="I22" s="11" t="s">
        <v>3</v>
      </c>
      <c r="J22" s="11" t="s">
        <v>4</v>
      </c>
      <c r="K22" s="11" t="s">
        <v>5</v>
      </c>
      <c r="L22" s="11" t="s">
        <v>6</v>
      </c>
      <c r="M22" s="11" t="s">
        <v>7</v>
      </c>
      <c r="N22" s="36" t="s">
        <v>495</v>
      </c>
    </row>
    <row r="23" spans="1:14" ht="20.25" customHeight="1" x14ac:dyDescent="0.25">
      <c r="A23" s="21" t="s">
        <v>514</v>
      </c>
      <c r="B23" s="41">
        <f>Rácios!C27</f>
        <v>148.32</v>
      </c>
      <c r="C23" s="41">
        <f>Rácios!F27</f>
        <v>100.44</v>
      </c>
      <c r="D23" s="41">
        <f>Rácios!I27</f>
        <v>129.33199999999999</v>
      </c>
      <c r="E23" s="41">
        <f>Rácios!L27</f>
        <v>122.05500000000001</v>
      </c>
      <c r="F23" s="41">
        <f>Rácios!O27</f>
        <v>122.512</v>
      </c>
      <c r="H23" s="21" t="s">
        <v>514</v>
      </c>
      <c r="I23" s="16">
        <f t="shared" ref="I23:K26" si="7">(B23/C23)-1</f>
        <v>0.47670250896057342</v>
      </c>
      <c r="J23" s="16">
        <f t="shared" si="7"/>
        <v>-0.22339405560882064</v>
      </c>
      <c r="K23" s="16">
        <f t="shared" si="7"/>
        <v>5.962066281594347E-2</v>
      </c>
      <c r="L23" s="16">
        <f>(E23/F23)-1</f>
        <v>-3.7302468329633021E-3</v>
      </c>
      <c r="M23" s="16">
        <f>(F23/F23)-1</f>
        <v>0</v>
      </c>
      <c r="N23" s="16">
        <f>((B23/F23)^0.25)-1</f>
        <v>4.8951170131488642E-2</v>
      </c>
    </row>
    <row r="24" spans="1:14" ht="20.25" customHeight="1" x14ac:dyDescent="0.25">
      <c r="A24" s="21" t="s">
        <v>515</v>
      </c>
      <c r="B24" s="41">
        <v>79</v>
      </c>
      <c r="C24" s="41">
        <v>79</v>
      </c>
      <c r="D24" s="41">
        <v>81</v>
      </c>
      <c r="E24" s="41">
        <v>79</v>
      </c>
      <c r="F24" s="41">
        <v>87</v>
      </c>
      <c r="H24" s="21" t="str">
        <f>A24</f>
        <v>PMR (Setor)</v>
      </c>
      <c r="I24" s="16">
        <f t="shared" si="7"/>
        <v>0</v>
      </c>
      <c r="J24" s="16">
        <f t="shared" si="7"/>
        <v>-2.4691358024691357E-2</v>
      </c>
      <c r="K24" s="16">
        <f t="shared" si="7"/>
        <v>2.5316455696202445E-2</v>
      </c>
      <c r="L24" s="16">
        <f>(E24/F24)-1</f>
        <v>-9.1954022988505746E-2</v>
      </c>
      <c r="M24" s="16">
        <f>(F24/F24)-1</f>
        <v>0</v>
      </c>
      <c r="N24" s="16">
        <f>((B24/F24)^0.25)-1</f>
        <v>-2.3826621604576159E-2</v>
      </c>
    </row>
    <row r="25" spans="1:14" ht="20.25" customHeight="1" x14ac:dyDescent="0.25">
      <c r="A25" s="21" t="s">
        <v>425</v>
      </c>
      <c r="B25" s="18">
        <f>Balanço_DR!C29</f>
        <v>3978681.75</v>
      </c>
      <c r="C25" s="18">
        <f>Balanço_DR!F29</f>
        <v>1666293.81</v>
      </c>
      <c r="D25" s="18">
        <f>Balanço_DR!I29</f>
        <v>2024123.38</v>
      </c>
      <c r="E25" s="18">
        <f>Balanço_DR!L29</f>
        <v>1860289.77</v>
      </c>
      <c r="F25" s="18">
        <f>Balanço_DR!O29</f>
        <v>1856266.68</v>
      </c>
      <c r="H25" s="21" t="s">
        <v>516</v>
      </c>
      <c r="I25" s="16">
        <f t="shared" si="7"/>
        <v>1.387743221587074</v>
      </c>
      <c r="J25" s="16">
        <f t="shared" si="7"/>
        <v>-0.17678248941524499</v>
      </c>
      <c r="K25" s="16">
        <f t="shared" si="7"/>
        <v>8.8068865744501679E-2</v>
      </c>
      <c r="L25" s="16">
        <f>(E25/F25)-1</f>
        <v>2.1673017370542613E-3</v>
      </c>
      <c r="M25" s="16">
        <f>(F25/F25)-1</f>
        <v>0</v>
      </c>
    </row>
    <row r="26" spans="1:14" ht="20.25" customHeight="1" x14ac:dyDescent="0.25">
      <c r="A26" s="21" t="s">
        <v>517</v>
      </c>
      <c r="B26" s="18">
        <f>Balanço_DR!C89</f>
        <v>9791110.8900000006</v>
      </c>
      <c r="C26" s="18">
        <f>Balanço_DR!F89</f>
        <v>6055313.9699999997</v>
      </c>
      <c r="D26" s="18">
        <f>Balanço_DR!I89</f>
        <v>5712463.54</v>
      </c>
      <c r="E26" s="18">
        <f>Balanço_DR!L89</f>
        <v>5563102.9400000004</v>
      </c>
      <c r="F26" s="18">
        <f>Balanço_DR!O89</f>
        <v>5530345.9199999999</v>
      </c>
      <c r="H26" s="21" t="s">
        <v>517</v>
      </c>
      <c r="I26" s="16">
        <f t="shared" si="7"/>
        <v>0.61694520523764029</v>
      </c>
      <c r="J26" s="16">
        <f t="shared" si="7"/>
        <v>6.0017963808308039E-2</v>
      </c>
      <c r="K26" s="16">
        <f t="shared" si="7"/>
        <v>2.6848433618954282E-2</v>
      </c>
      <c r="L26" s="16">
        <f>(E26/F26)-1</f>
        <v>5.9231412417688478E-3</v>
      </c>
      <c r="M26" s="16">
        <f>(F26/F26)-1</f>
        <v>0</v>
      </c>
    </row>
    <row r="27" spans="1:14" ht="20.25" customHeight="1" x14ac:dyDescent="0.25">
      <c r="A27" s="91" t="s">
        <v>518</v>
      </c>
      <c r="B27" s="41">
        <f>_xlfn.FLOOR.MATH((B25/B26)*365)</f>
        <v>148</v>
      </c>
      <c r="C27" s="41">
        <f t="shared" ref="C27:F27" si="8">_xlfn.FLOOR.MATH((C25/C26)*365)</f>
        <v>100</v>
      </c>
      <c r="D27" s="41">
        <f t="shared" si="8"/>
        <v>129</v>
      </c>
      <c r="E27" s="41">
        <f t="shared" si="8"/>
        <v>122</v>
      </c>
      <c r="F27" s="41">
        <f t="shared" si="8"/>
        <v>122</v>
      </c>
    </row>
    <row r="28" spans="1:14" ht="20.25" customHeight="1" x14ac:dyDescent="0.25"/>
    <row r="29" spans="1:14" ht="20.25" customHeight="1" x14ac:dyDescent="0.25">
      <c r="H29" s="42" t="s">
        <v>501</v>
      </c>
      <c r="I29" s="11" t="s">
        <v>3</v>
      </c>
      <c r="J29" s="11" t="s">
        <v>4</v>
      </c>
      <c r="K29" s="11" t="s">
        <v>5</v>
      </c>
      <c r="L29" s="11" t="s">
        <v>6</v>
      </c>
      <c r="M29" s="11" t="s">
        <v>7</v>
      </c>
    </row>
    <row r="30" spans="1:14" ht="20.25" customHeight="1" x14ac:dyDescent="0.25">
      <c r="H30" s="21" t="s">
        <v>514</v>
      </c>
      <c r="I30" s="40">
        <f>(B23/$F$23)*100</f>
        <v>121.06569152409558</v>
      </c>
      <c r="J30" s="40">
        <f>(C23/$F$23)*100</f>
        <v>81.983805668016203</v>
      </c>
      <c r="K30" s="40">
        <f>(D23/$F$23)*100</f>
        <v>105.56680161943319</v>
      </c>
      <c r="L30" s="40">
        <f>(E23/$F$23)*100</f>
        <v>99.626975316703664</v>
      </c>
      <c r="M30" s="40">
        <f>(F23/$F$23)*100</f>
        <v>100</v>
      </c>
    </row>
    <row r="31" spans="1:14" ht="20.25" customHeight="1" x14ac:dyDescent="0.25">
      <c r="H31" s="21" t="str">
        <f>A24</f>
        <v>PMR (Setor)</v>
      </c>
      <c r="I31" s="40">
        <f>(B24/$F24)*100</f>
        <v>90.804597701149419</v>
      </c>
      <c r="J31" s="40">
        <f>(C24/$F24)*100</f>
        <v>90.804597701149419</v>
      </c>
      <c r="K31" s="40">
        <f>(D24/$F24)*100</f>
        <v>93.103448275862064</v>
      </c>
      <c r="L31" s="40">
        <f>(E24/$F24)*100</f>
        <v>90.804597701149419</v>
      </c>
      <c r="M31" s="40">
        <f>(F24/$F24)*100</f>
        <v>100</v>
      </c>
    </row>
    <row r="32" spans="1:14" ht="20.25" customHeight="1" x14ac:dyDescent="0.25"/>
    <row r="33" ht="20.25" customHeight="1" x14ac:dyDescent="0.25"/>
    <row r="34" ht="20.25" customHeight="1" x14ac:dyDescent="0.25"/>
    <row r="35" ht="20.25" customHeight="1" x14ac:dyDescent="0.25"/>
  </sheetData>
  <mergeCells count="2">
    <mergeCell ref="A19:N20"/>
    <mergeCell ref="A1:N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E1F47-ECF9-4088-A099-0EB2C0B856CF}">
  <dimension ref="B2:P27"/>
  <sheetViews>
    <sheetView showGridLines="0" workbookViewId="0">
      <selection activeCell="C11" sqref="C11"/>
    </sheetView>
  </sheetViews>
  <sheetFormatPr defaultRowHeight="15" x14ac:dyDescent="0.25"/>
  <cols>
    <col min="2" max="2" width="32.85546875" bestFit="1" customWidth="1"/>
    <col min="3" max="5" width="12.85546875" bestFit="1" customWidth="1"/>
    <col min="6" max="6" width="12.85546875" hidden="1" customWidth="1"/>
    <col min="7" max="7" width="10.7109375" bestFit="1" customWidth="1"/>
    <col min="9" max="9" width="34.28515625" bestFit="1" customWidth="1"/>
    <col min="10" max="12" width="10.7109375" bestFit="1" customWidth="1"/>
  </cols>
  <sheetData>
    <row r="2" spans="2:16" x14ac:dyDescent="0.25">
      <c r="B2" s="87"/>
      <c r="C2" s="11" t="s">
        <v>3</v>
      </c>
      <c r="D2" s="11" t="s">
        <v>4</v>
      </c>
      <c r="E2" s="11" t="s">
        <v>5</v>
      </c>
      <c r="F2" s="11" t="s">
        <v>6</v>
      </c>
      <c r="J2" s="11" t="s">
        <v>3</v>
      </c>
      <c r="K2" s="11" t="s">
        <v>4</v>
      </c>
      <c r="L2" s="11" t="s">
        <v>5</v>
      </c>
    </row>
    <row r="3" spans="2:16" x14ac:dyDescent="0.25">
      <c r="B3" s="11" t="s">
        <v>519</v>
      </c>
      <c r="C3" s="89">
        <f>Balanço_DR!C59</f>
        <v>3792835.55</v>
      </c>
      <c r="D3" s="89">
        <f>Balanço_DR!F59</f>
        <v>1675248.32</v>
      </c>
      <c r="E3" s="89">
        <f>Balanço_DR!I59</f>
        <v>630256.13</v>
      </c>
      <c r="F3" s="89">
        <f>Balanço_DR!L59</f>
        <v>1361690.22</v>
      </c>
      <c r="G3" s="88"/>
      <c r="I3" s="11" t="s">
        <v>519</v>
      </c>
      <c r="J3" s="90">
        <f>IFERROR((C3/D3)-1,"")</f>
        <v>1.2640437866548644</v>
      </c>
      <c r="K3" s="90">
        <f t="shared" ref="K3:L18" si="0">IFERROR((D3/E3)-1,"")</f>
        <v>1.6580436750373218</v>
      </c>
      <c r="L3" s="90">
        <f t="shared" si="0"/>
        <v>-0.53715160706669396</v>
      </c>
    </row>
    <row r="4" spans="2:16" x14ac:dyDescent="0.25">
      <c r="B4" s="11" t="s">
        <v>520</v>
      </c>
      <c r="C4" s="89">
        <f>Balanço_DR!C67</f>
        <v>0</v>
      </c>
      <c r="D4" s="89">
        <f>Balanço_DR!F67</f>
        <v>0</v>
      </c>
      <c r="E4" s="89">
        <f>Balanço_DR!I67</f>
        <v>1218750</v>
      </c>
      <c r="F4" s="89">
        <f>Balanço_DR!L67</f>
        <v>0</v>
      </c>
      <c r="G4" s="88"/>
      <c r="I4" s="11" t="s">
        <v>520</v>
      </c>
      <c r="J4" s="90" t="str">
        <f t="shared" ref="J4:J24" si="1">IFERROR((C4/D4)-1,"")</f>
        <v/>
      </c>
      <c r="K4" s="90">
        <f t="shared" si="0"/>
        <v>-1</v>
      </c>
      <c r="L4" s="90" t="str">
        <f t="shared" si="0"/>
        <v/>
      </c>
    </row>
    <row r="5" spans="2:16" x14ac:dyDescent="0.25">
      <c r="B5" s="11" t="s">
        <v>521</v>
      </c>
      <c r="C5" s="89">
        <f>SUM(C3:C4)</f>
        <v>3792835.55</v>
      </c>
      <c r="D5" s="89">
        <f>SUM(D3:D4)</f>
        <v>1675248.32</v>
      </c>
      <c r="E5" s="89">
        <f>SUM(E3:E4)</f>
        <v>1849006.13</v>
      </c>
      <c r="F5" s="89">
        <f>SUM(F3:F4)</f>
        <v>1361690.22</v>
      </c>
      <c r="G5" s="88"/>
      <c r="I5" s="11" t="s">
        <v>521</v>
      </c>
      <c r="J5" s="90">
        <f t="shared" si="1"/>
        <v>1.2640437866548644</v>
      </c>
      <c r="K5" s="90">
        <f t="shared" si="0"/>
        <v>-9.3973625712100661E-2</v>
      </c>
      <c r="L5" s="90">
        <f t="shared" si="0"/>
        <v>0.35787575091785562</v>
      </c>
    </row>
    <row r="6" spans="2:16" x14ac:dyDescent="0.25">
      <c r="B6" s="15" t="s">
        <v>522</v>
      </c>
      <c r="C6" s="89">
        <f>Balanço_DR!C24</f>
        <v>1171997.69</v>
      </c>
      <c r="D6" s="89">
        <f>Balanço_DR!F24</f>
        <v>658736.56000000006</v>
      </c>
      <c r="E6" s="89">
        <f>Balanço_DR!I24</f>
        <v>558187.29</v>
      </c>
      <c r="F6" s="89">
        <f>Balanço_DR!L24</f>
        <v>526434.45900000003</v>
      </c>
      <c r="G6" s="88"/>
      <c r="I6" s="15" t="s">
        <v>522</v>
      </c>
      <c r="J6" s="90">
        <f t="shared" si="1"/>
        <v>0.77915992699722003</v>
      </c>
      <c r="K6" s="90">
        <f t="shared" si="0"/>
        <v>0.18013536280985543</v>
      </c>
      <c r="L6" s="90">
        <f t="shared" si="0"/>
        <v>6.031677914913991E-2</v>
      </c>
    </row>
    <row r="7" spans="2:16" x14ac:dyDescent="0.25">
      <c r="B7" s="27" t="s">
        <v>393</v>
      </c>
      <c r="C7" s="89">
        <f>C5-C6</f>
        <v>2620837.86</v>
      </c>
      <c r="D7" s="89">
        <f>D5-D6</f>
        <v>1016511.76</v>
      </c>
      <c r="E7" s="89">
        <f>E5-E6</f>
        <v>1290818.8399999999</v>
      </c>
      <c r="F7" s="89">
        <f>F5-F6</f>
        <v>835255.76099999994</v>
      </c>
      <c r="G7" s="88"/>
      <c r="I7" s="27" t="s">
        <v>393</v>
      </c>
      <c r="J7" s="90">
        <f t="shared" si="1"/>
        <v>1.5782661481456937</v>
      </c>
      <c r="K7" s="90">
        <f t="shared" si="0"/>
        <v>-0.21250625688109714</v>
      </c>
      <c r="L7" s="90">
        <f t="shared" si="0"/>
        <v>0.54541746405266633</v>
      </c>
    </row>
    <row r="8" spans="2:16" x14ac:dyDescent="0.25">
      <c r="N8" s="211" t="s">
        <v>523</v>
      </c>
      <c r="O8" s="212"/>
      <c r="P8" s="213"/>
    </row>
    <row r="9" spans="2:16" x14ac:dyDescent="0.25">
      <c r="B9" s="11" t="s">
        <v>427</v>
      </c>
      <c r="C9" s="89">
        <f>Balanço_DR!C27</f>
        <v>295438.45</v>
      </c>
      <c r="D9" s="89">
        <f>Balanço_DR!F27</f>
        <v>38950.42</v>
      </c>
      <c r="E9" s="89">
        <f>Balanço_DR!I27</f>
        <v>37854.93</v>
      </c>
      <c r="F9" s="89">
        <f>Balanço_DR!L27</f>
        <v>34711.58</v>
      </c>
      <c r="G9" s="88"/>
      <c r="I9" s="11" t="s">
        <v>427</v>
      </c>
      <c r="J9" s="90">
        <f t="shared" si="1"/>
        <v>6.5849875303013423</v>
      </c>
      <c r="K9" s="90">
        <f t="shared" si="0"/>
        <v>2.8939163274109836E-2</v>
      </c>
      <c r="L9" s="90">
        <f t="shared" si="0"/>
        <v>9.0556235123840478E-2</v>
      </c>
      <c r="N9" s="90">
        <f t="shared" ref="N9:O14" si="2">IFERROR(C9/C$15,"")</f>
        <v>6.2468909956501624E-2</v>
      </c>
      <c r="O9" s="90">
        <f t="shared" si="2"/>
        <v>2.0791522206512827E-2</v>
      </c>
      <c r="P9" s="90">
        <f>IFERROR(E9/E$15,"")</f>
        <v>1.6596859036317461E-2</v>
      </c>
    </row>
    <row r="10" spans="2:16" x14ac:dyDescent="0.25">
      <c r="B10" s="11" t="s">
        <v>425</v>
      </c>
      <c r="C10" s="89">
        <f>Balanço_DR!C29</f>
        <v>3978681.75</v>
      </c>
      <c r="D10" s="89">
        <f>Balanço_DR!F29</f>
        <v>1666293.81</v>
      </c>
      <c r="E10" s="89">
        <f>Balanço_DR!I29</f>
        <v>2024123.38</v>
      </c>
      <c r="F10" s="89">
        <f>Balanço_DR!L29</f>
        <v>1860289.77</v>
      </c>
      <c r="G10" s="88"/>
      <c r="I10" s="11" t="s">
        <v>425</v>
      </c>
      <c r="J10" s="90">
        <f t="shared" si="1"/>
        <v>1.387743221587074</v>
      </c>
      <c r="K10" s="90">
        <f t="shared" si="0"/>
        <v>-0.17678248941524499</v>
      </c>
      <c r="L10" s="90">
        <f t="shared" si="0"/>
        <v>8.8068865744501679E-2</v>
      </c>
      <c r="N10" s="90">
        <f t="shared" si="2"/>
        <v>0.8412713781375657</v>
      </c>
      <c r="O10" s="90">
        <f t="shared" si="2"/>
        <v>0.88945856689580927</v>
      </c>
      <c r="P10" s="90">
        <f t="shared" ref="P10:P14" si="3">IFERROR(E10/E$15,"")</f>
        <v>0.88744294098481868</v>
      </c>
    </row>
    <row r="11" spans="2:16" x14ac:dyDescent="0.25">
      <c r="B11" s="11" t="s">
        <v>524</v>
      </c>
      <c r="C11" s="89">
        <f>Balanço_DR!C30</f>
        <v>0</v>
      </c>
      <c r="D11" s="89">
        <f>Balanço_DR!F30</f>
        <v>0</v>
      </c>
      <c r="E11" s="89">
        <f>Balanço_DR!I30</f>
        <v>0</v>
      </c>
      <c r="F11" s="89">
        <f>Balanço_DR!L30</f>
        <v>0</v>
      </c>
      <c r="G11" s="88"/>
      <c r="I11" s="11" t="s">
        <v>524</v>
      </c>
      <c r="J11" s="90" t="str">
        <f t="shared" si="1"/>
        <v/>
      </c>
      <c r="K11" s="90" t="str">
        <f t="shared" si="0"/>
        <v/>
      </c>
      <c r="L11" s="90" t="str">
        <f t="shared" si="0"/>
        <v/>
      </c>
      <c r="N11" s="90">
        <f t="shared" si="2"/>
        <v>0</v>
      </c>
      <c r="O11" s="90">
        <f t="shared" si="2"/>
        <v>0</v>
      </c>
      <c r="P11" s="90">
        <f t="shared" si="3"/>
        <v>0</v>
      </c>
    </row>
    <row r="12" spans="2:16" x14ac:dyDescent="0.25">
      <c r="B12" s="11" t="s">
        <v>525</v>
      </c>
      <c r="C12" s="89">
        <f>Balanço_DR!C31</f>
        <v>232258.25</v>
      </c>
      <c r="D12" s="89">
        <f>Balanço_DR!F31</f>
        <v>0</v>
      </c>
      <c r="E12" s="89">
        <f>Balanço_DR!I31</f>
        <v>0</v>
      </c>
      <c r="F12" s="89">
        <f>Balanço_DR!L31</f>
        <v>0</v>
      </c>
      <c r="G12" s="88"/>
      <c r="I12" s="11" t="s">
        <v>525</v>
      </c>
      <c r="J12" s="90" t="str">
        <f t="shared" si="1"/>
        <v/>
      </c>
      <c r="K12" s="90" t="str">
        <f t="shared" si="0"/>
        <v/>
      </c>
      <c r="L12" s="90" t="str">
        <f t="shared" si="0"/>
        <v/>
      </c>
      <c r="N12" s="90">
        <f t="shared" si="2"/>
        <v>4.9109788200908319E-2</v>
      </c>
      <c r="O12" s="90">
        <f t="shared" si="2"/>
        <v>0</v>
      </c>
      <c r="P12" s="90">
        <f t="shared" si="3"/>
        <v>0</v>
      </c>
    </row>
    <row r="13" spans="2:16" x14ac:dyDescent="0.25">
      <c r="B13" s="11" t="s">
        <v>526</v>
      </c>
      <c r="C13" s="89">
        <f>Balanço_DR!C33</f>
        <v>130913.19</v>
      </c>
      <c r="D13" s="89">
        <f>Balanço_DR!F33</f>
        <v>137839.04000000001</v>
      </c>
      <c r="E13" s="89">
        <f>Balanço_DR!I33</f>
        <v>174813.31</v>
      </c>
      <c r="F13" s="89">
        <f>Balanço_DR!L33</f>
        <v>159701.74</v>
      </c>
      <c r="G13" s="88"/>
      <c r="I13" s="11" t="s">
        <v>526</v>
      </c>
      <c r="J13" s="90">
        <f t="shared" si="1"/>
        <v>-5.0245924521819085E-2</v>
      </c>
      <c r="K13" s="90">
        <f t="shared" si="0"/>
        <v>-0.21150717871539637</v>
      </c>
      <c r="L13" s="90">
        <f t="shared" si="0"/>
        <v>9.4623702910187513E-2</v>
      </c>
      <c r="N13" s="90">
        <f t="shared" si="2"/>
        <v>2.7680907066187185E-2</v>
      </c>
      <c r="O13" s="90">
        <f t="shared" si="2"/>
        <v>7.3577729356561747E-2</v>
      </c>
      <c r="P13" s="90">
        <f t="shared" si="3"/>
        <v>7.6643963249755462E-2</v>
      </c>
    </row>
    <row r="14" spans="2:16" x14ac:dyDescent="0.25">
      <c r="B14" s="11" t="s">
        <v>527</v>
      </c>
      <c r="C14" s="89">
        <f>Balanço_DR!C34</f>
        <v>92076.14</v>
      </c>
      <c r="D14" s="89">
        <f>Balanço_DR!F34</f>
        <v>30296.639999999999</v>
      </c>
      <c r="E14" s="89">
        <f>Balanço_DR!I34</f>
        <v>44057.42</v>
      </c>
      <c r="F14" s="89">
        <f>Balanço_DR!L34</f>
        <v>32916.92</v>
      </c>
      <c r="G14" s="88"/>
      <c r="I14" s="11" t="s">
        <v>527</v>
      </c>
      <c r="J14" s="90">
        <f t="shared" si="1"/>
        <v>2.0391535166936006</v>
      </c>
      <c r="K14" s="90">
        <f t="shared" si="0"/>
        <v>-0.31233739969340013</v>
      </c>
      <c r="L14" s="90">
        <f t="shared" si="0"/>
        <v>0.33844296489464987</v>
      </c>
      <c r="N14" s="90">
        <f t="shared" si="2"/>
        <v>1.9469016638837083E-2</v>
      </c>
      <c r="O14" s="90">
        <f t="shared" si="2"/>
        <v>1.6172181541116239E-2</v>
      </c>
      <c r="P14" s="90">
        <f t="shared" si="3"/>
        <v>1.9316236729108562E-2</v>
      </c>
    </row>
    <row r="15" spans="2:16" x14ac:dyDescent="0.25">
      <c r="B15" s="27" t="s">
        <v>528</v>
      </c>
      <c r="C15" s="89">
        <f>SUM(C9:C14)</f>
        <v>4729367.78</v>
      </c>
      <c r="D15" s="89">
        <f>SUM(D9:D14)</f>
        <v>1873379.91</v>
      </c>
      <c r="E15" s="89">
        <f>SUM(E9:E14)</f>
        <v>2280849.0399999996</v>
      </c>
      <c r="F15" s="89">
        <f>SUM(F9:F14)</f>
        <v>2087620.01</v>
      </c>
      <c r="G15" s="88"/>
      <c r="I15" s="27" t="s">
        <v>528</v>
      </c>
      <c r="J15" s="90">
        <f t="shared" si="1"/>
        <v>1.5245107811581051</v>
      </c>
      <c r="K15" s="90">
        <f t="shared" si="0"/>
        <v>-0.17864800469214737</v>
      </c>
      <c r="L15" s="90">
        <f t="shared" si="0"/>
        <v>9.2559483562336453E-2</v>
      </c>
    </row>
    <row r="17" spans="2:16" x14ac:dyDescent="0.25">
      <c r="B17" s="11" t="s">
        <v>509</v>
      </c>
      <c r="C17" s="89">
        <f>Balanço_DR!C70</f>
        <v>649576.34</v>
      </c>
      <c r="D17" s="89">
        <f>Balanço_DR!F70</f>
        <v>156024.34</v>
      </c>
      <c r="E17" s="89">
        <f>Balanço_DR!I70</f>
        <v>145506.68</v>
      </c>
      <c r="F17" s="89">
        <f>Balanço_DR!L70</f>
        <v>109374.05</v>
      </c>
      <c r="G17" s="88"/>
      <c r="I17" s="11" t="s">
        <v>509</v>
      </c>
      <c r="J17" s="90">
        <f t="shared" si="1"/>
        <v>3.1633013156793357</v>
      </c>
      <c r="K17" s="90">
        <f t="shared" si="0"/>
        <v>7.2283004464124945E-2</v>
      </c>
      <c r="L17" s="90">
        <f t="shared" si="0"/>
        <v>0.33035834368389927</v>
      </c>
      <c r="N17" s="90">
        <f>IFERROR(C17/C$22,"")</f>
        <v>0.42102505640797255</v>
      </c>
      <c r="O17" s="90">
        <f t="shared" ref="O17:P21" si="4">IFERROR(D17/D$22,"")</f>
        <v>0.20404163296036767</v>
      </c>
      <c r="P17" s="90">
        <f t="shared" si="4"/>
        <v>0.19704703566298234</v>
      </c>
    </row>
    <row r="18" spans="2:16" x14ac:dyDescent="0.25">
      <c r="B18" s="11" t="s">
        <v>529</v>
      </c>
      <c r="C18" s="89">
        <f>Balanço_DR!C71</f>
        <v>0</v>
      </c>
      <c r="D18" s="89">
        <f>Balanço_DR!F71</f>
        <v>0</v>
      </c>
      <c r="E18" s="89">
        <f>Balanço_DR!I71</f>
        <v>0</v>
      </c>
      <c r="F18" s="89">
        <f>Balanço_DR!L71</f>
        <v>0</v>
      </c>
      <c r="G18" s="88"/>
      <c r="I18" s="11" t="s">
        <v>529</v>
      </c>
      <c r="J18" s="90" t="str">
        <f t="shared" si="1"/>
        <v/>
      </c>
      <c r="K18" s="90" t="str">
        <f t="shared" si="0"/>
        <v/>
      </c>
      <c r="L18" s="90" t="str">
        <f t="shared" si="0"/>
        <v/>
      </c>
      <c r="N18" s="90">
        <f t="shared" ref="N18:N21" si="5">IFERROR(C18/C$22,"")</f>
        <v>0</v>
      </c>
      <c r="O18" s="90">
        <f t="shared" si="4"/>
        <v>0</v>
      </c>
      <c r="P18" s="90">
        <f t="shared" si="4"/>
        <v>0</v>
      </c>
    </row>
    <row r="19" spans="2:16" x14ac:dyDescent="0.25">
      <c r="B19" s="11" t="s">
        <v>525</v>
      </c>
      <c r="C19" s="89">
        <f>Balanço_DR!C72</f>
        <v>370278.69</v>
      </c>
      <c r="D19" s="89">
        <f>Balanço_DR!F72</f>
        <v>171766.97</v>
      </c>
      <c r="E19" s="89">
        <f>Balanço_DR!I72</f>
        <v>129469.46</v>
      </c>
      <c r="F19" s="89">
        <f>Balanço_DR!L72</f>
        <v>484045.64</v>
      </c>
      <c r="G19" s="88"/>
      <c r="I19" s="11" t="s">
        <v>525</v>
      </c>
      <c r="J19" s="90">
        <f t="shared" si="1"/>
        <v>1.1557036838921944</v>
      </c>
      <c r="K19" s="90">
        <f t="shared" ref="K19:K24" si="6">IFERROR((D19/E19)-1,"")</f>
        <v>0.3266987442443956</v>
      </c>
      <c r="L19" s="90">
        <f t="shared" ref="L19:L24" si="7">IFERROR((E19/F19)-1,"")</f>
        <v>-0.73252633780566634</v>
      </c>
      <c r="N19" s="90">
        <f t="shared" si="5"/>
        <v>0.23999735942340539</v>
      </c>
      <c r="O19" s="90">
        <f t="shared" si="4"/>
        <v>0.22462913829633557</v>
      </c>
      <c r="P19" s="90">
        <f t="shared" si="4"/>
        <v>0.17532922407333509</v>
      </c>
    </row>
    <row r="20" spans="2:16" x14ac:dyDescent="0.25">
      <c r="B20" s="11" t="s">
        <v>530</v>
      </c>
      <c r="C20" s="89">
        <f>Balanço_DR!C75</f>
        <v>519829.8</v>
      </c>
      <c r="D20" s="89">
        <f>Balanço_DR!F75</f>
        <v>436533.07</v>
      </c>
      <c r="E20" s="89">
        <f>Balanço_DR!I75</f>
        <v>459963.32</v>
      </c>
      <c r="F20" s="89">
        <f>Balanço_DR!L75</f>
        <v>419095.11</v>
      </c>
      <c r="G20" s="88"/>
      <c r="I20" s="11" t="s">
        <v>530</v>
      </c>
      <c r="J20" s="90">
        <f t="shared" si="1"/>
        <v>0.19081424919307932</v>
      </c>
      <c r="K20" s="90">
        <f t="shared" si="6"/>
        <v>-5.0939387949456516E-2</v>
      </c>
      <c r="L20" s="90">
        <f t="shared" si="7"/>
        <v>9.7515358745178471E-2</v>
      </c>
      <c r="N20" s="90">
        <f t="shared" si="5"/>
        <v>0.33692940673846755</v>
      </c>
      <c r="O20" s="90">
        <f t="shared" si="4"/>
        <v>0.57087836708043427</v>
      </c>
      <c r="P20" s="90">
        <f t="shared" si="4"/>
        <v>0.62288830120860272</v>
      </c>
    </row>
    <row r="21" spans="2:16" x14ac:dyDescent="0.25">
      <c r="B21" s="11" t="s">
        <v>531</v>
      </c>
      <c r="C21" s="89">
        <f>Balanço_DR!C76</f>
        <v>3160.02</v>
      </c>
      <c r="D21" s="89">
        <f>Balanço_DR!F76</f>
        <v>344.76</v>
      </c>
      <c r="E21" s="89">
        <f>Balanço_DR!I76</f>
        <v>3496.82</v>
      </c>
      <c r="F21" s="89">
        <f>Balanço_DR!L76</f>
        <v>1873.82</v>
      </c>
      <c r="G21" s="88"/>
      <c r="I21" s="11" t="s">
        <v>531</v>
      </c>
      <c r="J21" s="90">
        <f t="shared" si="1"/>
        <v>8.1658545074834663</v>
      </c>
      <c r="K21" s="90">
        <f t="shared" si="6"/>
        <v>-0.90140756458725357</v>
      </c>
      <c r="L21" s="90">
        <f t="shared" si="7"/>
        <v>0.86614509397914441</v>
      </c>
      <c r="N21" s="90">
        <f t="shared" si="5"/>
        <v>2.0481774301544316E-3</v>
      </c>
      <c r="O21" s="90">
        <f t="shared" si="4"/>
        <v>4.5086166286245052E-4</v>
      </c>
      <c r="P21" s="90">
        <f t="shared" si="4"/>
        <v>4.7354390550800136E-3</v>
      </c>
    </row>
    <row r="22" spans="2:16" x14ac:dyDescent="0.25">
      <c r="B22" s="27" t="s">
        <v>532</v>
      </c>
      <c r="C22" s="89">
        <f>SUM(C17:C21)</f>
        <v>1542844.85</v>
      </c>
      <c r="D22" s="89">
        <f>SUM(D17:D21)</f>
        <v>764669.14</v>
      </c>
      <c r="E22" s="89">
        <f>SUM(E17:E21)</f>
        <v>738436.27999999991</v>
      </c>
      <c r="F22" s="89">
        <f>SUM(F17:F21)</f>
        <v>1014388.62</v>
      </c>
      <c r="G22" s="88"/>
      <c r="I22" s="27" t="s">
        <v>532</v>
      </c>
      <c r="J22" s="90">
        <f t="shared" si="1"/>
        <v>1.0176632863724566</v>
      </c>
      <c r="K22" s="90">
        <f t="shared" si="6"/>
        <v>3.5524879682238941E-2</v>
      </c>
      <c r="L22" s="90">
        <f t="shared" si="7"/>
        <v>-0.27203808733579848</v>
      </c>
    </row>
    <row r="24" spans="2:16" x14ac:dyDescent="0.25">
      <c r="B24" s="27" t="s">
        <v>533</v>
      </c>
      <c r="C24" s="89">
        <f>C15-C22</f>
        <v>3186522.93</v>
      </c>
      <c r="D24" s="89">
        <f>D15-D22</f>
        <v>1108710.77</v>
      </c>
      <c r="E24" s="89">
        <f>E15-E22</f>
        <v>1542412.7599999998</v>
      </c>
      <c r="F24" s="89">
        <f>F15-F22</f>
        <v>1073231.3900000001</v>
      </c>
      <c r="G24" s="88"/>
      <c r="I24" s="27" t="s">
        <v>533</v>
      </c>
      <c r="J24" s="90">
        <f t="shared" si="1"/>
        <v>1.8740795311296563</v>
      </c>
      <c r="K24" s="90">
        <f t="shared" si="6"/>
        <v>-0.28118412998606146</v>
      </c>
      <c r="L24" s="90">
        <f t="shared" si="7"/>
        <v>0.43716702136339824</v>
      </c>
    </row>
    <row r="26" spans="2:16" x14ac:dyDescent="0.25">
      <c r="B26" s="27" t="s">
        <v>534</v>
      </c>
      <c r="C26" s="89">
        <f>C7-C24</f>
        <v>-565685.0700000003</v>
      </c>
      <c r="D26" s="89">
        <f>D7-D24</f>
        <v>-92199.010000000009</v>
      </c>
      <c r="E26" s="89">
        <f>E7-E24</f>
        <v>-251593.91999999993</v>
      </c>
      <c r="F26" s="89">
        <f>F7-F24</f>
        <v>-237975.62900000019</v>
      </c>
      <c r="G26" s="88"/>
      <c r="I26" s="27" t="s">
        <v>534</v>
      </c>
      <c r="J26" s="90">
        <f>IFERROR((C26/D26)-1,"")</f>
        <v>5.1354787865943488</v>
      </c>
      <c r="K26" s="90">
        <f t="shared" ref="K26:L26" si="8">IFERROR((D26/E26)-1,"")</f>
        <v>-0.63354038921131306</v>
      </c>
      <c r="L26" s="90">
        <f t="shared" si="8"/>
        <v>5.7225569934304943E-2</v>
      </c>
    </row>
    <row r="27" spans="2:16" x14ac:dyDescent="0.25">
      <c r="C27" s="87"/>
    </row>
  </sheetData>
  <mergeCells count="1">
    <mergeCell ref="N8:P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46C20-4994-407E-AC40-CC934909D52B}">
  <dimension ref="A1:O24"/>
  <sheetViews>
    <sheetView showGridLines="0" workbookViewId="0">
      <selection activeCell="E24" sqref="E24"/>
    </sheetView>
  </sheetViews>
  <sheetFormatPr defaultRowHeight="15" x14ac:dyDescent="0.25"/>
  <cols>
    <col min="5" max="9" width="10.7109375" bestFit="1" customWidth="1"/>
  </cols>
  <sheetData>
    <row r="1" spans="1:15" x14ac:dyDescent="0.25">
      <c r="A1" s="210" t="s">
        <v>391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</row>
    <row r="2" spans="1:15" x14ac:dyDescent="0.25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</row>
    <row r="4" spans="1:15" x14ac:dyDescent="0.25">
      <c r="B4" s="82"/>
      <c r="C4" s="82"/>
      <c r="D4" s="82">
        <v>2020</v>
      </c>
      <c r="E4" s="82">
        <v>2019</v>
      </c>
      <c r="F4" s="82">
        <v>2018</v>
      </c>
      <c r="G4" s="82">
        <v>2017</v>
      </c>
      <c r="H4" s="82">
        <v>2016</v>
      </c>
      <c r="I4" s="82"/>
      <c r="K4" s="214" t="s">
        <v>500</v>
      </c>
      <c r="L4" s="215"/>
      <c r="M4" s="215"/>
    </row>
    <row r="5" spans="1:15" x14ac:dyDescent="0.25">
      <c r="B5" s="82"/>
      <c r="C5" s="82"/>
      <c r="D5" s="82"/>
      <c r="E5" s="82"/>
      <c r="F5" s="82"/>
      <c r="G5" s="82"/>
      <c r="H5" s="82"/>
      <c r="I5" s="82"/>
      <c r="K5" s="215"/>
      <c r="L5" s="215"/>
      <c r="M5" s="215"/>
    </row>
    <row r="6" spans="1:15" x14ac:dyDescent="0.25">
      <c r="B6" s="82" t="s">
        <v>391</v>
      </c>
      <c r="C6" s="82"/>
      <c r="D6" s="85">
        <f>Balanço_DR!C40/Balanço_DR!C81</f>
        <v>1.998339526475067</v>
      </c>
      <c r="E6" s="85">
        <f>Balanço_DR!F40/Balanço_DR!F81</f>
        <v>1.823464879131012</v>
      </c>
      <c r="F6" s="85">
        <f>Balanço_DR!I40/Balanço_DR!I81</f>
        <v>1.9667706137119776</v>
      </c>
      <c r="G6" s="85">
        <f>Balanço_DR!L40/Balanço_DR!L81</f>
        <v>1.5523771586315669</v>
      </c>
      <c r="H6" s="85">
        <f>Balanço_DR!O40/Balanço_DR!O81</f>
        <v>1.7938042021089882</v>
      </c>
      <c r="I6" s="82"/>
      <c r="K6" s="86">
        <f t="shared" ref="K6:L7" si="0">(D6/E6)-1</f>
        <v>9.5902394033162253E-2</v>
      </c>
      <c r="L6" s="86">
        <f t="shared" si="0"/>
        <v>-7.2863471511046218E-2</v>
      </c>
      <c r="M6" s="86">
        <f>(F6/G6)-1</f>
        <v>0.26694122158155298</v>
      </c>
    </row>
    <row r="7" spans="1:15" x14ac:dyDescent="0.25">
      <c r="B7" s="82" t="s">
        <v>535</v>
      </c>
      <c r="C7" s="82"/>
      <c r="D7" s="82">
        <v>1.6</v>
      </c>
      <c r="E7" s="82">
        <v>1.43</v>
      </c>
      <c r="F7" s="82">
        <v>1.23</v>
      </c>
      <c r="G7" s="82">
        <v>1.33</v>
      </c>
      <c r="H7" s="82">
        <v>1.29</v>
      </c>
      <c r="I7" s="82"/>
      <c r="K7" s="86">
        <f t="shared" si="0"/>
        <v>0.11888111888111896</v>
      </c>
      <c r="L7" s="86">
        <f t="shared" si="0"/>
        <v>0.16260162601626016</v>
      </c>
      <c r="M7" s="86">
        <f>(F7/G7)-1</f>
        <v>-7.5187969924812137E-2</v>
      </c>
    </row>
    <row r="8" spans="1:15" x14ac:dyDescent="0.25">
      <c r="B8" s="82"/>
      <c r="C8" s="82"/>
      <c r="D8" s="82"/>
      <c r="E8" s="82"/>
      <c r="F8" s="82"/>
      <c r="G8" s="82"/>
      <c r="H8" s="82"/>
      <c r="I8" s="82"/>
    </row>
    <row r="12" spans="1:15" x14ac:dyDescent="0.25">
      <c r="B12" s="210" t="s">
        <v>390</v>
      </c>
      <c r="C12" s="210"/>
      <c r="D12" s="210"/>
      <c r="E12" s="210"/>
      <c r="F12" s="210"/>
      <c r="G12" s="210"/>
      <c r="H12" s="210"/>
      <c r="I12" s="210"/>
      <c r="J12" s="210"/>
      <c r="K12" s="210"/>
      <c r="L12" s="210"/>
      <c r="M12" s="210"/>
      <c r="N12" s="210"/>
      <c r="O12" s="210"/>
    </row>
    <row r="13" spans="1:15" x14ac:dyDescent="0.25">
      <c r="B13" s="210"/>
      <c r="C13" s="210"/>
      <c r="D13" s="210"/>
      <c r="E13" s="210"/>
      <c r="F13" s="210"/>
      <c r="G13" s="210"/>
      <c r="H13" s="210"/>
      <c r="I13" s="210"/>
      <c r="J13" s="210"/>
      <c r="K13" s="210"/>
      <c r="L13" s="210"/>
      <c r="M13" s="210"/>
      <c r="N13" s="210"/>
      <c r="O13" s="210"/>
    </row>
    <row r="15" spans="1:15" x14ac:dyDescent="0.25">
      <c r="B15" s="82"/>
      <c r="C15" s="82"/>
      <c r="D15" s="82"/>
      <c r="E15" s="82"/>
      <c r="F15" s="82"/>
      <c r="G15" s="82"/>
      <c r="H15" s="82"/>
      <c r="I15" s="82"/>
      <c r="K15" s="214" t="s">
        <v>500</v>
      </c>
      <c r="L15" s="215"/>
      <c r="M15" s="215"/>
    </row>
    <row r="16" spans="1:15" x14ac:dyDescent="0.25">
      <c r="B16" s="82"/>
      <c r="C16" s="82"/>
      <c r="D16" s="82"/>
      <c r="E16" s="82">
        <v>2020</v>
      </c>
      <c r="F16" s="82">
        <v>2019</v>
      </c>
      <c r="G16" s="82">
        <v>2018</v>
      </c>
      <c r="H16" s="82">
        <v>2017</v>
      </c>
      <c r="I16" s="82">
        <v>2016</v>
      </c>
      <c r="K16" s="215"/>
      <c r="L16" s="215"/>
      <c r="M16" s="215"/>
    </row>
    <row r="17" spans="2:15" x14ac:dyDescent="0.25">
      <c r="B17" s="82" t="s">
        <v>390</v>
      </c>
      <c r="C17" s="82"/>
      <c r="D17" s="85"/>
      <c r="E17" s="85">
        <f>(Balanço_DR!C40-Balanço_DR!C27)/Balanço_DR!C81</f>
        <v>1.885799988346017</v>
      </c>
      <c r="F17" s="85">
        <f>(Balanço_DR!F40-Balanço_DR!F27)/Balanço_DR!F81</f>
        <v>1.7919115767890872</v>
      </c>
      <c r="G17" s="85">
        <f>(Balanço_DR!I40-Balanço_DR!I27)/Balanço_DR!I81</f>
        <v>1.9384188165627168</v>
      </c>
      <c r="H17" s="85">
        <f>(Balanço_DR!L40-Balanço_DR!L27)/Balanço_DR!L81</f>
        <v>1.5294214547020157</v>
      </c>
      <c r="I17" s="85">
        <f>(Balanço_DR!O40-Balanço_DR!O27)/Balanço_DR!O81</f>
        <v>1.7516454392146263</v>
      </c>
      <c r="K17" s="86">
        <f t="shared" ref="K17:L18" si="1">(E17/F17)-1</f>
        <v>5.2395672182199871E-2</v>
      </c>
      <c r="L17" s="86">
        <f t="shared" si="1"/>
        <v>-7.5580797360098928E-2</v>
      </c>
      <c r="M17" s="86">
        <f>(G17/H17)-1</f>
        <v>0.26741965767728026</v>
      </c>
    </row>
    <row r="18" spans="2:15" x14ac:dyDescent="0.25">
      <c r="B18" s="82" t="s">
        <v>536</v>
      </c>
      <c r="C18" s="82"/>
      <c r="D18" s="82"/>
      <c r="E18" s="82">
        <v>1.53</v>
      </c>
      <c r="F18" s="82">
        <v>1.43</v>
      </c>
      <c r="G18" s="82">
        <v>1.2</v>
      </c>
      <c r="H18" s="82">
        <v>1.33</v>
      </c>
      <c r="I18" s="82">
        <v>1.26</v>
      </c>
      <c r="K18" s="86">
        <f t="shared" si="1"/>
        <v>6.9930069930070005E-2</v>
      </c>
      <c r="L18" s="86">
        <f t="shared" si="1"/>
        <v>0.19166666666666665</v>
      </c>
      <c r="M18" s="86">
        <f>(G18/H18)-1</f>
        <v>-9.7744360902255689E-2</v>
      </c>
    </row>
    <row r="21" spans="2:15" x14ac:dyDescent="0.25">
      <c r="B21" s="210" t="s">
        <v>537</v>
      </c>
      <c r="C21" s="210"/>
      <c r="D21" s="210"/>
      <c r="E21" s="210"/>
      <c r="F21" s="210"/>
      <c r="G21" s="210"/>
      <c r="H21" s="210"/>
      <c r="I21" s="210"/>
      <c r="J21" s="210"/>
      <c r="K21" s="210"/>
      <c r="L21" s="210"/>
      <c r="M21" s="210"/>
      <c r="N21" s="210"/>
      <c r="O21" s="210"/>
    </row>
    <row r="22" spans="2:15" x14ac:dyDescent="0.25">
      <c r="B22" s="210"/>
      <c r="C22" s="210"/>
      <c r="D22" s="210"/>
      <c r="E22" s="210"/>
      <c r="F22" s="210"/>
      <c r="G22" s="210"/>
      <c r="H22" s="210"/>
      <c r="I22" s="210"/>
      <c r="J22" s="210"/>
      <c r="K22" s="210"/>
      <c r="L22" s="210"/>
      <c r="M22" s="210"/>
      <c r="N22" s="210"/>
      <c r="O22" s="210"/>
    </row>
    <row r="23" spans="2:15" x14ac:dyDescent="0.25">
      <c r="E23" s="11" t="s">
        <v>3</v>
      </c>
      <c r="F23" s="11" t="s">
        <v>4</v>
      </c>
      <c r="G23" s="11" t="s">
        <v>5</v>
      </c>
      <c r="H23" s="11" t="s">
        <v>6</v>
      </c>
      <c r="I23" s="11" t="s">
        <v>7</v>
      </c>
    </row>
    <row r="24" spans="2:15" x14ac:dyDescent="0.25">
      <c r="E24" s="16">
        <f>Balanço_DR!C108/Balanço_DR!C42</f>
        <v>0.39733183307292952</v>
      </c>
      <c r="F24" s="16">
        <f>Balanço_DR!F108/Balanço_DR!F42</f>
        <v>0.59126556894165949</v>
      </c>
      <c r="G24" s="16">
        <f>Balanço_DR!I108/Balanço_DR!I42</f>
        <v>0.53068491254072747</v>
      </c>
      <c r="H24" s="16">
        <f>Balanço_DR!L108/Balanço_DR!L42</f>
        <v>0.59916773654743138</v>
      </c>
      <c r="I24" s="16">
        <f>Balanço_DR!O108/Balanço_DR!O42</f>
        <v>0.50899416507758166</v>
      </c>
    </row>
  </sheetData>
  <mergeCells count="5">
    <mergeCell ref="A1:N2"/>
    <mergeCell ref="B12:O13"/>
    <mergeCell ref="K4:M5"/>
    <mergeCell ref="K15:M16"/>
    <mergeCell ref="B21:O22"/>
  </mergeCells>
  <conditionalFormatting sqref="B4:I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{903EC170-5C25-4E27-9786-397365BC19DE}</x14:id>
        </ext>
      </extLst>
    </cfRule>
  </conditionalFormatting>
  <conditionalFormatting sqref="B4:I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{05B8A39E-A242-4D88-9791-42ABFADB1104}</x14:id>
        </ext>
      </extLst>
    </cfRule>
  </conditionalFormatting>
  <conditionalFormatting sqref="E16:I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{77EE2906-D325-461E-BA21-340D78C46E36}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3EC170-5C25-4E27-9786-397365BC19DE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C384"/>
              <x14:negativeBorderColor rgb="FF638EC6"/>
            </x14:dataBar>
          </x14:cfRule>
          <xm:sqref>B4:I8</xm:sqref>
        </x14:conditionalFormatting>
        <x14:conditionalFormatting xmlns:xm="http://schemas.microsoft.com/office/excel/2006/main">
          <x14:cfRule type="dataBar" id="{05B8A39E-A242-4D88-9791-42ABFADB1104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B4:I8</xm:sqref>
        </x14:conditionalFormatting>
        <x14:conditionalFormatting xmlns:xm="http://schemas.microsoft.com/office/excel/2006/main">
          <x14:cfRule type="dataBar" id="{77EE2906-D325-461E-BA21-340D78C46E36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E16:I16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8EB81-4244-4D70-85C3-4A53C1FC0830}">
  <dimension ref="A1:U39"/>
  <sheetViews>
    <sheetView showGridLines="0" topLeftCell="B20" workbookViewId="0">
      <selection activeCell="M35" sqref="M35"/>
    </sheetView>
  </sheetViews>
  <sheetFormatPr defaultRowHeight="15" x14ac:dyDescent="0.25"/>
  <cols>
    <col min="1" max="1" width="55.140625" bestFit="1" customWidth="1"/>
    <col min="2" max="6" width="12.85546875" bestFit="1" customWidth="1"/>
    <col min="7" max="7" width="9.140625" customWidth="1"/>
    <col min="8" max="8" width="50.7109375" bestFit="1" customWidth="1"/>
    <col min="9" max="13" width="10.7109375" bestFit="1" customWidth="1"/>
    <col min="14" max="14" width="18" bestFit="1" customWidth="1"/>
    <col min="15" max="15" width="9.140625" customWidth="1"/>
    <col min="16" max="16" width="44.7109375" bestFit="1" customWidth="1"/>
    <col min="17" max="21" width="10.7109375" bestFit="1" customWidth="1"/>
  </cols>
  <sheetData>
    <row r="1" spans="1:21" ht="20.25" customHeight="1" x14ac:dyDescent="0.25">
      <c r="A1" s="216" t="s">
        <v>538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</row>
    <row r="2" spans="1:21" ht="20.25" customHeight="1" x14ac:dyDescent="0.25">
      <c r="A2" s="216"/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</row>
    <row r="3" spans="1:21" ht="20.25" customHeight="1" x14ac:dyDescent="0.25"/>
    <row r="4" spans="1:21" ht="34.5" customHeight="1" x14ac:dyDescent="0.25">
      <c r="A4" s="47" t="s">
        <v>539</v>
      </c>
      <c r="B4" s="43" t="s">
        <v>3</v>
      </c>
      <c r="C4" s="43" t="s">
        <v>4</v>
      </c>
      <c r="D4" s="43" t="s">
        <v>5</v>
      </c>
      <c r="E4" s="43" t="s">
        <v>6</v>
      </c>
      <c r="F4" s="43" t="s">
        <v>7</v>
      </c>
      <c r="G4" s="45"/>
      <c r="H4" s="47" t="s">
        <v>540</v>
      </c>
      <c r="I4" s="43" t="s">
        <v>3</v>
      </c>
      <c r="J4" s="43" t="s">
        <v>4</v>
      </c>
      <c r="K4" s="43" t="s">
        <v>5</v>
      </c>
      <c r="L4" s="43" t="s">
        <v>6</v>
      </c>
      <c r="M4" s="43" t="s">
        <v>7</v>
      </c>
      <c r="N4" s="52" t="s">
        <v>495</v>
      </c>
      <c r="P4" s="47" t="s">
        <v>501</v>
      </c>
      <c r="Q4" s="43" t="s">
        <v>3</v>
      </c>
      <c r="R4" s="43" t="s">
        <v>4</v>
      </c>
      <c r="S4" s="43" t="s">
        <v>5</v>
      </c>
      <c r="T4" s="43" t="s">
        <v>6</v>
      </c>
      <c r="U4" s="43" t="s">
        <v>7</v>
      </c>
    </row>
    <row r="5" spans="1:21" ht="20.25" customHeight="1" x14ac:dyDescent="0.25">
      <c r="A5" s="43" t="s">
        <v>541</v>
      </c>
      <c r="B5" s="44">
        <f>'Detalhes_Contas ("Anexo")'!C21</f>
        <v>101520.37</v>
      </c>
      <c r="C5" s="44">
        <f>'Detalhes_Contas ("Anexo")'!F21</f>
        <v>101520.37</v>
      </c>
      <c r="D5" s="44">
        <f>'Detalhes_Contas ("Anexo")'!I21</f>
        <v>101520.37</v>
      </c>
      <c r="E5" s="44">
        <f>'Detalhes_Contas ("Anexo")'!L21</f>
        <v>101520.37</v>
      </c>
      <c r="F5" s="44">
        <f>'Detalhes_Contas ("Anexo")'!O21</f>
        <v>101520.37</v>
      </c>
      <c r="G5" s="46"/>
      <c r="H5" s="43" t="s">
        <v>541</v>
      </c>
      <c r="I5" s="48">
        <f t="shared" ref="I5:K12" si="0">IFERROR((B5/C5)-1,"")</f>
        <v>0</v>
      </c>
      <c r="J5" s="48">
        <f t="shared" si="0"/>
        <v>0</v>
      </c>
      <c r="K5" s="48">
        <f t="shared" si="0"/>
        <v>0</v>
      </c>
      <c r="L5" s="48">
        <f>IFERROR((E5/F5)-1,"")</f>
        <v>0</v>
      </c>
      <c r="M5" s="48">
        <f>IFERROR((F5/F5)-1,"")</f>
        <v>0</v>
      </c>
      <c r="N5" s="48">
        <f>IFERROR(((B5/F5)^0.25)-1,"")</f>
        <v>0</v>
      </c>
      <c r="P5" s="43" t="s">
        <v>541</v>
      </c>
      <c r="Q5" s="49">
        <f t="shared" ref="Q5:Q12" si="1">IFERROR((B5/$F5)*100,"")</f>
        <v>100</v>
      </c>
      <c r="R5" s="49">
        <f t="shared" ref="R5:R12" si="2">IFERROR((C5/$F5)*100,"")</f>
        <v>100</v>
      </c>
      <c r="S5" s="49">
        <f t="shared" ref="S5:S12" si="3">IFERROR((D5/$F5)*100,"")</f>
        <v>100</v>
      </c>
      <c r="T5" s="49">
        <f t="shared" ref="T5:T12" si="4">IFERROR((E5/$F5)*100,"")</f>
        <v>100</v>
      </c>
      <c r="U5" s="49">
        <f t="shared" ref="U5:U12" si="5">IFERROR((F5/$F5)*100,"")</f>
        <v>100</v>
      </c>
    </row>
    <row r="6" spans="1:21" ht="20.25" customHeight="1" x14ac:dyDescent="0.25">
      <c r="A6" s="43" t="s">
        <v>542</v>
      </c>
      <c r="B6" s="44">
        <f>'Detalhes_Contas ("Anexo")'!C22</f>
        <v>584890.39</v>
      </c>
      <c r="C6" s="44">
        <f>'Detalhes_Contas ("Anexo")'!F22</f>
        <v>371869.47</v>
      </c>
      <c r="D6" s="44">
        <f>'Detalhes_Contas ("Anexo")'!I22</f>
        <v>291220.90000000002</v>
      </c>
      <c r="E6" s="44">
        <f>'Detalhes_Contas ("Anexo")'!L22</f>
        <v>207959.52</v>
      </c>
      <c r="F6" s="44">
        <f>'Detalhes_Contas ("Anexo")'!O22</f>
        <v>216517.56</v>
      </c>
      <c r="G6" s="46"/>
      <c r="H6" s="43" t="s">
        <v>542</v>
      </c>
      <c r="I6" s="48">
        <f t="shared" si="0"/>
        <v>0.57283788314216832</v>
      </c>
      <c r="J6" s="48">
        <f t="shared" si="0"/>
        <v>0.27693263086543563</v>
      </c>
      <c r="K6" s="48">
        <f t="shared" si="0"/>
        <v>0.40037301490213117</v>
      </c>
      <c r="L6" s="48">
        <f t="shared" ref="L6:L12" si="6">IFERROR((E6/F6)-1,"")</f>
        <v>-3.9525847233822575E-2</v>
      </c>
      <c r="M6" s="48">
        <f t="shared" ref="M6:M12" si="7">IFERROR((F6/F6)-1,"")</f>
        <v>0</v>
      </c>
      <c r="N6" s="48">
        <f t="shared" ref="N6:N12" si="8">IFERROR(((B6/F6)^0.25)-1,"")</f>
        <v>0.2820215940176356</v>
      </c>
      <c r="P6" s="43" t="s">
        <v>542</v>
      </c>
      <c r="Q6" s="49">
        <f t="shared" si="1"/>
        <v>270.13531373621612</v>
      </c>
      <c r="R6" s="49">
        <f t="shared" si="2"/>
        <v>171.75025896282961</v>
      </c>
      <c r="S6" s="49">
        <f t="shared" si="3"/>
        <v>134.5022085044742</v>
      </c>
      <c r="T6" s="49">
        <f t="shared" si="4"/>
        <v>96.047415276617741</v>
      </c>
      <c r="U6" s="49">
        <f t="shared" si="5"/>
        <v>100</v>
      </c>
    </row>
    <row r="7" spans="1:21" ht="20.25" customHeight="1" x14ac:dyDescent="0.25">
      <c r="A7" s="43" t="s">
        <v>543</v>
      </c>
      <c r="B7" s="44">
        <f>'Detalhes_Contas ("Anexo")'!C23</f>
        <v>36169.33</v>
      </c>
      <c r="C7" s="44">
        <f>'Detalhes_Contas ("Anexo")'!F23</f>
        <v>38844.31</v>
      </c>
      <c r="D7" s="44">
        <f>'Detalhes_Contas ("Anexo")'!I23</f>
        <v>33104.559000000001</v>
      </c>
      <c r="E7" s="44">
        <f>'Detalhes_Contas ("Anexo")'!L23</f>
        <v>27546.38</v>
      </c>
      <c r="F7" s="44">
        <f>'Detalhes_Contas ("Anexo")'!O23</f>
        <v>25836.58</v>
      </c>
      <c r="G7" s="46"/>
      <c r="H7" s="43" t="s">
        <v>543</v>
      </c>
      <c r="I7" s="48">
        <f t="shared" si="0"/>
        <v>-6.8864139947395042E-2</v>
      </c>
      <c r="J7" s="48">
        <f t="shared" si="0"/>
        <v>0.17338249393384153</v>
      </c>
      <c r="K7" s="48">
        <f t="shared" si="0"/>
        <v>0.20177529679035855</v>
      </c>
      <c r="L7" s="48">
        <f t="shared" si="6"/>
        <v>6.6177489435521153E-2</v>
      </c>
      <c r="M7" s="48">
        <f t="shared" si="7"/>
        <v>0</v>
      </c>
      <c r="N7" s="48">
        <f t="shared" si="8"/>
        <v>8.7743156569031866E-2</v>
      </c>
      <c r="P7" s="43" t="s">
        <v>543</v>
      </c>
      <c r="Q7" s="49">
        <f t="shared" si="1"/>
        <v>139.9927157541749</v>
      </c>
      <c r="R7" s="49">
        <f t="shared" si="2"/>
        <v>150.34617584835144</v>
      </c>
      <c r="S7" s="49">
        <f t="shared" si="3"/>
        <v>128.13057687975731</v>
      </c>
      <c r="T7" s="49">
        <f t="shared" si="4"/>
        <v>106.61774894355212</v>
      </c>
      <c r="U7" s="49">
        <f t="shared" si="5"/>
        <v>100</v>
      </c>
    </row>
    <row r="8" spans="1:21" ht="20.25" customHeight="1" x14ac:dyDescent="0.25">
      <c r="A8" s="43" t="s">
        <v>544</v>
      </c>
      <c r="B8" s="44">
        <f>'Detalhes_Contas ("Anexo")'!C24</f>
        <v>57642.25</v>
      </c>
      <c r="C8" s="44">
        <f>'Detalhes_Contas ("Anexo")'!F24</f>
        <v>63928.77</v>
      </c>
      <c r="D8" s="44">
        <f>'Detalhes_Contas ("Anexo")'!I24</f>
        <v>72862.039999999994</v>
      </c>
      <c r="E8" s="44">
        <f>'Detalhes_Contas ("Anexo")'!L24</f>
        <v>125089.03</v>
      </c>
      <c r="F8" s="44">
        <f>'Detalhes_Contas ("Anexo")'!O24</f>
        <v>72499.520000000004</v>
      </c>
      <c r="G8" s="46"/>
      <c r="H8" s="43" t="s">
        <v>544</v>
      </c>
      <c r="I8" s="48">
        <f t="shared" si="0"/>
        <v>-9.8336320251429798E-2</v>
      </c>
      <c r="J8" s="48">
        <f t="shared" si="0"/>
        <v>-0.1226052688066378</v>
      </c>
      <c r="K8" s="48">
        <f t="shared" si="0"/>
        <v>-0.41751854659037657</v>
      </c>
      <c r="L8" s="48">
        <f t="shared" si="6"/>
        <v>0.72537735422248306</v>
      </c>
      <c r="M8" s="48">
        <f t="shared" si="7"/>
        <v>0</v>
      </c>
      <c r="N8" s="48">
        <f t="shared" si="8"/>
        <v>-5.5718571491788271E-2</v>
      </c>
      <c r="P8" s="43" t="s">
        <v>544</v>
      </c>
      <c r="Q8" s="49">
        <f t="shared" si="1"/>
        <v>79.507078115827525</v>
      </c>
      <c r="R8" s="49">
        <f t="shared" si="2"/>
        <v>88.178197593584059</v>
      </c>
      <c r="S8" s="49">
        <f t="shared" si="3"/>
        <v>100.50003089675627</v>
      </c>
      <c r="T8" s="49">
        <f t="shared" si="4"/>
        <v>172.53773542224832</v>
      </c>
      <c r="U8" s="49">
        <f t="shared" si="5"/>
        <v>100</v>
      </c>
    </row>
    <row r="9" spans="1:21" ht="20.25" customHeight="1" x14ac:dyDescent="0.25">
      <c r="A9" s="43" t="s">
        <v>545</v>
      </c>
      <c r="B9" s="44">
        <f>'Detalhes_Contas ("Anexo")'!C25</f>
        <v>4999.96</v>
      </c>
      <c r="C9" s="44">
        <f>'Detalhes_Contas ("Anexo")'!F25</f>
        <v>5200</v>
      </c>
      <c r="D9" s="44">
        <f>'Detalhes_Contas ("Anexo")'!I25</f>
        <v>9926.42</v>
      </c>
      <c r="E9" s="44">
        <f>'Detalhes_Contas ("Anexo")'!L25</f>
        <v>16654.61</v>
      </c>
      <c r="F9" s="44">
        <f>'Detalhes_Contas ("Anexo")'!O25</f>
        <v>18583.259999999998</v>
      </c>
      <c r="G9" s="46"/>
      <c r="H9" s="43" t="s">
        <v>545</v>
      </c>
      <c r="I9" s="48">
        <f t="shared" si="0"/>
        <v>-3.8469230769230811E-2</v>
      </c>
      <c r="J9" s="48">
        <f t="shared" si="0"/>
        <v>-0.47614547843029009</v>
      </c>
      <c r="K9" s="48">
        <f t="shared" si="0"/>
        <v>-0.40398364176645385</v>
      </c>
      <c r="L9" s="48">
        <f t="shared" si="6"/>
        <v>-0.10378426605450275</v>
      </c>
      <c r="M9" s="48">
        <f t="shared" si="7"/>
        <v>0</v>
      </c>
      <c r="N9" s="48">
        <f t="shared" si="8"/>
        <v>-0.27978666753499493</v>
      </c>
      <c r="P9" s="43" t="s">
        <v>545</v>
      </c>
      <c r="Q9" s="49">
        <f t="shared" si="1"/>
        <v>26.905720524816424</v>
      </c>
      <c r="R9" s="49">
        <f t="shared" si="2"/>
        <v>27.982173203194705</v>
      </c>
      <c r="S9" s="49">
        <f t="shared" si="3"/>
        <v>53.415923793779996</v>
      </c>
      <c r="T9" s="49">
        <f t="shared" si="4"/>
        <v>89.621573394549728</v>
      </c>
      <c r="U9" s="49">
        <f t="shared" si="5"/>
        <v>100</v>
      </c>
    </row>
    <row r="10" spans="1:21" ht="20.25" customHeight="1" x14ac:dyDescent="0.25">
      <c r="A10" s="43" t="s">
        <v>546</v>
      </c>
      <c r="B10" s="44">
        <f>'Detalhes_Contas ("Anexo")'!C26</f>
        <v>0</v>
      </c>
      <c r="C10" s="44">
        <f>'Detalhes_Contas ("Anexo")'!F26</f>
        <v>0</v>
      </c>
      <c r="D10" s="44">
        <f>'Detalhes_Contas ("Anexo")'!I26</f>
        <v>0</v>
      </c>
      <c r="E10" s="44">
        <f>'Detalhes_Contas ("Anexo")'!L26</f>
        <v>0</v>
      </c>
      <c r="F10" s="44">
        <f>'Detalhes_Contas ("Anexo")'!O26</f>
        <v>0</v>
      </c>
      <c r="G10" s="46"/>
      <c r="H10" s="43" t="s">
        <v>546</v>
      </c>
      <c r="I10" s="48" t="str">
        <f t="shared" si="0"/>
        <v/>
      </c>
      <c r="J10" s="48" t="str">
        <f t="shared" si="0"/>
        <v/>
      </c>
      <c r="K10" s="48" t="str">
        <f t="shared" si="0"/>
        <v/>
      </c>
      <c r="L10" s="48" t="str">
        <f t="shared" si="6"/>
        <v/>
      </c>
      <c r="M10" s="48" t="str">
        <f t="shared" si="7"/>
        <v/>
      </c>
      <c r="N10" s="48" t="str">
        <f t="shared" si="8"/>
        <v/>
      </c>
      <c r="P10" s="43" t="s">
        <v>546</v>
      </c>
      <c r="Q10" s="49" t="str">
        <f t="shared" si="1"/>
        <v/>
      </c>
      <c r="R10" s="49" t="str">
        <f t="shared" si="2"/>
        <v/>
      </c>
      <c r="S10" s="49" t="str">
        <f t="shared" si="3"/>
        <v/>
      </c>
      <c r="T10" s="49" t="str">
        <f t="shared" si="4"/>
        <v/>
      </c>
      <c r="U10" s="49" t="str">
        <f t="shared" si="5"/>
        <v/>
      </c>
    </row>
    <row r="11" spans="1:21" ht="20.25" customHeight="1" x14ac:dyDescent="0.25">
      <c r="A11" s="43" t="s">
        <v>547</v>
      </c>
      <c r="B11" s="44">
        <f>'Detalhes_Contas ("Anexo")'!C27</f>
        <v>57970.15</v>
      </c>
      <c r="C11" s="44">
        <f>'Detalhes_Contas ("Anexo")'!F27</f>
        <v>51675</v>
      </c>
      <c r="D11" s="44">
        <f>'Detalhes_Contas ("Anexo")'!I27</f>
        <v>39188.800000000003</v>
      </c>
      <c r="E11" s="44">
        <f>'Detalhes_Contas ("Anexo")'!L27</f>
        <v>43868.53</v>
      </c>
      <c r="F11" s="44">
        <f>'Detalhes_Contas ("Anexo")'!O27</f>
        <v>51659.59</v>
      </c>
      <c r="G11" s="46"/>
      <c r="H11" s="43" t="s">
        <v>547</v>
      </c>
      <c r="I11" s="48">
        <f t="shared" si="0"/>
        <v>0.12182196419932279</v>
      </c>
      <c r="J11" s="48">
        <f t="shared" si="0"/>
        <v>0.31861654350222501</v>
      </c>
      <c r="K11" s="48">
        <f t="shared" si="0"/>
        <v>-0.10667624376745688</v>
      </c>
      <c r="L11" s="48">
        <f t="shared" si="6"/>
        <v>-0.1508153665176204</v>
      </c>
      <c r="M11" s="48">
        <f t="shared" si="7"/>
        <v>0</v>
      </c>
      <c r="N11" s="48">
        <f t="shared" si="8"/>
        <v>2.9232205732020011E-2</v>
      </c>
      <c r="P11" s="43" t="s">
        <v>547</v>
      </c>
      <c r="Q11" s="49">
        <f t="shared" si="1"/>
        <v>112.21566024817464</v>
      </c>
      <c r="R11" s="49">
        <f t="shared" si="2"/>
        <v>100.02982989218458</v>
      </c>
      <c r="S11" s="49">
        <f t="shared" si="3"/>
        <v>75.859680651743474</v>
      </c>
      <c r="T11" s="49">
        <f t="shared" si="4"/>
        <v>84.918463348237964</v>
      </c>
      <c r="U11" s="49">
        <f t="shared" si="5"/>
        <v>100</v>
      </c>
    </row>
    <row r="12" spans="1:21" ht="20.25" customHeight="1" x14ac:dyDescent="0.25">
      <c r="A12" s="43" t="s">
        <v>548</v>
      </c>
      <c r="B12" s="44">
        <f>'Detalhes_Contas ("Anexo")'!C28</f>
        <v>1871945.37</v>
      </c>
      <c r="C12" s="44">
        <f>'Detalhes_Contas ("Anexo")'!F28</f>
        <v>1770973.01</v>
      </c>
      <c r="D12" s="44">
        <f>'Detalhes_Contas ("Anexo")'!I28</f>
        <v>1735472.49</v>
      </c>
      <c r="E12" s="44">
        <f>'Detalhes_Contas ("Anexo")'!L28</f>
        <v>1645924.68</v>
      </c>
      <c r="F12" s="44">
        <f>'Detalhes_Contas ("Anexo")'!O28</f>
        <v>1564860.15</v>
      </c>
      <c r="G12" s="46"/>
      <c r="H12" s="43" t="s">
        <v>548</v>
      </c>
      <c r="I12" s="48">
        <f t="shared" si="0"/>
        <v>5.7015188503635184E-2</v>
      </c>
      <c r="J12" s="48">
        <f t="shared" si="0"/>
        <v>2.0455824108165599E-2</v>
      </c>
      <c r="K12" s="48">
        <f t="shared" si="0"/>
        <v>5.4405776332365319E-2</v>
      </c>
      <c r="L12" s="48">
        <f t="shared" si="6"/>
        <v>5.1803050898829639E-2</v>
      </c>
      <c r="M12" s="48">
        <f t="shared" si="7"/>
        <v>0</v>
      </c>
      <c r="N12" s="48">
        <f t="shared" si="8"/>
        <v>4.5813900048388145E-2</v>
      </c>
      <c r="P12" s="43" t="s">
        <v>548</v>
      </c>
      <c r="Q12" s="49">
        <f t="shared" si="1"/>
        <v>119.62381238988036</v>
      </c>
      <c r="R12" s="49">
        <f t="shared" si="2"/>
        <v>113.17132780204034</v>
      </c>
      <c r="S12" s="49">
        <f t="shared" si="3"/>
        <v>110.90272124317309</v>
      </c>
      <c r="T12" s="49">
        <f t="shared" si="4"/>
        <v>105.18030508988296</v>
      </c>
      <c r="U12" s="49">
        <f t="shared" si="5"/>
        <v>100</v>
      </c>
    </row>
    <row r="13" spans="1:21" ht="20.25" customHeight="1" x14ac:dyDescent="0.25">
      <c r="A13" s="43" t="s">
        <v>549</v>
      </c>
      <c r="B13" s="44">
        <f>Balanço_DR!C13</f>
        <v>843192.45</v>
      </c>
      <c r="C13" s="44">
        <f>Balanço_DR!F13</f>
        <v>633037.92000000004</v>
      </c>
      <c r="D13" s="44">
        <f>Balanço_DR!I13</f>
        <v>547823.09</v>
      </c>
      <c r="E13" s="44">
        <f>Balanço_DR!L13</f>
        <v>522638.44</v>
      </c>
      <c r="F13" s="44">
        <f>Balanço_DR!O13</f>
        <v>486616.88</v>
      </c>
      <c r="G13" s="46"/>
      <c r="H13" s="43" t="s">
        <v>549</v>
      </c>
      <c r="I13" s="48">
        <f>IFERROR((B13/C13)-1,"")</f>
        <v>0.33197779052477605</v>
      </c>
      <c r="J13" s="48">
        <f>IFERROR((C13/D13)-1,"")</f>
        <v>0.15555173112546261</v>
      </c>
      <c r="K13" s="48">
        <f>IFERROR((D13/E13)-1,"")</f>
        <v>4.8187519463742445E-2</v>
      </c>
      <c r="L13" s="48">
        <f>IFERROR((E13/F13)-1,"")</f>
        <v>7.402447691498093E-2</v>
      </c>
      <c r="M13" s="48">
        <f>IFERROR((F13/F13)-1,"")</f>
        <v>0</v>
      </c>
      <c r="N13" s="48">
        <f>IFERROR(((B13/F13)^0.25)-1,"")</f>
        <v>0.14732084692843128</v>
      </c>
      <c r="P13" s="43" t="s">
        <v>549</v>
      </c>
      <c r="Q13" s="49">
        <f>IFERROR((B13/$F13)*100,"")</f>
        <v>173.27644902083955</v>
      </c>
      <c r="R13" s="49">
        <f>IFERROR((C13/$F13)*100,"")</f>
        <v>130.08959327510382</v>
      </c>
      <c r="S13" s="49">
        <f>IFERROR((D13/$F13)*100,"")</f>
        <v>112.57790523008573</v>
      </c>
      <c r="T13" s="49">
        <f>IFERROR((E13/$F13)*100,"")</f>
        <v>107.4024476914981</v>
      </c>
      <c r="U13" s="49">
        <f>IFERROR((F13/$F13)*100,"")</f>
        <v>100</v>
      </c>
    </row>
    <row r="14" spans="1:21" ht="20.25" customHeight="1" x14ac:dyDescent="0.25">
      <c r="A14" s="51" t="s">
        <v>550</v>
      </c>
      <c r="B14" s="50">
        <f>B6/B13</f>
        <v>0.69366179690057717</v>
      </c>
      <c r="C14" s="50">
        <f t="shared" ref="C14:F14" si="9">C6/C13</f>
        <v>0.58743632608928065</v>
      </c>
      <c r="D14" s="50">
        <f t="shared" si="9"/>
        <v>0.53159661452020945</v>
      </c>
      <c r="E14" s="50">
        <f t="shared" si="9"/>
        <v>0.3979032234980649</v>
      </c>
      <c r="F14" s="50">
        <f t="shared" si="9"/>
        <v>0.44494461433397048</v>
      </c>
    </row>
    <row r="15" spans="1:21" ht="20.25" customHeight="1" x14ac:dyDescent="0.25">
      <c r="A15" s="51" t="s">
        <v>551</v>
      </c>
      <c r="B15" s="50">
        <f>B5/B13</f>
        <v>0.1203999988377505</v>
      </c>
      <c r="C15" s="50">
        <f t="shared" ref="C15:F15" si="10">C5/C13</f>
        <v>0.16037012443109253</v>
      </c>
      <c r="D15" s="50">
        <f t="shared" si="10"/>
        <v>0.18531597490715479</v>
      </c>
      <c r="E15" s="50">
        <f t="shared" si="10"/>
        <v>0.19424589205493573</v>
      </c>
      <c r="F15" s="50">
        <f t="shared" si="10"/>
        <v>0.20862484260718617</v>
      </c>
    </row>
    <row r="16" spans="1:21" ht="20.25" customHeight="1" x14ac:dyDescent="0.25">
      <c r="A16" s="51" t="s">
        <v>552</v>
      </c>
      <c r="B16" s="50">
        <f>B8/B13</f>
        <v>6.8361914293706028E-2</v>
      </c>
      <c r="C16" s="50">
        <f t="shared" ref="C16:F16" si="11">C8/C13</f>
        <v>0.10098726787172559</v>
      </c>
      <c r="D16" s="50">
        <f t="shared" si="11"/>
        <v>0.13300286411804949</v>
      </c>
      <c r="E16" s="50">
        <f t="shared" si="11"/>
        <v>0.23934142693369434</v>
      </c>
      <c r="F16" s="50">
        <f t="shared" si="11"/>
        <v>0.14898685799802094</v>
      </c>
    </row>
    <row r="17" spans="1:14" ht="20.25" customHeight="1" x14ac:dyDescent="0.25">
      <c r="A17" s="51" t="s">
        <v>553</v>
      </c>
      <c r="B17" s="50">
        <f>B11/B13</f>
        <v>6.8750793487299372E-2</v>
      </c>
      <c r="C17" s="50">
        <f t="shared" ref="C17:F17" si="12">C11/C13</f>
        <v>8.1630181016644307E-2</v>
      </c>
      <c r="D17" s="50">
        <f t="shared" si="12"/>
        <v>7.1535502455728914E-2</v>
      </c>
      <c r="E17" s="50">
        <f t="shared" si="12"/>
        <v>8.3936669487992499E-2</v>
      </c>
      <c r="F17" s="50">
        <f t="shared" si="12"/>
        <v>0.1061607028510807</v>
      </c>
    </row>
    <row r="18" spans="1:14" ht="20.25" customHeight="1" x14ac:dyDescent="0.25"/>
    <row r="19" spans="1:14" ht="20.25" customHeight="1" x14ac:dyDescent="0.25"/>
    <row r="20" spans="1:14" ht="20.25" customHeight="1" x14ac:dyDescent="0.25">
      <c r="A20" s="216" t="s">
        <v>554</v>
      </c>
      <c r="B20" s="216"/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</row>
    <row r="21" spans="1:14" ht="20.25" customHeight="1" x14ac:dyDescent="0.25">
      <c r="A21" s="216"/>
      <c r="B21" s="216"/>
      <c r="C21" s="216"/>
      <c r="D21" s="216"/>
      <c r="E21" s="216"/>
      <c r="F21" s="216"/>
      <c r="G21" s="216"/>
      <c r="H21" s="216"/>
      <c r="I21" s="216"/>
      <c r="J21" s="216"/>
      <c r="K21" s="216"/>
      <c r="L21" s="216"/>
      <c r="M21" s="216"/>
      <c r="N21" s="216"/>
    </row>
    <row r="22" spans="1:14" ht="20.25" customHeight="1" x14ac:dyDescent="0.25"/>
    <row r="23" spans="1:14" ht="33" customHeight="1" x14ac:dyDescent="0.25">
      <c r="A23" s="47" t="s">
        <v>539</v>
      </c>
      <c r="B23" s="43" t="s">
        <v>3</v>
      </c>
      <c r="C23" s="43" t="s">
        <v>4</v>
      </c>
      <c r="D23" s="43" t="s">
        <v>5</v>
      </c>
      <c r="E23" s="43" t="s">
        <v>6</v>
      </c>
      <c r="F23" s="43" t="s">
        <v>7</v>
      </c>
      <c r="H23" s="47" t="s">
        <v>540</v>
      </c>
      <c r="I23" s="43" t="s">
        <v>3</v>
      </c>
      <c r="J23" s="43" t="s">
        <v>4</v>
      </c>
      <c r="K23" s="43" t="s">
        <v>5</v>
      </c>
      <c r="L23" s="43" t="s">
        <v>6</v>
      </c>
      <c r="M23" s="43" t="s">
        <v>7</v>
      </c>
      <c r="N23" s="52" t="s">
        <v>495</v>
      </c>
    </row>
    <row r="24" spans="1:14" ht="20.25" customHeight="1" x14ac:dyDescent="0.25">
      <c r="A24" s="71" t="s">
        <v>555</v>
      </c>
      <c r="B24" s="44">
        <f>'Detalhes_Contas ("Anexo")'!C40</f>
        <v>295438.45</v>
      </c>
      <c r="C24" s="44">
        <f>'Detalhes_Contas ("Anexo")'!F40</f>
        <v>38950.42</v>
      </c>
      <c r="D24" s="44">
        <f>'Detalhes_Contas ("Anexo")'!I40</f>
        <v>37854.93</v>
      </c>
      <c r="E24" s="44">
        <f>'Detalhes_Contas ("Anexo")'!L40</f>
        <v>34711.58</v>
      </c>
      <c r="F24" s="44">
        <f>'Detalhes_Contas ("Anexo")'!O40</f>
        <v>71429.78</v>
      </c>
      <c r="H24" s="43" t="s">
        <v>556</v>
      </c>
      <c r="I24" s="48">
        <f>(B24/C24)-1</f>
        <v>6.5849875303013423</v>
      </c>
      <c r="J24" s="48">
        <f>(C24/D24)-1</f>
        <v>2.8939163274109836E-2</v>
      </c>
      <c r="K24" s="48">
        <f>(D24/E24)-1</f>
        <v>9.0556235123840478E-2</v>
      </c>
      <c r="L24" s="48">
        <f>(E24/F24)-1</f>
        <v>-0.5140461023399483</v>
      </c>
      <c r="M24" s="48">
        <f>(F24/F24)-1</f>
        <v>0</v>
      </c>
      <c r="N24" s="48">
        <f>IFERROR(((B24/F24)^0.25)-1,"")</f>
        <v>0.42608997164741558</v>
      </c>
    </row>
    <row r="25" spans="1:14" ht="20.25" customHeight="1" x14ac:dyDescent="0.25">
      <c r="A25" s="51" t="s">
        <v>557</v>
      </c>
      <c r="B25" s="50">
        <f>(B24/Balanço_DR!C27)</f>
        <v>1</v>
      </c>
      <c r="C25" s="50">
        <f>(C24/Balanço_DR!F27)</f>
        <v>1</v>
      </c>
      <c r="D25" s="50">
        <f>(D24/Balanço_DR!I27)</f>
        <v>1</v>
      </c>
      <c r="E25" s="50">
        <f>(E24/Balanço_DR!L27)</f>
        <v>1</v>
      </c>
      <c r="F25" s="50">
        <f>(F24/Balanço_DR!O27)</f>
        <v>1</v>
      </c>
      <c r="H25" s="43" t="s">
        <v>558</v>
      </c>
      <c r="I25" s="48">
        <f>(B26/C26)-1</f>
        <v>1.383983544104662</v>
      </c>
      <c r="J25" s="48">
        <f>(C26/D26)-1</f>
        <v>-0.17655327721968761</v>
      </c>
      <c r="K25" s="48">
        <f>(D26/E26)-1</f>
        <v>8.8192676033603146E-2</v>
      </c>
      <c r="L25" s="48">
        <f>(E26/F26)-1</f>
        <v>3.3542055498190226E-3</v>
      </c>
      <c r="M25" s="48">
        <f>(F26/F26)-1</f>
        <v>0</v>
      </c>
      <c r="N25" s="48">
        <f>IFERROR(((B26/F26)^0.25)-1,"")</f>
        <v>0.20997029426469949</v>
      </c>
    </row>
    <row r="26" spans="1:14" ht="20.25" customHeight="1" x14ac:dyDescent="0.25">
      <c r="A26" s="43" t="s">
        <v>558</v>
      </c>
      <c r="B26" s="44">
        <f>'Detalhes_Contas ("Anexo")'!C49</f>
        <v>3978681.75</v>
      </c>
      <c r="C26" s="44">
        <f>'Detalhes_Contas ("Anexo")'!F49</f>
        <v>1668921.65</v>
      </c>
      <c r="D26" s="44">
        <f>'Detalhes_Contas ("Anexo")'!I49</f>
        <v>2026751.22</v>
      </c>
      <c r="E26" s="44">
        <f>'Detalhes_Contas ("Anexo")'!L49</f>
        <v>1862492.98</v>
      </c>
      <c r="F26" s="44">
        <f>'Detalhes_Contas ("Anexo")'!O49</f>
        <v>1856266.68</v>
      </c>
      <c r="H26" s="43" t="s">
        <v>559</v>
      </c>
      <c r="I26" s="48">
        <f t="shared" ref="I26:L27" si="13">(B28/C28)-1</f>
        <v>1.4266825861039694</v>
      </c>
      <c r="J26" s="48">
        <f t="shared" si="13"/>
        <v>0.60143261333245368</v>
      </c>
      <c r="K26" s="48">
        <f t="shared" si="13"/>
        <v>-1.082872542559854E-2</v>
      </c>
      <c r="L26" s="48">
        <f t="shared" si="13"/>
        <v>0.19394321200796005</v>
      </c>
      <c r="M26" s="48">
        <f>(F28/F28)-1</f>
        <v>0</v>
      </c>
      <c r="N26" s="48">
        <f>IFERROR(((B28/F28)^0.25)-1,"")</f>
        <v>0.46367347417636839</v>
      </c>
    </row>
    <row r="27" spans="1:14" ht="20.25" customHeight="1" x14ac:dyDescent="0.25">
      <c r="A27" s="51" t="s">
        <v>560</v>
      </c>
      <c r="B27" s="50">
        <f>B26/Balanço_DR!C29</f>
        <v>1</v>
      </c>
      <c r="C27" s="50">
        <f>C26/Balanço_DR!F29</f>
        <v>1.0015770568096871</v>
      </c>
      <c r="D27" s="50">
        <f>D26/Balanço_DR!I29</f>
        <v>1.0012982607809213</v>
      </c>
      <c r="E27" s="50">
        <f>E26/Balanço_DR!L29</f>
        <v>1.0011843369971336</v>
      </c>
      <c r="F27" s="50">
        <f>F26/Balanço_DR!O29</f>
        <v>1</v>
      </c>
      <c r="H27" s="43" t="s">
        <v>561</v>
      </c>
      <c r="I27" s="48">
        <f t="shared" si="13"/>
        <v>0.23681690886249673</v>
      </c>
      <c r="J27" s="48">
        <f t="shared" si="13"/>
        <v>5.2415757289631326E-2</v>
      </c>
      <c r="K27" s="48">
        <f t="shared" si="13"/>
        <v>0.36718095468003709</v>
      </c>
      <c r="L27" s="48">
        <f t="shared" si="13"/>
        <v>29.606396288175251</v>
      </c>
      <c r="M27" s="48">
        <f>(F29/F29)-1</f>
        <v>0</v>
      </c>
      <c r="N27" s="48">
        <f>IFERROR(((B29/F29)^0.25)-1,"")</f>
        <v>1.7166440487240391</v>
      </c>
    </row>
    <row r="28" spans="1:14" ht="20.25" customHeight="1" x14ac:dyDescent="0.25">
      <c r="A28" s="43" t="s">
        <v>559</v>
      </c>
      <c r="B28" s="44">
        <f>'Detalhes_Contas ("Anexo")'!C67</f>
        <v>101338.92</v>
      </c>
      <c r="C28" s="44">
        <f>'Detalhes_Contas ("Anexo")'!F67</f>
        <v>41760.269999999997</v>
      </c>
      <c r="D28" s="44">
        <f>'Detalhes_Contas ("Anexo")'!I67</f>
        <v>26076.82</v>
      </c>
      <c r="E28" s="44">
        <f>'Detalhes_Contas ("Anexo")'!L67</f>
        <v>26362.29</v>
      </c>
      <c r="F28" s="44">
        <f>'Detalhes_Contas ("Anexo")'!O67</f>
        <v>22080.02</v>
      </c>
      <c r="H28" s="43" t="str">
        <f>A31</f>
        <v>Outros Devedores</v>
      </c>
      <c r="I28" s="48">
        <f t="shared" ref="I28:K28" si="14">(B31/C31)-1</f>
        <v>-4.1046965724875317E-2</v>
      </c>
      <c r="J28" s="48">
        <f t="shared" si="14"/>
        <v>-0.18074079888532035</v>
      </c>
      <c r="K28" s="48">
        <f t="shared" si="14"/>
        <v>5.4468964676703369E-2</v>
      </c>
      <c r="L28" s="48">
        <f>(E31/F31)-1</f>
        <v>-0.8505169870665451</v>
      </c>
      <c r="M28" s="48">
        <f>(F31/F31)-1</f>
        <v>0</v>
      </c>
      <c r="N28" s="48">
        <f>IFERROR(((B31/F31)^0.25)-1,"")</f>
        <v>-0.40678642945671628</v>
      </c>
    </row>
    <row r="29" spans="1:14" ht="20.25" customHeight="1" x14ac:dyDescent="0.25">
      <c r="A29" s="43" t="s">
        <v>561</v>
      </c>
      <c r="B29" s="44">
        <f>'Detalhes_Contas ("Anexo")'!C68</f>
        <v>415328.09</v>
      </c>
      <c r="C29" s="44">
        <f>'Detalhes_Contas ("Anexo")'!F68</f>
        <v>335804.02</v>
      </c>
      <c r="D29" s="44">
        <f>'Detalhes_Contas ("Anexo")'!I68</f>
        <v>319079.24</v>
      </c>
      <c r="E29" s="44">
        <f>'Detalhes_Contas ("Anexo")'!L68</f>
        <v>233384.79</v>
      </c>
      <c r="F29" s="44">
        <f>'Detalhes_Contas ("Anexo")'!O68</f>
        <v>7625.36</v>
      </c>
    </row>
    <row r="30" spans="1:14" ht="20.25" customHeight="1" x14ac:dyDescent="0.25">
      <c r="A30" s="51" t="s">
        <v>562</v>
      </c>
      <c r="B30" s="50">
        <f>(SUM(B28:B29)/Balanço_DR!C39)</f>
        <v>1</v>
      </c>
      <c r="C30" s="50">
        <f>(SUM(C28:C29)/Balanço_DR!F39)</f>
        <v>1.0000000000000002</v>
      </c>
      <c r="D30" s="50">
        <f>(SUM(D28:D29)/Balanço_DR!I39)</f>
        <v>1</v>
      </c>
      <c r="E30" s="50">
        <f>(SUM(E28:E29)/Balanço_DR!L39)</f>
        <v>1.0000000000000002</v>
      </c>
      <c r="F30" s="50">
        <f>(SUM(F28:F29)/Balanço_DR!O39)</f>
        <v>1</v>
      </c>
      <c r="H30" s="47" t="s">
        <v>501</v>
      </c>
      <c r="I30" s="43" t="s">
        <v>3</v>
      </c>
      <c r="J30" s="43" t="s">
        <v>4</v>
      </c>
      <c r="K30" s="43" t="s">
        <v>5</v>
      </c>
      <c r="L30" s="43" t="s">
        <v>6</v>
      </c>
      <c r="M30" s="43" t="s">
        <v>7</v>
      </c>
    </row>
    <row r="31" spans="1:14" ht="20.25" customHeight="1" x14ac:dyDescent="0.25">
      <c r="A31" s="43" t="s">
        <v>563</v>
      </c>
      <c r="B31" s="44">
        <f>'Detalhes_Contas ("Anexo")'!C57</f>
        <v>130913.19</v>
      </c>
      <c r="C31" s="44">
        <f>'Detalhes_Contas ("Anexo")'!F57</f>
        <v>136516.79</v>
      </c>
      <c r="D31" s="44">
        <f>'Detalhes_Contas ("Anexo")'!I57</f>
        <v>166634.43</v>
      </c>
      <c r="E31" s="44">
        <f>'Detalhes_Contas ("Anexo")'!L57</f>
        <v>158026.87</v>
      </c>
      <c r="F31" s="44">
        <f>'Detalhes_Contas ("Anexo")'!O57</f>
        <v>1057156.04</v>
      </c>
      <c r="H31" s="43" t="s">
        <v>556</v>
      </c>
      <c r="I31" s="49">
        <f>(B24/$F24)*100</f>
        <v>413.60683177240645</v>
      </c>
      <c r="J31" s="49">
        <f>(C24/$F24)*100</f>
        <v>54.52966535806214</v>
      </c>
      <c r="K31" s="49">
        <f>(D24/$F24)*100</f>
        <v>52.996005307590202</v>
      </c>
      <c r="L31" s="49">
        <f>(E24/$F24)*100</f>
        <v>48.595389766005162</v>
      </c>
      <c r="M31" s="49">
        <f>(F24/$F24)*100</f>
        <v>100</v>
      </c>
    </row>
    <row r="32" spans="1:14" ht="20.25" customHeight="1" x14ac:dyDescent="0.25">
      <c r="A32" s="51" t="s">
        <v>564</v>
      </c>
      <c r="B32" s="50">
        <f>B31/Balanço_DR!C33</f>
        <v>1</v>
      </c>
      <c r="C32" s="50">
        <f>C31/Balanço_DR!F33</f>
        <v>0.99040728954583546</v>
      </c>
      <c r="D32" s="50">
        <f>D31/Balanço_DR!I33</f>
        <v>0.95321363115886315</v>
      </c>
      <c r="E32" s="50">
        <f>E31/Balanço_DR!L33</f>
        <v>0.98951251251238714</v>
      </c>
      <c r="F32" s="50">
        <f>F31/Balanço_DR!O33</f>
        <v>1</v>
      </c>
      <c r="H32" s="43" t="s">
        <v>558</v>
      </c>
      <c r="I32" s="49">
        <f>(B26/$F26)*100</f>
        <v>214.33783156631355</v>
      </c>
      <c r="J32" s="49">
        <f>(C26/$F26)*100</f>
        <v>89.907429141592957</v>
      </c>
      <c r="K32" s="49">
        <f>(D26/$F26)*100</f>
        <v>109.18426979468275</v>
      </c>
      <c r="L32" s="49">
        <f>(E26/$F26)*100</f>
        <v>100.33542055498191</v>
      </c>
      <c r="M32" s="49">
        <f>(F26/$F26)*100</f>
        <v>100</v>
      </c>
    </row>
    <row r="33" spans="1:13" ht="20.25" customHeight="1" x14ac:dyDescent="0.25">
      <c r="H33" s="43" t="s">
        <v>559</v>
      </c>
      <c r="I33" s="49">
        <f t="shared" ref="I33:M34" si="15">(B28/$F28)*100</f>
        <v>458.96208427347432</v>
      </c>
      <c r="J33" s="49">
        <f t="shared" si="15"/>
        <v>189.13148629394357</v>
      </c>
      <c r="K33" s="49">
        <f t="shared" si="15"/>
        <v>118.10143287913688</v>
      </c>
      <c r="L33" s="49">
        <f t="shared" si="15"/>
        <v>119.394321200796</v>
      </c>
      <c r="M33" s="49">
        <f t="shared" si="15"/>
        <v>100</v>
      </c>
    </row>
    <row r="34" spans="1:13" ht="20.25" customHeight="1" x14ac:dyDescent="0.25">
      <c r="A34" s="43" t="s">
        <v>565</v>
      </c>
      <c r="B34" s="44">
        <f>Balanço_DR!C31</f>
        <v>232258.25</v>
      </c>
      <c r="C34" s="44">
        <f>Balanço_DR!F31</f>
        <v>0</v>
      </c>
      <c r="D34" s="44">
        <f>Balanço_DR!I31</f>
        <v>0</v>
      </c>
      <c r="E34" s="44">
        <f>Balanço_DR!L31</f>
        <v>0</v>
      </c>
      <c r="F34" s="44">
        <f>Balanço_DR!O31</f>
        <v>0</v>
      </c>
      <c r="H34" s="43" t="s">
        <v>561</v>
      </c>
      <c r="I34" s="49">
        <f t="shared" si="15"/>
        <v>5446.6686163013946</v>
      </c>
      <c r="J34" s="49">
        <f t="shared" si="15"/>
        <v>4403.7792314067801</v>
      </c>
      <c r="K34" s="49">
        <f t="shared" si="15"/>
        <v>4184.4482096582979</v>
      </c>
      <c r="L34" s="49">
        <f t="shared" si="15"/>
        <v>3060.6396288175251</v>
      </c>
      <c r="M34" s="49">
        <f t="shared" si="15"/>
        <v>100</v>
      </c>
    </row>
    <row r="35" spans="1:13" ht="20.25" customHeight="1" x14ac:dyDescent="0.25">
      <c r="H35" s="43" t="str">
        <f>A31</f>
        <v>Outros Devedores</v>
      </c>
      <c r="I35" s="49">
        <f t="shared" ref="I35:L35" si="16">(B31/$F31)*100</f>
        <v>12.383525709222642</v>
      </c>
      <c r="J35" s="49">
        <f t="shared" si="16"/>
        <v>12.913589369455808</v>
      </c>
      <c r="K35" s="49">
        <f t="shared" si="16"/>
        <v>15.762519788469447</v>
      </c>
      <c r="L35" s="49">
        <f t="shared" si="16"/>
        <v>14.948301293345493</v>
      </c>
      <c r="M35" s="49">
        <f>(F31/$F31)*100</f>
        <v>100</v>
      </c>
    </row>
    <row r="36" spans="1:13" ht="20.25" customHeight="1" x14ac:dyDescent="0.25">
      <c r="H36" s="71" t="s">
        <v>566</v>
      </c>
      <c r="I36" s="49">
        <f t="shared" ref="I36:K36" si="17">(B31/$E31)*100</f>
        <v>82.842360922544373</v>
      </c>
      <c r="J36" s="49">
        <f t="shared" si="17"/>
        <v>86.388340160125949</v>
      </c>
      <c r="K36" s="49">
        <f t="shared" si="17"/>
        <v>105.44689646767034</v>
      </c>
      <c r="L36" s="49">
        <f>(E31/$E31)*100</f>
        <v>100</v>
      </c>
    </row>
    <row r="37" spans="1:13" ht="20.25" customHeight="1" x14ac:dyDescent="0.25"/>
    <row r="38" spans="1:13" ht="20.25" customHeight="1" x14ac:dyDescent="0.25"/>
    <row r="39" spans="1:13" ht="20.25" customHeight="1" x14ac:dyDescent="0.25"/>
  </sheetData>
  <mergeCells count="2">
    <mergeCell ref="A1:U2"/>
    <mergeCell ref="A20:N2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F9F07-87C2-4716-900B-DE42C1BE9276}">
  <dimension ref="A1:V56"/>
  <sheetViews>
    <sheetView showGridLines="0" topLeftCell="H1" workbookViewId="0">
      <selection activeCell="H7" sqref="H7"/>
    </sheetView>
  </sheetViews>
  <sheetFormatPr defaultRowHeight="15" x14ac:dyDescent="0.25"/>
  <cols>
    <col min="1" max="1" width="31.140625" bestFit="1" customWidth="1"/>
    <col min="2" max="6" width="12.85546875" bestFit="1" customWidth="1"/>
    <col min="8" max="8" width="31.140625" bestFit="1" customWidth="1"/>
    <col min="9" max="10" width="10.7109375" bestFit="1" customWidth="1"/>
    <col min="11" max="11" width="12.85546875" bestFit="1" customWidth="1"/>
    <col min="12" max="13" width="10.7109375" bestFit="1" customWidth="1"/>
    <col min="14" max="14" width="18" bestFit="1" customWidth="1"/>
    <col min="16" max="16" width="31.42578125" bestFit="1" customWidth="1"/>
    <col min="17" max="21" width="10.7109375" bestFit="1" customWidth="1"/>
    <col min="22" max="22" width="18" bestFit="1" customWidth="1"/>
  </cols>
  <sheetData>
    <row r="1" spans="1:22" ht="20.25" customHeight="1" x14ac:dyDescent="0.25">
      <c r="A1" s="217" t="s">
        <v>567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</row>
    <row r="2" spans="1:22" ht="20.25" customHeight="1" x14ac:dyDescent="0.25">
      <c r="A2" s="217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</row>
    <row r="3" spans="1:22" ht="20.25" customHeight="1" x14ac:dyDescent="0.25"/>
    <row r="4" spans="1:22" ht="30.75" customHeight="1" x14ac:dyDescent="0.25">
      <c r="A4" s="78" t="s">
        <v>539</v>
      </c>
      <c r="B4" s="75" t="s">
        <v>3</v>
      </c>
      <c r="C4" s="75" t="s">
        <v>4</v>
      </c>
      <c r="D4" s="75" t="s">
        <v>5</v>
      </c>
      <c r="E4" s="75" t="s">
        <v>6</v>
      </c>
      <c r="F4" s="75" t="s">
        <v>7</v>
      </c>
      <c r="H4" s="78" t="s">
        <v>540</v>
      </c>
      <c r="I4" s="75" t="s">
        <v>3</v>
      </c>
      <c r="J4" s="75" t="s">
        <v>4</v>
      </c>
      <c r="K4" s="75" t="s">
        <v>5</v>
      </c>
      <c r="L4" s="75" t="s">
        <v>6</v>
      </c>
      <c r="M4" s="75" t="s">
        <v>7</v>
      </c>
      <c r="N4" s="79" t="s">
        <v>495</v>
      </c>
      <c r="P4" s="78" t="s">
        <v>501</v>
      </c>
      <c r="Q4" s="75" t="s">
        <v>3</v>
      </c>
      <c r="R4" s="75" t="s">
        <v>4</v>
      </c>
      <c r="S4" s="75" t="s">
        <v>5</v>
      </c>
      <c r="T4" s="75" t="s">
        <v>6</v>
      </c>
      <c r="U4" s="75" t="s">
        <v>7</v>
      </c>
    </row>
    <row r="5" spans="1:22" ht="20.25" customHeight="1" x14ac:dyDescent="0.25">
      <c r="A5" s="75" t="s">
        <v>568</v>
      </c>
      <c r="B5" s="77">
        <f>Balanço_DR!C46</f>
        <v>41524.92</v>
      </c>
      <c r="C5" s="77">
        <f>Balanço_DR!F46</f>
        <v>41524.92</v>
      </c>
      <c r="D5" s="77">
        <f>Balanço_DR!I46</f>
        <v>41524.92</v>
      </c>
      <c r="E5" s="77">
        <f>Balanço_DR!L46</f>
        <v>55366.559999999998</v>
      </c>
      <c r="F5" s="77">
        <f>Balanço_DR!O46</f>
        <v>55366.559999999998</v>
      </c>
      <c r="H5" s="75" t="s">
        <v>568</v>
      </c>
      <c r="I5" s="80">
        <f t="shared" ref="I5:K7" si="0">IFERROR((B5/C5)-1,"")</f>
        <v>0</v>
      </c>
      <c r="J5" s="80">
        <f t="shared" si="0"/>
        <v>0</v>
      </c>
      <c r="K5" s="80">
        <f t="shared" si="0"/>
        <v>-0.25</v>
      </c>
      <c r="L5" s="80">
        <f>IFERROR((E5/F5)-1,"")</f>
        <v>0</v>
      </c>
      <c r="M5" s="80">
        <f>IFERROR((F5/F5)-1,"")</f>
        <v>0</v>
      </c>
      <c r="N5" s="80">
        <f>IFERROR(((B5/F5)^0.25)-1,"")</f>
        <v>-6.9395140897900442E-2</v>
      </c>
      <c r="P5" s="75" t="s">
        <v>568</v>
      </c>
      <c r="Q5" s="81">
        <f t="shared" ref="Q5:T6" si="1">IFERROR((B5/$F5)*100,"")</f>
        <v>75</v>
      </c>
      <c r="R5" s="81">
        <f t="shared" si="1"/>
        <v>75</v>
      </c>
      <c r="S5" s="81">
        <f t="shared" si="1"/>
        <v>75</v>
      </c>
      <c r="T5" s="81">
        <f t="shared" si="1"/>
        <v>100</v>
      </c>
      <c r="U5" s="81">
        <f>IFERROR((F5/$F5)*100,"")</f>
        <v>100</v>
      </c>
    </row>
    <row r="6" spans="1:22" ht="20.25" customHeight="1" x14ac:dyDescent="0.25">
      <c r="A6" s="75" t="s">
        <v>569</v>
      </c>
      <c r="B6" s="77">
        <f>Balanço_DR!C50</f>
        <v>11073.31</v>
      </c>
      <c r="C6" s="77">
        <f>Balanço_DR!F50</f>
        <v>11073.31</v>
      </c>
      <c r="D6" s="77">
        <f>Balanço_DR!I50</f>
        <v>11073.31</v>
      </c>
      <c r="E6" s="77">
        <f>Balanço_DR!L50</f>
        <v>11073.31</v>
      </c>
      <c r="F6" s="77">
        <f>Balanço_DR!O50</f>
        <v>11073.31</v>
      </c>
      <c r="H6" s="75" t="s">
        <v>569</v>
      </c>
      <c r="I6" s="80">
        <f t="shared" si="0"/>
        <v>0</v>
      </c>
      <c r="J6" s="80">
        <f t="shared" si="0"/>
        <v>0</v>
      </c>
      <c r="K6" s="80">
        <f t="shared" si="0"/>
        <v>0</v>
      </c>
      <c r="L6" s="80">
        <f t="shared" ref="L6:L7" si="2">IFERROR((E6/F6)-1,"")</f>
        <v>0</v>
      </c>
      <c r="M6" s="80">
        <f t="shared" ref="M6:M7" si="3">IFERROR((F6/F6)-1,"")</f>
        <v>0</v>
      </c>
      <c r="N6" s="80">
        <f t="shared" ref="N6:N7" si="4">IFERROR(((B6/F6)^0.25)-1,"")</f>
        <v>0</v>
      </c>
      <c r="P6" s="75" t="s">
        <v>569</v>
      </c>
      <c r="Q6" s="81">
        <f t="shared" si="1"/>
        <v>100</v>
      </c>
      <c r="R6" s="81">
        <f t="shared" si="1"/>
        <v>100</v>
      </c>
      <c r="S6" s="81">
        <f t="shared" si="1"/>
        <v>100</v>
      </c>
      <c r="T6" s="81">
        <f t="shared" si="1"/>
        <v>100</v>
      </c>
      <c r="U6" s="81">
        <f t="shared" ref="U6" si="5">IFERROR((F6/$F6)*100,"")</f>
        <v>100</v>
      </c>
    </row>
    <row r="7" spans="1:22" ht="20.25" customHeight="1" x14ac:dyDescent="0.25">
      <c r="A7" s="75" t="s">
        <v>570</v>
      </c>
      <c r="B7" s="77">
        <f>Balanço_DR!C51</f>
        <v>1483761.21</v>
      </c>
      <c r="C7" s="77">
        <f>Balanço_DR!F51</f>
        <v>327657.90000000002</v>
      </c>
      <c r="D7" s="77">
        <f>Balanço_DR!I51</f>
        <v>60000</v>
      </c>
      <c r="E7" s="77">
        <f>Balanço_DR!L51</f>
        <v>0</v>
      </c>
      <c r="F7" s="77">
        <f>Balanço_DR!O51</f>
        <v>0</v>
      </c>
      <c r="H7" s="75" t="s">
        <v>570</v>
      </c>
      <c r="I7" s="80">
        <f t="shared" si="0"/>
        <v>3.5283852762286516</v>
      </c>
      <c r="J7" s="80">
        <f t="shared" si="0"/>
        <v>4.4609650000000007</v>
      </c>
      <c r="K7" s="80" t="str">
        <f t="shared" si="0"/>
        <v/>
      </c>
      <c r="L7" s="80" t="str">
        <f t="shared" si="2"/>
        <v/>
      </c>
      <c r="M7" s="80" t="str">
        <f t="shared" si="3"/>
        <v/>
      </c>
      <c r="N7" s="80" t="str">
        <f t="shared" si="4"/>
        <v/>
      </c>
      <c r="P7" s="75" t="s">
        <v>571</v>
      </c>
      <c r="Q7" s="81">
        <f>IFERROR((B9/$F9)*100,"")</f>
        <v>2310.615501114055</v>
      </c>
      <c r="R7" s="81">
        <f>IFERROR((C9/$F9)*100,"")</f>
        <v>571.88811777772605</v>
      </c>
      <c r="S7" s="81">
        <f>IFERROR((D9/$F9)*100,"")</f>
        <v>-986.72615310111792</v>
      </c>
      <c r="T7" s="81">
        <f>IFERROR((E9/$F9)*100,"")</f>
        <v>100</v>
      </c>
      <c r="U7" s="81">
        <f>IFERROR((F9/$F9)*100,"")</f>
        <v>100</v>
      </c>
    </row>
    <row r="8" spans="1:22" ht="20.25" customHeight="1" x14ac:dyDescent="0.25">
      <c r="A8" s="75" t="s">
        <v>572</v>
      </c>
      <c r="B8" s="77">
        <f>Balanço_DR!C52</f>
        <v>0</v>
      </c>
      <c r="C8" s="77">
        <f>Balanço_DR!F52</f>
        <v>0</v>
      </c>
      <c r="D8" s="77">
        <f>Balanço_DR!I52</f>
        <v>-768685.77</v>
      </c>
      <c r="E8" s="77">
        <f>Balanço_DR!L52</f>
        <v>51.48</v>
      </c>
      <c r="F8" s="77">
        <f>Balanço_DR!O52</f>
        <v>51.48</v>
      </c>
      <c r="H8" s="75" t="s">
        <v>571</v>
      </c>
      <c r="I8" s="80">
        <f>IFERROR((B9/C9)-1,"")</f>
        <v>3.0403278705855445</v>
      </c>
      <c r="J8" s="80">
        <f>IFERROR((C9/D9)-1,"")</f>
        <v>-1.5795813924465019</v>
      </c>
      <c r="K8" s="80">
        <f>IFERROR((D9/E9)-1,"")</f>
        <v>-10.867261531011179</v>
      </c>
      <c r="L8" s="80">
        <f>IFERROR((E9/F9)-1,"")</f>
        <v>0</v>
      </c>
      <c r="M8" s="80">
        <f>IFERROR((F9/F9)-1,"")</f>
        <v>0</v>
      </c>
      <c r="N8" s="80">
        <f>IFERROR(((B9/F9)^0.25)-1,"")</f>
        <v>1.1924612214189367</v>
      </c>
      <c r="P8" s="75" t="s">
        <v>573</v>
      </c>
      <c r="Q8" s="81">
        <f t="shared" ref="Q8:U9" si="6">IFERROR((B11/$F11)*100,"")</f>
        <v>127.65781678698997</v>
      </c>
      <c r="R8" s="81">
        <f t="shared" si="6"/>
        <v>73.262852196384614</v>
      </c>
      <c r="S8" s="81">
        <f t="shared" si="6"/>
        <v>72.773571066065614</v>
      </c>
      <c r="T8" s="81">
        <f t="shared" si="6"/>
        <v>73.274544904965325</v>
      </c>
      <c r="U8" s="81">
        <f t="shared" si="6"/>
        <v>100</v>
      </c>
    </row>
    <row r="9" spans="1:22" ht="20.25" customHeight="1" x14ac:dyDescent="0.25">
      <c r="A9" s="75" t="s">
        <v>571</v>
      </c>
      <c r="B9" s="77">
        <f>SUM(B5:B8)</f>
        <v>1536359.44</v>
      </c>
      <c r="C9" s="77">
        <f>SUM(C5:C8)</f>
        <v>380256.13</v>
      </c>
      <c r="D9" s="77">
        <f>SUM(D5:D8)</f>
        <v>-656087.54</v>
      </c>
      <c r="E9" s="77">
        <f>SUM(E5:E8)</f>
        <v>66491.349999999991</v>
      </c>
      <c r="F9" s="77">
        <f>SUM(F5:F8)</f>
        <v>66491.349999999991</v>
      </c>
      <c r="H9" s="75" t="s">
        <v>573</v>
      </c>
      <c r="I9" s="80">
        <f t="shared" ref="I9:L10" si="7">IFERROR((B11/C11)-1,"")</f>
        <v>0.74246310319446795</v>
      </c>
      <c r="J9" s="80">
        <f t="shared" si="7"/>
        <v>6.7233354520257471E-3</v>
      </c>
      <c r="K9" s="80">
        <f t="shared" si="7"/>
        <v>-6.8369423453867872E-3</v>
      </c>
      <c r="L9" s="80">
        <f t="shared" si="7"/>
        <v>-0.26725455095034678</v>
      </c>
      <c r="M9" s="80">
        <f>IFERROR((F11/F11)-1,"")</f>
        <v>0</v>
      </c>
      <c r="N9" s="80">
        <f>IFERROR(((B11/F11)^0.25)-1,"")</f>
        <v>6.2947593923880163E-2</v>
      </c>
      <c r="P9" s="75" t="s">
        <v>519</v>
      </c>
      <c r="Q9" s="81">
        <f t="shared" si="6"/>
        <v>206.79674184122311</v>
      </c>
      <c r="R9" s="81">
        <f t="shared" si="6"/>
        <v>91.339550524668184</v>
      </c>
      <c r="S9" s="81">
        <f t="shared" si="6"/>
        <v>34.363449849403125</v>
      </c>
      <c r="T9" s="81">
        <f t="shared" si="6"/>
        <v>74.243424788891346</v>
      </c>
      <c r="U9" s="81">
        <f t="shared" si="6"/>
        <v>100</v>
      </c>
    </row>
    <row r="10" spans="1:22" ht="20.25" customHeight="1" x14ac:dyDescent="0.25">
      <c r="A10" s="51" t="s">
        <v>574</v>
      </c>
      <c r="B10" s="76">
        <f>B9/Balanço_DR!C56</f>
        <v>1</v>
      </c>
      <c r="C10" s="76">
        <f>C9/Balanço_DR!F56</f>
        <v>1</v>
      </c>
      <c r="D10" s="76">
        <f>D9/Balanço_DR!I56</f>
        <v>1</v>
      </c>
      <c r="E10" s="76">
        <f>E9/Balanço_DR!L56</f>
        <v>0.99999999999999978</v>
      </c>
      <c r="F10" s="76">
        <f>F9/Balanço_DR!O56</f>
        <v>0.99999999999999978</v>
      </c>
      <c r="H10" s="75" t="s">
        <v>519</v>
      </c>
      <c r="I10" s="80">
        <f t="shared" si="7"/>
        <v>1.2640437866548644</v>
      </c>
      <c r="J10" s="80">
        <f t="shared" si="7"/>
        <v>1.6580436750373218</v>
      </c>
      <c r="K10" s="80">
        <f t="shared" si="7"/>
        <v>-0.53715160706669407</v>
      </c>
      <c r="L10" s="80">
        <f t="shared" si="7"/>
        <v>-0.25756575211108657</v>
      </c>
      <c r="M10" s="80">
        <f>IFERROR((F12/F12)-1,"")</f>
        <v>0</v>
      </c>
      <c r="N10" s="80">
        <f>IFERROR(((B12/F12)^0.25)-1,"")</f>
        <v>0.19918426965031233</v>
      </c>
    </row>
    <row r="11" spans="1:22" ht="20.25" customHeight="1" x14ac:dyDescent="0.25">
      <c r="A11" s="75" t="s">
        <v>573</v>
      </c>
      <c r="B11" s="77">
        <f>Balanço_DR!C57</f>
        <v>2256476.11</v>
      </c>
      <c r="C11" s="77">
        <f>Balanço_DR!F57</f>
        <v>1294992.19</v>
      </c>
      <c r="D11" s="77">
        <f>Balanço_DR!I57</f>
        <v>1286343.67</v>
      </c>
      <c r="E11" s="77">
        <f>Balanço_DR!L57</f>
        <v>1295198.8700000001</v>
      </c>
      <c r="F11" s="77">
        <f>Balanço_DR!O57</f>
        <v>1767597.29</v>
      </c>
    </row>
    <row r="12" spans="1:22" ht="20.25" customHeight="1" x14ac:dyDescent="0.25">
      <c r="A12" s="75" t="s">
        <v>519</v>
      </c>
      <c r="B12" s="77">
        <f>SUM(B9,B11)</f>
        <v>3792835.55</v>
      </c>
      <c r="C12" s="77">
        <f>SUM(C9,C11)</f>
        <v>1675248.3199999998</v>
      </c>
      <c r="D12" s="77">
        <f>SUM(D9,D11)</f>
        <v>630256.12999999989</v>
      </c>
      <c r="E12" s="77">
        <f>SUM(E9,E11)</f>
        <v>1361690.2200000002</v>
      </c>
      <c r="F12" s="77">
        <f>SUM(F9,F11)</f>
        <v>1834088.6400000001</v>
      </c>
    </row>
    <row r="13" spans="1:22" ht="20.25" customHeight="1" x14ac:dyDescent="0.25">
      <c r="A13" s="51" t="s">
        <v>575</v>
      </c>
      <c r="B13" s="76">
        <f>B12/Balanço_DR!C59</f>
        <v>1</v>
      </c>
      <c r="C13" s="76">
        <f>C12/Balanço_DR!F59</f>
        <v>0.99999999999999989</v>
      </c>
      <c r="D13" s="76">
        <f>D12/Balanço_DR!I59</f>
        <v>0.99999999999999978</v>
      </c>
      <c r="E13" s="76">
        <f>E12/Balanço_DR!L59</f>
        <v>1.0000000000000002</v>
      </c>
      <c r="F13" s="76">
        <f>F12/Balanço_DR!O59</f>
        <v>1.0000000000000002</v>
      </c>
    </row>
    <row r="14" spans="1:22" ht="20.25" customHeight="1" x14ac:dyDescent="0.25"/>
    <row r="15" spans="1:22" ht="20.25" customHeight="1" x14ac:dyDescent="0.25"/>
    <row r="16" spans="1:22" ht="20.25" customHeight="1" x14ac:dyDescent="0.25"/>
    <row r="17" ht="20.25" customHeight="1" x14ac:dyDescent="0.25"/>
    <row r="18" ht="20.25" customHeight="1" x14ac:dyDescent="0.25"/>
    <row r="19" ht="20.25" customHeight="1" x14ac:dyDescent="0.25"/>
    <row r="20" ht="20.25" customHeight="1" x14ac:dyDescent="0.25"/>
    <row r="21" ht="20.25" customHeight="1" x14ac:dyDescent="0.25"/>
    <row r="22" ht="20.25" customHeight="1" x14ac:dyDescent="0.25"/>
    <row r="23" ht="20.25" customHeight="1" x14ac:dyDescent="0.25"/>
    <row r="24" ht="20.25" customHeight="1" x14ac:dyDescent="0.25"/>
    <row r="25" ht="20.25" customHeight="1" x14ac:dyDescent="0.25"/>
    <row r="26" ht="20.25" customHeight="1" x14ac:dyDescent="0.25"/>
    <row r="27" ht="20.25" customHeight="1" x14ac:dyDescent="0.25"/>
    <row r="28" ht="20.25" customHeight="1" x14ac:dyDescent="0.25"/>
    <row r="29" ht="20.25" customHeight="1" x14ac:dyDescent="0.25"/>
    <row r="30" ht="20.25" customHeight="1" x14ac:dyDescent="0.25"/>
    <row r="31" ht="20.25" customHeight="1" x14ac:dyDescent="0.25"/>
    <row r="32" ht="20.25" customHeight="1" x14ac:dyDescent="0.25"/>
    <row r="33" ht="20.25" customHeight="1" x14ac:dyDescent="0.25"/>
    <row r="34" ht="20.25" customHeight="1" x14ac:dyDescent="0.25"/>
    <row r="35" ht="20.25" customHeight="1" x14ac:dyDescent="0.25"/>
    <row r="36" ht="20.25" customHeight="1" x14ac:dyDescent="0.25"/>
    <row r="37" ht="20.25" customHeight="1" x14ac:dyDescent="0.25"/>
    <row r="38" ht="20.25" customHeight="1" x14ac:dyDescent="0.25"/>
    <row r="39" ht="20.25" customHeight="1" x14ac:dyDescent="0.25"/>
    <row r="40" ht="20.25" customHeight="1" x14ac:dyDescent="0.25"/>
    <row r="41" ht="20.25" customHeight="1" x14ac:dyDescent="0.25"/>
    <row r="42" ht="20.25" customHeight="1" x14ac:dyDescent="0.25"/>
    <row r="43" ht="20.25" customHeight="1" x14ac:dyDescent="0.25"/>
    <row r="44" ht="20.25" customHeight="1" x14ac:dyDescent="0.25"/>
    <row r="45" ht="20.25" customHeight="1" x14ac:dyDescent="0.25"/>
    <row r="46" ht="20.25" customHeight="1" x14ac:dyDescent="0.25"/>
    <row r="47" ht="20.25" customHeight="1" x14ac:dyDescent="0.25"/>
    <row r="48" ht="20.25" customHeight="1" x14ac:dyDescent="0.25"/>
    <row r="49" ht="20.25" customHeight="1" x14ac:dyDescent="0.25"/>
    <row r="50" ht="20.25" customHeight="1" x14ac:dyDescent="0.25"/>
    <row r="51" ht="20.25" customHeight="1" x14ac:dyDescent="0.25"/>
    <row r="52" ht="20.25" customHeight="1" x14ac:dyDescent="0.25"/>
    <row r="53" ht="20.25" customHeight="1" x14ac:dyDescent="0.25"/>
    <row r="54" ht="20.25" customHeight="1" x14ac:dyDescent="0.25"/>
    <row r="55" ht="20.25" customHeight="1" x14ac:dyDescent="0.25"/>
    <row r="56" ht="20.25" customHeight="1" x14ac:dyDescent="0.25"/>
  </sheetData>
  <mergeCells count="1">
    <mergeCell ref="A1:V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01EF1-7625-4713-9224-97BFE10BBB97}">
  <dimension ref="A1:S36"/>
  <sheetViews>
    <sheetView showGridLines="0" topLeftCell="A3" workbookViewId="0">
      <selection activeCell="A4" sqref="A4"/>
    </sheetView>
  </sheetViews>
  <sheetFormatPr defaultRowHeight="15" x14ac:dyDescent="0.25"/>
  <cols>
    <col min="1" max="1" width="66.28515625" bestFit="1" customWidth="1"/>
    <col min="2" max="2" width="12.85546875" bestFit="1" customWidth="1"/>
    <col min="3" max="3" width="11.42578125" bestFit="1" customWidth="1"/>
    <col min="4" max="4" width="12.85546875" bestFit="1" customWidth="1"/>
    <col min="5" max="5" width="11.42578125" bestFit="1" customWidth="1"/>
    <col min="6" max="6" width="12.85546875" bestFit="1" customWidth="1"/>
    <col min="8" max="8" width="66.28515625" bestFit="1" customWidth="1"/>
    <col min="9" max="13" width="10.7109375" bestFit="1" customWidth="1"/>
    <col min="14" max="14" width="18" bestFit="1" customWidth="1"/>
  </cols>
  <sheetData>
    <row r="1" spans="1:19" ht="20.25" customHeight="1" x14ac:dyDescent="0.25">
      <c r="A1" s="218" t="s">
        <v>576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</row>
    <row r="2" spans="1:19" ht="20.25" customHeight="1" x14ac:dyDescent="0.25">
      <c r="A2" s="218"/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</row>
    <row r="3" spans="1:19" ht="20.25" customHeight="1" x14ac:dyDescent="0.25"/>
    <row r="4" spans="1:19" ht="31.5" customHeight="1" x14ac:dyDescent="0.25">
      <c r="A4" s="60" t="s">
        <v>539</v>
      </c>
      <c r="B4" s="53" t="s">
        <v>3</v>
      </c>
      <c r="C4" s="53" t="s">
        <v>4</v>
      </c>
      <c r="D4" s="53" t="s">
        <v>5</v>
      </c>
      <c r="E4" s="53" t="s">
        <v>6</v>
      </c>
      <c r="F4" s="53" t="s">
        <v>7</v>
      </c>
      <c r="H4" s="60" t="s">
        <v>540</v>
      </c>
      <c r="I4" s="53" t="s">
        <v>3</v>
      </c>
      <c r="J4" s="53" t="s">
        <v>4</v>
      </c>
      <c r="K4" s="53" t="s">
        <v>5</v>
      </c>
      <c r="L4" s="53" t="s">
        <v>6</v>
      </c>
      <c r="M4" s="53" t="s">
        <v>7</v>
      </c>
      <c r="N4" s="58" t="s">
        <v>495</v>
      </c>
    </row>
    <row r="5" spans="1:19" ht="20.25" customHeight="1" x14ac:dyDescent="0.25">
      <c r="A5" s="53" t="s">
        <v>577</v>
      </c>
      <c r="B5" s="56">
        <f>'Detalhes_Contas ("Anexo")'!C86</f>
        <v>649576.34</v>
      </c>
      <c r="C5" s="56">
        <f>'Detalhes_Contas ("Anexo")'!F86</f>
        <v>156024.34</v>
      </c>
      <c r="D5" s="56">
        <f>'Detalhes_Contas ("Anexo")'!I86</f>
        <v>145506.68</v>
      </c>
      <c r="E5" s="56">
        <f>'Detalhes_Contas ("Anexo")'!L86</f>
        <v>109374.05</v>
      </c>
      <c r="F5" s="56">
        <f>'Detalhes_Contas ("Anexo")'!O86</f>
        <v>199053.28</v>
      </c>
      <c r="H5" s="53" t="s">
        <v>577</v>
      </c>
      <c r="I5" s="57">
        <f t="shared" ref="I5:K5" si="0">(B5/C5)-1</f>
        <v>3.1633013156793357</v>
      </c>
      <c r="J5" s="57">
        <f t="shared" si="0"/>
        <v>7.2283004464124945E-2</v>
      </c>
      <c r="K5" s="57">
        <f t="shared" si="0"/>
        <v>0.33035834368389927</v>
      </c>
      <c r="L5" s="57">
        <f>(E5/F5)-1</f>
        <v>-0.45052877299987215</v>
      </c>
      <c r="M5" s="57">
        <f>(F5/F5)-1</f>
        <v>0</v>
      </c>
      <c r="N5" s="57">
        <f>((B5/F5)^0.25)-1</f>
        <v>0.34404934915346619</v>
      </c>
    </row>
    <row r="6" spans="1:19" ht="20.25" customHeight="1" x14ac:dyDescent="0.25">
      <c r="A6" s="53" t="s">
        <v>578</v>
      </c>
      <c r="B6" s="56">
        <f>Balanço_DR!C70</f>
        <v>649576.34</v>
      </c>
      <c r="C6" s="56">
        <f>Balanço_DR!F70</f>
        <v>156024.34</v>
      </c>
      <c r="D6" s="56">
        <f>Balanço_DR!I70</f>
        <v>145506.68</v>
      </c>
      <c r="E6" s="56">
        <f>Balanço_DR!L70</f>
        <v>109374.05</v>
      </c>
      <c r="F6" s="56">
        <f>Balanço_DR!O70</f>
        <v>199053.28</v>
      </c>
      <c r="H6" s="54" t="s">
        <v>579</v>
      </c>
      <c r="I6" s="57">
        <f t="shared" ref="I6:K6" si="1">(B8/C8)-1</f>
        <v>0.34905479150859198</v>
      </c>
      <c r="J6" s="57">
        <f t="shared" si="1"/>
        <v>2.255403852726845E-2</v>
      </c>
      <c r="K6" s="57">
        <f t="shared" si="1"/>
        <v>2.9522461787714116E-2</v>
      </c>
      <c r="L6" s="57">
        <f>(E8/F8)-1</f>
        <v>0.18825891827587715</v>
      </c>
      <c r="M6" s="57">
        <f>(F8/F8)-1</f>
        <v>0</v>
      </c>
      <c r="N6" s="57">
        <f>((B8/F8)^0.25)-1</f>
        <v>0.13976598412801744</v>
      </c>
    </row>
    <row r="7" spans="1:19" ht="20.25" customHeight="1" x14ac:dyDescent="0.25">
      <c r="A7" s="51" t="s">
        <v>580</v>
      </c>
      <c r="B7" s="50">
        <f>B5/B6</f>
        <v>1</v>
      </c>
      <c r="C7" s="50">
        <f t="shared" ref="C7:F7" si="2">C5/C6</f>
        <v>1</v>
      </c>
      <c r="D7" s="50">
        <f t="shared" si="2"/>
        <v>1</v>
      </c>
      <c r="E7" s="50">
        <f t="shared" si="2"/>
        <v>1</v>
      </c>
      <c r="F7" s="50">
        <f t="shared" si="2"/>
        <v>1</v>
      </c>
      <c r="H7" s="53" t="s">
        <v>581</v>
      </c>
      <c r="I7" s="57">
        <f t="shared" ref="I7:K7" si="3">(B9/C9)-1</f>
        <v>-0.12048248629573644</v>
      </c>
      <c r="J7" s="57">
        <f t="shared" si="3"/>
        <v>-0.13993667735677784</v>
      </c>
      <c r="K7" s="57">
        <f t="shared" si="3"/>
        <v>0.34465399589957246</v>
      </c>
      <c r="L7" s="57">
        <f>(E9/F9)-1</f>
        <v>0.17899941904561523</v>
      </c>
      <c r="M7" s="57">
        <f>(F9/F9)-1</f>
        <v>0</v>
      </c>
      <c r="N7" s="57">
        <f>((B9/F9)^0.25)-1</f>
        <v>4.6465136906939986E-2</v>
      </c>
    </row>
    <row r="8" spans="1:19" ht="20.25" customHeight="1" x14ac:dyDescent="0.25">
      <c r="A8" s="54" t="s">
        <v>579</v>
      </c>
      <c r="B8" s="56">
        <f>'Detalhes_Contas ("Anexo")'!C91</f>
        <v>397342.45</v>
      </c>
      <c r="C8" s="56">
        <f>'Detalhes_Contas ("Anexo")'!F91</f>
        <v>294533.96000000002</v>
      </c>
      <c r="D8" s="56">
        <f>'Detalhes_Contas ("Anexo")'!I91</f>
        <v>288037.55</v>
      </c>
      <c r="E8" s="56">
        <f>'Detalhes_Contas ("Anexo")'!L91</f>
        <v>279777.82</v>
      </c>
      <c r="F8" s="56">
        <f>'Detalhes_Contas ("Anexo")'!O91</f>
        <v>235451.9</v>
      </c>
      <c r="H8" s="53" t="str">
        <f>A13</f>
        <v>Estado e Outros Entes Públicos</v>
      </c>
      <c r="I8" s="57">
        <f t="shared" ref="I8:K8" si="4">(B13/C13)-1</f>
        <v>1.1557036838921944</v>
      </c>
      <c r="J8" s="57">
        <f t="shared" si="4"/>
        <v>0.3266987442443956</v>
      </c>
      <c r="K8" s="57">
        <f t="shared" si="4"/>
        <v>-0.73252633780566634</v>
      </c>
      <c r="L8" s="57">
        <f>(E13/F13)-1</f>
        <v>3.7149849913969382</v>
      </c>
      <c r="M8" s="57">
        <f>(F13/F13)-1</f>
        <v>0</v>
      </c>
      <c r="N8" s="57">
        <f>((F13/B13)^0.25)-1</f>
        <v>-0.27436316592802634</v>
      </c>
    </row>
    <row r="9" spans="1:19" ht="20.25" customHeight="1" x14ac:dyDescent="0.25">
      <c r="A9" s="53" t="s">
        <v>581</v>
      </c>
      <c r="B9" s="56">
        <f>'Detalhes_Contas ("Anexo")'!C92</f>
        <v>95800.68</v>
      </c>
      <c r="C9" s="56">
        <f>'Detalhes_Contas ("Anexo")'!F92</f>
        <v>108924.13</v>
      </c>
      <c r="D9" s="56">
        <f>'Detalhes_Contas ("Anexo")'!I92</f>
        <v>126646.64</v>
      </c>
      <c r="E9" s="56">
        <f>'Detalhes_Contas ("Anexo")'!L92</f>
        <v>94185.3</v>
      </c>
      <c r="F9" s="56">
        <f>'Detalhes_Contas ("Anexo")'!O92</f>
        <v>79885.789999999994</v>
      </c>
      <c r="H9" s="53" t="str">
        <f>A14</f>
        <v>Financiamentos Obtidos Correntes</v>
      </c>
      <c r="I9" s="57">
        <f t="shared" ref="I9:K10" si="5">(B14/C14)-1</f>
        <v>1.3040371182678596</v>
      </c>
      <c r="J9" s="57">
        <f t="shared" si="5"/>
        <v>-0.21279712485285718</v>
      </c>
      <c r="K9" s="57">
        <f t="shared" si="5"/>
        <v>0.19896072252760977</v>
      </c>
      <c r="L9" s="57">
        <f>(E14/F14)-1</f>
        <v>-0.53093892901836193</v>
      </c>
      <c r="M9" s="57">
        <f>(F14/F14)-1</f>
        <v>0</v>
      </c>
      <c r="N9" s="57">
        <f>((F14/B14)^0.25)-1</f>
        <v>-4.9443327133061876E-3</v>
      </c>
    </row>
    <row r="10" spans="1:19" ht="20.25" customHeight="1" x14ac:dyDescent="0.25">
      <c r="A10" s="55" t="s">
        <v>582</v>
      </c>
      <c r="B10" s="56">
        <f>Balanço_DR!C75</f>
        <v>519829.8</v>
      </c>
      <c r="C10" s="56">
        <f>Balanço_DR!F75</f>
        <v>436533.07</v>
      </c>
      <c r="D10" s="56">
        <f>Balanço_DR!I75</f>
        <v>459963.32</v>
      </c>
      <c r="E10" s="56">
        <f>Balanço_DR!L75</f>
        <v>419095.11</v>
      </c>
      <c r="F10" s="56">
        <f>Balanço_DR!O75</f>
        <v>327588.61</v>
      </c>
      <c r="H10" s="53" t="str">
        <f>A15</f>
        <v>Juros suportados</v>
      </c>
      <c r="I10" s="57">
        <f t="shared" si="5"/>
        <v>-0.66107209259385424</v>
      </c>
      <c r="J10" s="57">
        <f t="shared" si="5"/>
        <v>3.3322297080526146</v>
      </c>
      <c r="K10" s="57">
        <f t="shared" si="5"/>
        <v>-0.78952992991983639</v>
      </c>
      <c r="L10" s="57">
        <f>(E15/F15)-1</f>
        <v>1.4509480717502643</v>
      </c>
      <c r="M10" s="57">
        <f>(F15/F15)-1</f>
        <v>0</v>
      </c>
      <c r="N10" s="57">
        <f>((F15/B15)^0.25)-1</f>
        <v>7.1924468372255523E-2</v>
      </c>
    </row>
    <row r="11" spans="1:19" ht="20.25" customHeight="1" x14ac:dyDescent="0.25">
      <c r="A11" s="51" t="s">
        <v>583</v>
      </c>
      <c r="B11" s="50">
        <f>SUM(B8:B9)/B10</f>
        <v>0.94866267766872925</v>
      </c>
      <c r="C11" s="50">
        <f t="shared" ref="C11:F11" si="6">SUM(C8:C9)/C10</f>
        <v>0.92423259021361204</v>
      </c>
      <c r="D11" s="50">
        <f t="shared" si="6"/>
        <v>0.90155925911657475</v>
      </c>
      <c r="E11" s="50">
        <f t="shared" si="6"/>
        <v>0.89231086471039955</v>
      </c>
      <c r="F11" s="50">
        <f t="shared" si="6"/>
        <v>0.9626027290753485</v>
      </c>
    </row>
    <row r="12" spans="1:19" ht="20.25" customHeight="1" x14ac:dyDescent="0.25">
      <c r="A12" s="53" t="s">
        <v>584</v>
      </c>
      <c r="B12" s="56">
        <f>Balanço_DR!C63</f>
        <v>0</v>
      </c>
      <c r="C12" s="56">
        <f>Balanço_DR!F63</f>
        <v>0</v>
      </c>
      <c r="D12" s="56">
        <f>Balanço_DR!I63</f>
        <v>1218750</v>
      </c>
      <c r="E12" s="56">
        <f>Balanço_DR!L63</f>
        <v>0</v>
      </c>
      <c r="F12" s="56">
        <f>Balanço_DR!O63</f>
        <v>0</v>
      </c>
    </row>
    <row r="13" spans="1:19" ht="20.25" customHeight="1" x14ac:dyDescent="0.25">
      <c r="A13" s="53" t="s">
        <v>565</v>
      </c>
      <c r="B13" s="56">
        <f>Balanço_DR!C72</f>
        <v>370278.69</v>
      </c>
      <c r="C13" s="56">
        <f>Balanço_DR!F72</f>
        <v>171766.97</v>
      </c>
      <c r="D13" s="56">
        <f>Balanço_DR!I72</f>
        <v>129469.46</v>
      </c>
      <c r="E13" s="56">
        <f>Balanço_DR!L72</f>
        <v>484045.64</v>
      </c>
      <c r="F13" s="56">
        <f>Balanço_DR!O72</f>
        <v>102661.12</v>
      </c>
      <c r="H13" s="60" t="s">
        <v>501</v>
      </c>
      <c r="I13" s="53" t="s">
        <v>3</v>
      </c>
      <c r="J13" s="53" t="s">
        <v>4</v>
      </c>
      <c r="K13" s="53" t="s">
        <v>5</v>
      </c>
      <c r="L13" s="53" t="s">
        <v>6</v>
      </c>
      <c r="M13" s="53" t="s">
        <v>7</v>
      </c>
    </row>
    <row r="14" spans="1:19" ht="20.25" customHeight="1" x14ac:dyDescent="0.25">
      <c r="A14" s="53" t="s">
        <v>585</v>
      </c>
      <c r="B14" s="56">
        <f>Balanço_DR!C74</f>
        <v>1082352.08</v>
      </c>
      <c r="C14" s="56">
        <f>Balanço_DR!F74</f>
        <v>469763.3</v>
      </c>
      <c r="D14" s="56">
        <f>Balanço_DR!I74</f>
        <v>596749.98</v>
      </c>
      <c r="E14" s="56">
        <f>Balanço_DR!L74</f>
        <v>497722.71</v>
      </c>
      <c r="F14" s="56">
        <f>Balanço_DR!O74</f>
        <v>1061104.28</v>
      </c>
      <c r="H14" s="53" t="s">
        <v>577</v>
      </c>
      <c r="I14" s="59">
        <f>(B5/$F5)*100</f>
        <v>326.33289941265974</v>
      </c>
      <c r="J14" s="59">
        <f>(C5/$F5)*100</f>
        <v>78.383204737947537</v>
      </c>
      <c r="K14" s="59">
        <f>(D5/$F5)*100</f>
        <v>73.099363145384984</v>
      </c>
      <c r="L14" s="59">
        <f>(E5/$F5)*100</f>
        <v>54.947122700012784</v>
      </c>
      <c r="M14" s="59">
        <f>(F5/$F5)*100</f>
        <v>100</v>
      </c>
    </row>
    <row r="15" spans="1:19" ht="20.25" customHeight="1" x14ac:dyDescent="0.25">
      <c r="A15" s="53" t="s">
        <v>586</v>
      </c>
      <c r="B15" s="56">
        <f>'Detalhes_Contas ("Anexo")'!C219</f>
        <v>3432.55</v>
      </c>
      <c r="C15" s="56">
        <f>'Detalhes_Contas ("Anexo")'!F219</f>
        <v>10127.67</v>
      </c>
      <c r="D15" s="56">
        <f>'Detalhes_Contas ("Anexo")'!I219</f>
        <v>2337.75</v>
      </c>
      <c r="E15" s="56">
        <f>'Detalhes_Contas ("Anexo")'!L219</f>
        <v>11107.28</v>
      </c>
      <c r="F15" s="56">
        <f>'Detalhes_Contas ("Anexo")'!O219</f>
        <v>4531.83</v>
      </c>
      <c r="H15" s="54" t="s">
        <v>579</v>
      </c>
      <c r="I15" s="59">
        <f t="shared" ref="I15:M16" si="7">(B8/$F8)*100</f>
        <v>168.75737677207107</v>
      </c>
      <c r="J15" s="59">
        <f t="shared" si="7"/>
        <v>125.09304872884866</v>
      </c>
      <c r="K15" s="59">
        <f t="shared" si="7"/>
        <v>122.33392467845874</v>
      </c>
      <c r="L15" s="59">
        <f t="shared" si="7"/>
        <v>118.82589182758771</v>
      </c>
      <c r="M15" s="59">
        <f t="shared" si="7"/>
        <v>100</v>
      </c>
    </row>
    <row r="16" spans="1:19" ht="20.25" customHeight="1" x14ac:dyDescent="0.25">
      <c r="H16" s="53" t="s">
        <v>581</v>
      </c>
      <c r="I16" s="59">
        <f t="shared" si="7"/>
        <v>119.92205372194479</v>
      </c>
      <c r="J16" s="59">
        <f t="shared" si="7"/>
        <v>136.34981891022173</v>
      </c>
      <c r="K16" s="59">
        <f t="shared" si="7"/>
        <v>158.53462799829606</v>
      </c>
      <c r="L16" s="59">
        <f t="shared" si="7"/>
        <v>117.89994190456153</v>
      </c>
      <c r="M16" s="59">
        <f t="shared" si="7"/>
        <v>100</v>
      </c>
    </row>
    <row r="17" spans="8:13" ht="20.25" customHeight="1" x14ac:dyDescent="0.25">
      <c r="H17" s="53" t="str">
        <f>A13</f>
        <v>Estado e Outros Entes Públicos</v>
      </c>
      <c r="I17" s="59">
        <f t="shared" ref="I17:M18" si="8">(B13/$F13)*100</f>
        <v>360.68054780621918</v>
      </c>
      <c r="J17" s="59">
        <f t="shared" si="8"/>
        <v>167.31452959017008</v>
      </c>
      <c r="K17" s="59">
        <f t="shared" si="8"/>
        <v>126.11343028402575</v>
      </c>
      <c r="L17" s="59">
        <f t="shared" si="8"/>
        <v>471.49849913969382</v>
      </c>
      <c r="M17" s="59">
        <f t="shared" si="8"/>
        <v>100</v>
      </c>
    </row>
    <row r="18" spans="8:13" ht="20.25" customHeight="1" x14ac:dyDescent="0.25">
      <c r="H18" s="53" t="str">
        <f>A14</f>
        <v>Financiamentos Obtidos Correntes</v>
      </c>
      <c r="I18" s="59">
        <f t="shared" si="8"/>
        <v>102.00242336219773</v>
      </c>
      <c r="J18" s="59">
        <f t="shared" si="8"/>
        <v>44.27117191535595</v>
      </c>
      <c r="K18" s="59">
        <f t="shared" si="8"/>
        <v>56.238580057371919</v>
      </c>
      <c r="L18" s="59">
        <f t="shared" si="8"/>
        <v>46.906107098163815</v>
      </c>
      <c r="M18" s="59">
        <f t="shared" si="8"/>
        <v>100</v>
      </c>
    </row>
    <row r="19" spans="8:13" ht="20.25" customHeight="1" x14ac:dyDescent="0.25"/>
    <row r="20" spans="8:13" ht="20.25" customHeight="1" x14ac:dyDescent="0.25"/>
    <row r="21" spans="8:13" ht="20.25" customHeight="1" x14ac:dyDescent="0.25"/>
    <row r="22" spans="8:13" ht="20.25" customHeight="1" x14ac:dyDescent="0.25"/>
    <row r="23" spans="8:13" ht="20.25" customHeight="1" x14ac:dyDescent="0.25"/>
    <row r="24" spans="8:13" ht="20.25" customHeight="1" x14ac:dyDescent="0.25"/>
    <row r="25" spans="8:13" ht="20.25" customHeight="1" x14ac:dyDescent="0.25"/>
    <row r="26" spans="8:13" ht="20.25" customHeight="1" x14ac:dyDescent="0.25"/>
    <row r="27" spans="8:13" ht="20.25" customHeight="1" x14ac:dyDescent="0.25"/>
    <row r="28" spans="8:13" ht="20.25" customHeight="1" x14ac:dyDescent="0.25"/>
    <row r="29" spans="8:13" ht="20.25" customHeight="1" x14ac:dyDescent="0.25"/>
    <row r="30" spans="8:13" ht="20.25" customHeight="1" x14ac:dyDescent="0.25"/>
    <row r="31" spans="8:13" ht="20.25" customHeight="1" x14ac:dyDescent="0.25"/>
    <row r="32" spans="8:13" ht="20.25" customHeight="1" x14ac:dyDescent="0.25"/>
    <row r="33" ht="20.25" customHeight="1" x14ac:dyDescent="0.25"/>
    <row r="34" ht="20.25" customHeight="1" x14ac:dyDescent="0.25"/>
    <row r="35" ht="20.25" customHeight="1" x14ac:dyDescent="0.25"/>
    <row r="36" ht="20.25" customHeight="1" x14ac:dyDescent="0.25"/>
  </sheetData>
  <mergeCells count="1">
    <mergeCell ref="A1:S2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4C8EB-1456-42D5-8EA7-325CDFC358F3}">
  <dimension ref="A1:N32"/>
  <sheetViews>
    <sheetView showGridLines="0" topLeftCell="B1" workbookViewId="0">
      <selection activeCell="M13" sqref="M13"/>
    </sheetView>
  </sheetViews>
  <sheetFormatPr defaultRowHeight="15" x14ac:dyDescent="0.25"/>
  <cols>
    <col min="1" max="1" width="58.140625" bestFit="1" customWidth="1"/>
    <col min="2" max="6" width="12.85546875" bestFit="1" customWidth="1"/>
    <col min="8" max="8" width="31.42578125" bestFit="1" customWidth="1"/>
    <col min="9" max="13" width="10.7109375" bestFit="1" customWidth="1"/>
    <col min="14" max="14" width="18" bestFit="1" customWidth="1"/>
  </cols>
  <sheetData>
    <row r="1" spans="1:14" ht="20.25" customHeight="1" x14ac:dyDescent="0.25">
      <c r="A1" s="219" t="s">
        <v>587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</row>
    <row r="2" spans="1:14" ht="20.25" customHeight="1" x14ac:dyDescent="0.25">
      <c r="A2" s="219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</row>
    <row r="3" spans="1:14" ht="20.25" customHeight="1" x14ac:dyDescent="0.25"/>
    <row r="4" spans="1:14" ht="33.75" customHeight="1" x14ac:dyDescent="0.25">
      <c r="A4" s="66" t="s">
        <v>539</v>
      </c>
      <c r="B4" s="61" t="s">
        <v>3</v>
      </c>
      <c r="C4" s="61" t="s">
        <v>4</v>
      </c>
      <c r="D4" s="61" t="s">
        <v>5</v>
      </c>
      <c r="E4" s="61" t="s">
        <v>6</v>
      </c>
      <c r="F4" s="61" t="s">
        <v>7</v>
      </c>
      <c r="H4" s="66" t="s">
        <v>540</v>
      </c>
      <c r="I4" s="61" t="s">
        <v>3</v>
      </c>
      <c r="J4" s="61" t="s">
        <v>4</v>
      </c>
      <c r="K4" s="61" t="s">
        <v>5</v>
      </c>
      <c r="L4" s="61" t="s">
        <v>6</v>
      </c>
      <c r="M4" s="61" t="s">
        <v>7</v>
      </c>
      <c r="N4" s="63" t="s">
        <v>495</v>
      </c>
    </row>
    <row r="5" spans="1:14" ht="20.25" customHeight="1" x14ac:dyDescent="0.25">
      <c r="A5" s="61" t="s">
        <v>457</v>
      </c>
      <c r="B5" s="62">
        <f>'Detalhes_Contas ("Anexo")'!C114</f>
        <v>0</v>
      </c>
      <c r="C5" s="62">
        <f>'Detalhes_Contas ("Anexo")'!F114</f>
        <v>0</v>
      </c>
      <c r="D5" s="62">
        <f>'Detalhes_Contas ("Anexo")'!I114</f>
        <v>0</v>
      </c>
      <c r="E5" s="62">
        <f>'Detalhes_Contas ("Anexo")'!L114</f>
        <v>0</v>
      </c>
      <c r="F5" s="62">
        <f>'Detalhes_Contas ("Anexo")'!O114</f>
        <v>0</v>
      </c>
      <c r="H5" s="61" t="s">
        <v>588</v>
      </c>
      <c r="I5" s="64">
        <f t="shared" ref="I5:K5" si="0">(B6/C6)-1</f>
        <v>0.61694520523764029</v>
      </c>
      <c r="J5" s="64">
        <f t="shared" si="0"/>
        <v>6.0017963808308039E-2</v>
      </c>
      <c r="K5" s="64">
        <f t="shared" si="0"/>
        <v>2.6848433618954282E-2</v>
      </c>
      <c r="L5" s="64">
        <f>(E6/F6)-1</f>
        <v>5.9231412417688478E-3</v>
      </c>
      <c r="M5" s="64">
        <f>(F6/F6)-1</f>
        <v>0</v>
      </c>
      <c r="N5" s="64">
        <f>((B6/F6)^0.25)-1</f>
        <v>0.15350615986942029</v>
      </c>
    </row>
    <row r="6" spans="1:14" ht="20.25" customHeight="1" x14ac:dyDescent="0.25">
      <c r="A6" s="61" t="s">
        <v>588</v>
      </c>
      <c r="B6" s="62">
        <f>'Detalhes_Contas ("Anexo")'!C118</f>
        <v>9791110.8900000006</v>
      </c>
      <c r="C6" s="62">
        <f>'Detalhes_Contas ("Anexo")'!F118</f>
        <v>6055313.9699999997</v>
      </c>
      <c r="D6" s="62">
        <f>'Detalhes_Contas ("Anexo")'!I118</f>
        <v>5712463.54</v>
      </c>
      <c r="E6" s="62">
        <f>'Detalhes_Contas ("Anexo")'!L118</f>
        <v>5563102.9400000004</v>
      </c>
      <c r="F6" s="62">
        <f>'Detalhes_Contas ("Anexo")'!O118</f>
        <v>5530345.9199999999</v>
      </c>
    </row>
    <row r="7" spans="1:14" ht="20.25" customHeight="1" x14ac:dyDescent="0.25">
      <c r="A7" s="61" t="s">
        <v>589</v>
      </c>
      <c r="B7" s="62">
        <f>Balanço_DR!C89</f>
        <v>9791110.8900000006</v>
      </c>
      <c r="C7" s="62">
        <f>Balanço_DR!F89</f>
        <v>6055313.9699999997</v>
      </c>
      <c r="D7" s="62">
        <f>Balanço_DR!I89</f>
        <v>5712463.54</v>
      </c>
      <c r="E7" s="62">
        <f>Balanço_DR!L89</f>
        <v>5563102.9400000004</v>
      </c>
      <c r="F7" s="62">
        <f>Balanço_DR!O89</f>
        <v>5530345.9199999999</v>
      </c>
      <c r="H7" s="66" t="s">
        <v>501</v>
      </c>
      <c r="I7" s="61" t="s">
        <v>3</v>
      </c>
      <c r="J7" s="61" t="s">
        <v>4</v>
      </c>
      <c r="K7" s="61" t="s">
        <v>5</v>
      </c>
      <c r="L7" s="61" t="s">
        <v>6</v>
      </c>
      <c r="M7" s="61" t="s">
        <v>7</v>
      </c>
    </row>
    <row r="8" spans="1:14" ht="20.25" customHeight="1" x14ac:dyDescent="0.25">
      <c r="A8" s="51" t="s">
        <v>590</v>
      </c>
      <c r="B8" s="50">
        <f>B6/B7</f>
        <v>1</v>
      </c>
      <c r="C8" s="50">
        <f>C6/C7</f>
        <v>1</v>
      </c>
      <c r="D8" s="50">
        <f>D6/D7</f>
        <v>1</v>
      </c>
      <c r="E8" s="50">
        <f>E6/E7</f>
        <v>1</v>
      </c>
      <c r="F8" s="50">
        <f>F6/F7</f>
        <v>1</v>
      </c>
      <c r="H8" s="61" t="s">
        <v>588</v>
      </c>
      <c r="I8" s="65">
        <f t="shared" ref="I8:L8" si="1">(B6/$F6)*100</f>
        <v>177.04337181859324</v>
      </c>
      <c r="J8" s="65">
        <f t="shared" si="1"/>
        <v>109.49249934080072</v>
      </c>
      <c r="K8" s="65">
        <f t="shared" si="1"/>
        <v>103.29306019251685</v>
      </c>
      <c r="L8" s="65">
        <f t="shared" si="1"/>
        <v>100.59231412417688</v>
      </c>
      <c r="M8" s="65">
        <f>(F6/$F6)*100</f>
        <v>100</v>
      </c>
    </row>
    <row r="9" spans="1:14" ht="20.25" customHeight="1" x14ac:dyDescent="0.25"/>
    <row r="10" spans="1:14" ht="20.25" customHeight="1" x14ac:dyDescent="0.25">
      <c r="H10" s="66" t="s">
        <v>501</v>
      </c>
      <c r="I10" s="61" t="s">
        <v>3</v>
      </c>
      <c r="J10" s="61" t="s">
        <v>4</v>
      </c>
      <c r="K10" s="61" t="s">
        <v>5</v>
      </c>
    </row>
    <row r="11" spans="1:14" ht="20.25" customHeight="1" x14ac:dyDescent="0.25">
      <c r="H11" s="61" t="s">
        <v>588</v>
      </c>
      <c r="I11" s="65">
        <f t="shared" ref="I11:J11" si="2">(B6/$D6)*100</f>
        <v>171.39909640456102</v>
      </c>
      <c r="J11" s="65">
        <f t="shared" si="2"/>
        <v>106.0017963808308</v>
      </c>
      <c r="K11" s="65">
        <f>(D6/$D6)*100</f>
        <v>100</v>
      </c>
    </row>
    <row r="12" spans="1:14" ht="20.25" customHeight="1" x14ac:dyDescent="0.25"/>
    <row r="13" spans="1:14" ht="20.25" customHeight="1" x14ac:dyDescent="0.25"/>
    <row r="14" spans="1:14" ht="20.25" customHeight="1" x14ac:dyDescent="0.25"/>
    <row r="15" spans="1:14" ht="20.25" customHeight="1" x14ac:dyDescent="0.25"/>
    <row r="16" spans="1:14" ht="20.25" customHeight="1" x14ac:dyDescent="0.25"/>
    <row r="17" ht="20.25" customHeight="1" x14ac:dyDescent="0.25"/>
    <row r="18" ht="20.25" customHeight="1" x14ac:dyDescent="0.25"/>
    <row r="19" ht="20.25" customHeight="1" x14ac:dyDescent="0.25"/>
    <row r="20" ht="20.25" customHeight="1" x14ac:dyDescent="0.25"/>
    <row r="21" ht="20.25" customHeight="1" x14ac:dyDescent="0.25"/>
    <row r="22" ht="20.25" customHeight="1" x14ac:dyDescent="0.25"/>
    <row r="23" ht="20.25" customHeight="1" x14ac:dyDescent="0.25"/>
    <row r="24" ht="20.25" customHeight="1" x14ac:dyDescent="0.25"/>
    <row r="25" ht="20.25" customHeight="1" x14ac:dyDescent="0.25"/>
    <row r="26" ht="20.25" customHeight="1" x14ac:dyDescent="0.25"/>
    <row r="27" ht="20.25" customHeight="1" x14ac:dyDescent="0.25"/>
    <row r="28" ht="20.25" customHeight="1" x14ac:dyDescent="0.25"/>
    <row r="29" ht="20.25" customHeight="1" x14ac:dyDescent="0.25"/>
    <row r="30" ht="20.25" customHeight="1" x14ac:dyDescent="0.25"/>
    <row r="31" ht="20.25" customHeight="1" x14ac:dyDescent="0.25"/>
    <row r="32" ht="20.25" customHeight="1" x14ac:dyDescent="0.25"/>
  </sheetData>
  <mergeCells count="1">
    <mergeCell ref="A1:N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5F3B-DB81-455E-BE31-34240DAA414B}">
  <dimension ref="A1:U76"/>
  <sheetViews>
    <sheetView showGridLines="0" workbookViewId="0">
      <selection activeCell="A16" sqref="A16"/>
    </sheetView>
  </sheetViews>
  <sheetFormatPr defaultRowHeight="15" x14ac:dyDescent="0.25"/>
  <cols>
    <col min="1" max="1" width="58" bestFit="1" customWidth="1"/>
    <col min="2" max="6" width="12.85546875" bestFit="1" customWidth="1"/>
    <col min="8" max="8" width="52.7109375" bestFit="1" customWidth="1"/>
    <col min="9" max="13" width="10.7109375" bestFit="1" customWidth="1"/>
    <col min="14" max="14" width="18" bestFit="1" customWidth="1"/>
    <col min="16" max="16" width="52.7109375" bestFit="1" customWidth="1"/>
    <col min="17" max="21" width="10.7109375" bestFit="1" customWidth="1"/>
  </cols>
  <sheetData>
    <row r="1" spans="1:14" ht="20.25" customHeight="1" x14ac:dyDescent="0.25">
      <c r="A1" s="220" t="s">
        <v>591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</row>
    <row r="2" spans="1:14" ht="20.25" customHeight="1" x14ac:dyDescent="0.25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</row>
    <row r="3" spans="1:14" ht="20.25" customHeight="1" x14ac:dyDescent="0.25"/>
    <row r="4" spans="1:14" ht="33" customHeight="1" x14ac:dyDescent="0.25">
      <c r="A4" s="67" t="s">
        <v>539</v>
      </c>
      <c r="B4" s="70" t="s">
        <v>3</v>
      </c>
      <c r="C4" s="70" t="s">
        <v>4</v>
      </c>
      <c r="D4" s="70" t="s">
        <v>5</v>
      </c>
      <c r="E4" s="70" t="s">
        <v>6</v>
      </c>
      <c r="F4" s="70" t="s">
        <v>7</v>
      </c>
      <c r="H4" s="67" t="s">
        <v>540</v>
      </c>
      <c r="I4" s="70" t="s">
        <v>3</v>
      </c>
      <c r="J4" s="70" t="s">
        <v>4</v>
      </c>
      <c r="K4" s="70" t="s">
        <v>5</v>
      </c>
      <c r="L4" s="70" t="s">
        <v>6</v>
      </c>
      <c r="M4" s="70" t="s">
        <v>7</v>
      </c>
      <c r="N4" s="72" t="s">
        <v>495</v>
      </c>
    </row>
    <row r="5" spans="1:14" ht="20.25" customHeight="1" x14ac:dyDescent="0.25">
      <c r="A5" s="70" t="s">
        <v>592</v>
      </c>
      <c r="B5" s="68">
        <f>'Detalhes_Contas ("Anexo")'!C130</f>
        <v>2710165.39</v>
      </c>
      <c r="C5" s="68">
        <f>'Detalhes_Contas ("Anexo")'!F130</f>
        <v>609858.78</v>
      </c>
      <c r="D5" s="68">
        <f>'Detalhes_Contas ("Anexo")'!I130</f>
        <v>628677.81000000006</v>
      </c>
      <c r="E5" s="68">
        <f>'Detalhes_Contas ("Anexo")'!L130</f>
        <v>653203.21</v>
      </c>
      <c r="F5" s="68">
        <f>'Detalhes_Contas ("Anexo")'!O130</f>
        <v>670250.86</v>
      </c>
      <c r="H5" s="70" t="str">
        <f>A5</f>
        <v>Matérias (consumidas)</v>
      </c>
      <c r="I5" s="69">
        <f t="shared" ref="I5:K5" si="0">(B5/C5)-1</f>
        <v>3.4439228865410447</v>
      </c>
      <c r="J5" s="69">
        <f t="shared" si="0"/>
        <v>-2.9934299732958691E-2</v>
      </c>
      <c r="K5" s="69">
        <f t="shared" si="0"/>
        <v>-3.7546355597364411E-2</v>
      </c>
      <c r="L5" s="69">
        <f>(E5/F5)-1</f>
        <v>-2.5434730512691961E-2</v>
      </c>
      <c r="M5" s="69">
        <f>(F5/F5)-1</f>
        <v>0</v>
      </c>
      <c r="N5" s="69">
        <f>((B5/F5)^0.25)-1</f>
        <v>0.41804366403791149</v>
      </c>
    </row>
    <row r="6" spans="1:14" ht="20.25" customHeight="1" x14ac:dyDescent="0.25">
      <c r="A6" s="70" t="s">
        <v>593</v>
      </c>
      <c r="B6" s="68">
        <f>Balanço_DR!C94</f>
        <v>2710165.39</v>
      </c>
      <c r="C6" s="68">
        <f>Balanço_DR!F94</f>
        <v>609858.78</v>
      </c>
      <c r="D6" s="68">
        <f>Balanço_DR!I94</f>
        <v>628677.81000000006</v>
      </c>
      <c r="E6" s="68">
        <f>Balanço_DR!L94</f>
        <v>653203.21</v>
      </c>
      <c r="F6" s="68">
        <f>Balanço_DR!O94</f>
        <v>670250.86</v>
      </c>
      <c r="H6" s="70" t="str">
        <f>A8</f>
        <v>Depreciações do Período (AFT)</v>
      </c>
      <c r="I6" s="69">
        <f t="shared" ref="I6:K6" si="1">(B8/C8)-1</f>
        <v>0.17201856115094971</v>
      </c>
      <c r="J6" s="69">
        <f t="shared" si="1"/>
        <v>-9.3693008432872427E-3</v>
      </c>
      <c r="K6" s="69">
        <f t="shared" si="1"/>
        <v>0.10734707275796218</v>
      </c>
      <c r="L6" s="69">
        <f>(E8/F8)-1</f>
        <v>0.37076424375446004</v>
      </c>
      <c r="M6" s="69">
        <f>(F8/F8)-1</f>
        <v>0</v>
      </c>
      <c r="N6" s="69">
        <f>((B8/F8)^0.25)-1</f>
        <v>0.15218760892126282</v>
      </c>
    </row>
    <row r="7" spans="1:14" ht="20.25" customHeight="1" x14ac:dyDescent="0.25">
      <c r="A7" s="51" t="s">
        <v>594</v>
      </c>
      <c r="B7" s="50">
        <f>B5/B6</f>
        <v>1</v>
      </c>
      <c r="C7" s="50">
        <f t="shared" ref="C7:F7" si="2">C5/C6</f>
        <v>1</v>
      </c>
      <c r="D7" s="50">
        <f t="shared" si="2"/>
        <v>1</v>
      </c>
      <c r="E7" s="50">
        <f t="shared" si="2"/>
        <v>1</v>
      </c>
      <c r="F7" s="50">
        <f t="shared" si="2"/>
        <v>1</v>
      </c>
      <c r="H7" s="70" t="str">
        <f>A9</f>
        <v>Depreciações Acumuladas (AFT)</v>
      </c>
      <c r="I7" s="69">
        <f t="shared" ref="I7:K7" si="3">(B9/C9)-1</f>
        <v>5.7015188503635184E-2</v>
      </c>
      <c r="J7" s="69">
        <f t="shared" si="3"/>
        <v>2.0455824108165599E-2</v>
      </c>
      <c r="K7" s="69">
        <f t="shared" si="3"/>
        <v>5.4405776332365319E-2</v>
      </c>
      <c r="L7" s="69">
        <f>(E9/F9)-1</f>
        <v>5.1803050898829639E-2</v>
      </c>
      <c r="M7" s="69">
        <f>(F9/F9)-1</f>
        <v>0</v>
      </c>
      <c r="N7" s="69">
        <f>((B9/F9)^0.25)-1</f>
        <v>4.5813900048388145E-2</v>
      </c>
    </row>
    <row r="8" spans="1:14" ht="20.25" customHeight="1" x14ac:dyDescent="0.25">
      <c r="A8" s="70" t="s">
        <v>595</v>
      </c>
      <c r="B8" s="68">
        <f>'Detalhes_Contas ("Anexo")'!C206</f>
        <v>104222.36</v>
      </c>
      <c r="C8" s="68">
        <f>'Detalhes_Contas ("Anexo")'!F206</f>
        <v>88925.52</v>
      </c>
      <c r="D8" s="68">
        <f>'Detalhes_Contas ("Anexo")'!I206</f>
        <v>89766.57</v>
      </c>
      <c r="E8" s="68">
        <f>'Detalhes_Contas ("Anexo")'!L206</f>
        <v>81064.53</v>
      </c>
      <c r="F8" s="68">
        <f>'Detalhes_Contas ("Anexo")'!O206</f>
        <v>59138.2</v>
      </c>
    </row>
    <row r="9" spans="1:14" ht="20.25" customHeight="1" x14ac:dyDescent="0.25">
      <c r="A9" s="74" t="s">
        <v>596</v>
      </c>
      <c r="B9" s="68">
        <f>'Detalhes_Contas ("Anexo")'!C28</f>
        <v>1871945.37</v>
      </c>
      <c r="C9" s="68">
        <f>'Detalhes_Contas ("Anexo")'!F28</f>
        <v>1770973.01</v>
      </c>
      <c r="D9" s="68">
        <f>'Detalhes_Contas ("Anexo")'!I28</f>
        <v>1735472.49</v>
      </c>
      <c r="E9" s="68">
        <f>'Detalhes_Contas ("Anexo")'!L28</f>
        <v>1645924.68</v>
      </c>
      <c r="F9" s="68">
        <f>'Detalhes_Contas ("Anexo")'!O28</f>
        <v>1564860.15</v>
      </c>
      <c r="H9" s="67" t="s">
        <v>501</v>
      </c>
      <c r="I9" s="70" t="s">
        <v>3</v>
      </c>
      <c r="J9" s="70" t="s">
        <v>4</v>
      </c>
      <c r="K9" s="70" t="s">
        <v>5</v>
      </c>
      <c r="L9" s="70" t="s">
        <v>6</v>
      </c>
      <c r="M9" s="70" t="s">
        <v>7</v>
      </c>
    </row>
    <row r="10" spans="1:14" ht="20.25" customHeight="1" x14ac:dyDescent="0.25">
      <c r="A10" s="51" t="s">
        <v>597</v>
      </c>
      <c r="B10" s="50">
        <f>B8/B9</f>
        <v>5.567596238131671E-2</v>
      </c>
      <c r="C10" s="50">
        <f t="shared" ref="C10:F10" si="4">C8/C9</f>
        <v>5.0212803638379565E-2</v>
      </c>
      <c r="D10" s="50">
        <f t="shared" si="4"/>
        <v>5.1724570984124335E-2</v>
      </c>
      <c r="E10" s="50">
        <f t="shared" si="4"/>
        <v>4.9251664420026806E-2</v>
      </c>
      <c r="F10" s="50">
        <f t="shared" si="4"/>
        <v>3.7791364295397263E-2</v>
      </c>
      <c r="H10" s="70" t="str">
        <f>A5</f>
        <v>Matérias (consumidas)</v>
      </c>
      <c r="I10" s="73">
        <f>(B5/$F5)*100</f>
        <v>404.35090079556187</v>
      </c>
      <c r="J10" s="73">
        <f>(C5/$F5)*100</f>
        <v>90.989630360190816</v>
      </c>
      <c r="K10" s="73">
        <f>(D5/$F5)*100</f>
        <v>93.797389532629623</v>
      </c>
      <c r="L10" s="73">
        <f>(E5/$F5)*100</f>
        <v>97.456526948730797</v>
      </c>
      <c r="M10" s="73">
        <f>(F5/$F5)*100</f>
        <v>100</v>
      </c>
    </row>
    <row r="11" spans="1:14" ht="20.25" customHeight="1" x14ac:dyDescent="0.25">
      <c r="H11" s="70" t="str">
        <f>A8</f>
        <v>Depreciações do Período (AFT)</v>
      </c>
      <c r="I11" s="73">
        <f t="shared" ref="I11:L11" si="5">(B8/$F8)*100</f>
        <v>176.23525910494402</v>
      </c>
      <c r="J11" s="73">
        <f t="shared" si="5"/>
        <v>150.36900007102011</v>
      </c>
      <c r="K11" s="73">
        <f t="shared" si="5"/>
        <v>151.79117727627829</v>
      </c>
      <c r="L11" s="73">
        <f t="shared" si="5"/>
        <v>137.07642437544601</v>
      </c>
      <c r="M11" s="73">
        <f>(F8/$F8)*100</f>
        <v>100</v>
      </c>
    </row>
    <row r="12" spans="1:14" ht="20.25" customHeight="1" x14ac:dyDescent="0.25">
      <c r="H12" s="70" t="str">
        <f>A9</f>
        <v>Depreciações Acumuladas (AFT)</v>
      </c>
      <c r="I12" s="73">
        <f t="shared" ref="I12:L12" si="6">(B9/$F9)*100</f>
        <v>119.62381238988036</v>
      </c>
      <c r="J12" s="73">
        <f t="shared" si="6"/>
        <v>113.17132780204034</v>
      </c>
      <c r="K12" s="73">
        <f t="shared" si="6"/>
        <v>110.90272124317309</v>
      </c>
      <c r="L12" s="73">
        <f t="shared" si="6"/>
        <v>105.18030508988296</v>
      </c>
      <c r="M12" s="73">
        <f>(F9/$F9)*100</f>
        <v>100</v>
      </c>
    </row>
    <row r="13" spans="1:14" ht="20.25" customHeight="1" x14ac:dyDescent="0.25"/>
    <row r="14" spans="1:14" ht="20.25" customHeight="1" x14ac:dyDescent="0.25">
      <c r="H14" s="67" t="s">
        <v>501</v>
      </c>
      <c r="I14" s="70" t="s">
        <v>3</v>
      </c>
      <c r="J14" s="70" t="s">
        <v>4</v>
      </c>
      <c r="K14" s="70" t="s">
        <v>5</v>
      </c>
    </row>
    <row r="15" spans="1:14" ht="20.25" customHeight="1" x14ac:dyDescent="0.25">
      <c r="H15" s="70" t="str">
        <f>H10</f>
        <v>Matérias (consumidas)</v>
      </c>
      <c r="I15" s="73">
        <f t="shared" ref="I15:J15" si="7">(B5/$D5)*100</f>
        <v>431.08971668651702</v>
      </c>
      <c r="J15" s="73">
        <f t="shared" si="7"/>
        <v>97.006570026704125</v>
      </c>
      <c r="K15" s="73">
        <f>(D5/$D5)*100</f>
        <v>100</v>
      </c>
    </row>
    <row r="16" spans="1:14" ht="20.25" customHeight="1" x14ac:dyDescent="0.25">
      <c r="H16" s="70" t="str">
        <f t="shared" ref="H16:H17" si="8">H11</f>
        <v>Depreciações do Período (AFT)</v>
      </c>
      <c r="I16" s="73">
        <f t="shared" ref="I16:J16" si="9">(B8/$D8)*100</f>
        <v>116.10375666576098</v>
      </c>
      <c r="J16" s="73">
        <f t="shared" si="9"/>
        <v>99.063069915671278</v>
      </c>
      <c r="K16" s="73">
        <f>(D8/$D8)*100</f>
        <v>100</v>
      </c>
    </row>
    <row r="17" spans="1:21" ht="20.25" customHeight="1" x14ac:dyDescent="0.25">
      <c r="H17" s="70" t="str">
        <f t="shared" si="8"/>
        <v>Depreciações Acumuladas (AFT)</v>
      </c>
      <c r="I17" s="73">
        <f t="shared" ref="I17:J17" si="10">(B9/$D9)*100</f>
        <v>107.8637305279325</v>
      </c>
      <c r="J17" s="73">
        <f t="shared" si="10"/>
        <v>102.04558241081656</v>
      </c>
      <c r="K17" s="73">
        <f>(D9/$D9)*100</f>
        <v>100</v>
      </c>
    </row>
    <row r="18" spans="1:21" ht="20.25" customHeight="1" x14ac:dyDescent="0.25"/>
    <row r="19" spans="1:21" ht="20.25" customHeight="1" x14ac:dyDescent="0.25">
      <c r="A19" s="220" t="s">
        <v>598</v>
      </c>
      <c r="B19" s="220"/>
      <c r="C19" s="220"/>
      <c r="D19" s="220"/>
      <c r="E19" s="220"/>
      <c r="F19" s="220"/>
      <c r="G19" s="220"/>
      <c r="H19" s="220"/>
      <c r="I19" s="220"/>
      <c r="J19" s="220"/>
      <c r="K19" s="220"/>
      <c r="L19" s="220"/>
      <c r="M19" s="220"/>
      <c r="N19" s="220"/>
      <c r="O19" s="220"/>
      <c r="P19" s="220"/>
      <c r="Q19" s="220"/>
      <c r="R19" s="220"/>
      <c r="S19" s="220"/>
      <c r="T19" s="220"/>
      <c r="U19" s="220"/>
    </row>
    <row r="20" spans="1:21" ht="20.25" customHeight="1" x14ac:dyDescent="0.25">
      <c r="A20" s="220"/>
      <c r="B20" s="220"/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  <c r="P20" s="220"/>
      <c r="Q20" s="220"/>
      <c r="R20" s="220"/>
      <c r="S20" s="220"/>
      <c r="T20" s="220"/>
      <c r="U20" s="220"/>
    </row>
    <row r="21" spans="1:21" ht="20.25" customHeight="1" x14ac:dyDescent="0.25"/>
    <row r="22" spans="1:21" ht="31.5" customHeight="1" x14ac:dyDescent="0.25">
      <c r="A22" s="67" t="s">
        <v>539</v>
      </c>
      <c r="B22" s="70" t="s">
        <v>3</v>
      </c>
      <c r="C22" s="70" t="s">
        <v>4</v>
      </c>
      <c r="D22" s="70" t="s">
        <v>5</v>
      </c>
      <c r="E22" s="70" t="s">
        <v>6</v>
      </c>
      <c r="F22" s="70" t="s">
        <v>7</v>
      </c>
      <c r="H22" s="67" t="s">
        <v>540</v>
      </c>
      <c r="I22" s="70" t="s">
        <v>3</v>
      </c>
      <c r="J22" s="70" t="s">
        <v>4</v>
      </c>
      <c r="K22" s="70" t="s">
        <v>5</v>
      </c>
      <c r="L22" s="70" t="s">
        <v>6</v>
      </c>
      <c r="M22" s="70" t="s">
        <v>7</v>
      </c>
      <c r="N22" s="72" t="s">
        <v>495</v>
      </c>
      <c r="P22" s="67" t="s">
        <v>501</v>
      </c>
      <c r="Q22" s="70" t="s">
        <v>3</v>
      </c>
      <c r="R22" s="70" t="s">
        <v>4</v>
      </c>
      <c r="S22" s="70" t="s">
        <v>5</v>
      </c>
      <c r="T22" s="70" t="s">
        <v>6</v>
      </c>
      <c r="U22" s="70" t="s">
        <v>7</v>
      </c>
    </row>
    <row r="23" spans="1:21" ht="20.25" customHeight="1" x14ac:dyDescent="0.25">
      <c r="A23" s="70" t="s">
        <v>599</v>
      </c>
      <c r="B23" s="68">
        <f>'Detalhes_Contas ("Anexo")'!C134</f>
        <v>1712830.82</v>
      </c>
      <c r="C23" s="68">
        <f>'Detalhes_Contas ("Anexo")'!F134</f>
        <v>1542815.91</v>
      </c>
      <c r="D23" s="68">
        <f>'Detalhes_Contas ("Anexo")'!I134</f>
        <v>1403591.67</v>
      </c>
      <c r="E23" s="68">
        <f>'Detalhes_Contas ("Anexo")'!L134</f>
        <v>1321352.31</v>
      </c>
      <c r="F23" s="68">
        <f>'Detalhes_Contas ("Anexo")'!O134</f>
        <v>1234722.29</v>
      </c>
      <c r="H23" s="70" t="s">
        <v>599</v>
      </c>
      <c r="I23" s="69">
        <f t="shared" ref="I23:K27" si="11">(B23/C23)-1</f>
        <v>0.11019779411012176</v>
      </c>
      <c r="J23" s="69">
        <f t="shared" si="11"/>
        <v>9.9191412271633084E-2</v>
      </c>
      <c r="K23" s="69">
        <f t="shared" si="11"/>
        <v>6.223878323563814E-2</v>
      </c>
      <c r="L23" s="69">
        <f>(E23/F23)-1</f>
        <v>7.0161542155361856E-2</v>
      </c>
      <c r="M23" s="69">
        <f>(F23/F23)-1</f>
        <v>0</v>
      </c>
      <c r="N23" s="69">
        <f>((B23/F23)^0.25)-1</f>
        <v>8.5266244380244105E-2</v>
      </c>
      <c r="P23" s="70" t="s">
        <v>599</v>
      </c>
      <c r="Q23" s="73">
        <f t="shared" ref="Q23:U27" si="12">(B23/$F23)*100</f>
        <v>138.72194856059494</v>
      </c>
      <c r="R23" s="73">
        <f t="shared" si="12"/>
        <v>124.95246279226076</v>
      </c>
      <c r="S23" s="73">
        <f t="shared" si="12"/>
        <v>113.6767094404686</v>
      </c>
      <c r="T23" s="73">
        <f t="shared" si="12"/>
        <v>107.01615421553619</v>
      </c>
      <c r="U23" s="73">
        <f t="shared" si="12"/>
        <v>100</v>
      </c>
    </row>
    <row r="24" spans="1:21" ht="20.25" customHeight="1" x14ac:dyDescent="0.25">
      <c r="A24" s="70" t="s">
        <v>600</v>
      </c>
      <c r="B24" s="68">
        <f>'Detalhes_Contas ("Anexo")'!C138</f>
        <v>341335.08</v>
      </c>
      <c r="C24" s="68">
        <f>'Detalhes_Contas ("Anexo")'!F138</f>
        <v>320338.63</v>
      </c>
      <c r="D24" s="68">
        <f>'Detalhes_Contas ("Anexo")'!I138</f>
        <v>292854.33</v>
      </c>
      <c r="E24" s="68">
        <f>'Detalhes_Contas ("Anexo")'!L138</f>
        <v>272188.90000000002</v>
      </c>
      <c r="F24" s="68">
        <f>'Detalhes_Contas ("Anexo")'!O138</f>
        <v>262579.90899999999</v>
      </c>
      <c r="H24" s="70" t="s">
        <v>600</v>
      </c>
      <c r="I24" s="69">
        <f t="shared" si="11"/>
        <v>6.5544545782692643E-2</v>
      </c>
      <c r="J24" s="69">
        <f t="shared" si="11"/>
        <v>9.3849730683510657E-2</v>
      </c>
      <c r="K24" s="69">
        <f t="shared" si="11"/>
        <v>7.592311809923169E-2</v>
      </c>
      <c r="L24" s="69">
        <f t="shared" ref="L24:L27" si="13">(E24/F24)-1</f>
        <v>3.659454006437346E-2</v>
      </c>
      <c r="M24" s="69">
        <f t="shared" ref="M24:M27" si="14">(F24/F24)-1</f>
        <v>0</v>
      </c>
      <c r="N24" s="69">
        <f t="shared" ref="N24:N27" si="15">((B24/F24)^0.25)-1</f>
        <v>6.777526865696637E-2</v>
      </c>
      <c r="P24" s="70" t="s">
        <v>600</v>
      </c>
      <c r="Q24" s="73">
        <f t="shared" si="12"/>
        <v>129.9928396273456</v>
      </c>
      <c r="R24" s="73">
        <f t="shared" si="12"/>
        <v>121.99662617751916</v>
      </c>
      <c r="S24" s="73">
        <f t="shared" si="12"/>
        <v>111.52960297506998</v>
      </c>
      <c r="T24" s="73">
        <f t="shared" si="12"/>
        <v>103.65945400643734</v>
      </c>
      <c r="U24" s="73">
        <f t="shared" si="12"/>
        <v>100</v>
      </c>
    </row>
    <row r="25" spans="1:21" ht="20.25" customHeight="1" x14ac:dyDescent="0.25">
      <c r="A25" s="70" t="s">
        <v>601</v>
      </c>
      <c r="B25" s="68">
        <f>'Detalhes_Contas ("Anexo")'!C139</f>
        <v>28979.27</v>
      </c>
      <c r="C25" s="68">
        <f>'Detalhes_Contas ("Anexo")'!F139</f>
        <v>19668.43</v>
      </c>
      <c r="D25" s="68">
        <f>'Detalhes_Contas ("Anexo")'!I139</f>
        <v>19116.560000000001</v>
      </c>
      <c r="E25" s="68">
        <f>'Detalhes_Contas ("Anexo")'!L139</f>
        <v>15492.79</v>
      </c>
      <c r="F25" s="68">
        <f>'Detalhes_Contas ("Anexo")'!O139</f>
        <v>15538.42</v>
      </c>
      <c r="H25" s="70" t="s">
        <v>601</v>
      </c>
      <c r="I25" s="69">
        <f t="shared" si="11"/>
        <v>0.47339009773530472</v>
      </c>
      <c r="J25" s="69">
        <f t="shared" si="11"/>
        <v>2.8868687671840476E-2</v>
      </c>
      <c r="K25" s="69">
        <f t="shared" si="11"/>
        <v>0.23390041432175868</v>
      </c>
      <c r="L25" s="69">
        <f t="shared" si="13"/>
        <v>-2.9365920087112141E-3</v>
      </c>
      <c r="M25" s="69">
        <f t="shared" si="14"/>
        <v>0</v>
      </c>
      <c r="N25" s="69">
        <f t="shared" si="15"/>
        <v>0.16861147441341973</v>
      </c>
      <c r="P25" s="70" t="s">
        <v>601</v>
      </c>
      <c r="Q25" s="73">
        <f t="shared" si="12"/>
        <v>186.50075104161169</v>
      </c>
      <c r="R25" s="73">
        <f t="shared" si="12"/>
        <v>126.57934333091782</v>
      </c>
      <c r="S25" s="73">
        <f t="shared" si="12"/>
        <v>123.02769522255159</v>
      </c>
      <c r="T25" s="73">
        <f t="shared" si="12"/>
        <v>99.706340799128881</v>
      </c>
      <c r="U25" s="73">
        <f t="shared" si="12"/>
        <v>100</v>
      </c>
    </row>
    <row r="26" spans="1:21" ht="20.25" customHeight="1" x14ac:dyDescent="0.25">
      <c r="A26" s="70" t="s">
        <v>602</v>
      </c>
      <c r="B26" s="68">
        <f>'Detalhes_Contas ("Anexo")'!C141</f>
        <v>45194.84</v>
      </c>
      <c r="C26" s="68">
        <f>'Detalhes_Contas ("Anexo")'!F141</f>
        <v>11857.74</v>
      </c>
      <c r="D26" s="68">
        <f>'Detalhes_Contas ("Anexo")'!I141</f>
        <v>22753.26</v>
      </c>
      <c r="E26" s="68">
        <f>'Detalhes_Contas ("Anexo")'!L141</f>
        <v>16090.82</v>
      </c>
      <c r="F26" s="68">
        <f>'Detalhes_Contas ("Anexo")'!O141</f>
        <v>12298.4</v>
      </c>
      <c r="H26" s="70" t="s">
        <v>602</v>
      </c>
      <c r="I26" s="69">
        <f t="shared" si="11"/>
        <v>2.8114210633729528</v>
      </c>
      <c r="J26" s="69">
        <f t="shared" si="11"/>
        <v>-0.47885533765271437</v>
      </c>
      <c r="K26" s="69">
        <f t="shared" si="11"/>
        <v>0.41405223599543084</v>
      </c>
      <c r="L26" s="69">
        <f t="shared" si="13"/>
        <v>0.30836694204124115</v>
      </c>
      <c r="M26" s="69">
        <f t="shared" si="14"/>
        <v>0</v>
      </c>
      <c r="N26" s="69">
        <f t="shared" si="15"/>
        <v>0.38455451364853421</v>
      </c>
      <c r="P26" s="70" t="s">
        <v>602</v>
      </c>
      <c r="Q26" s="73">
        <f t="shared" si="12"/>
        <v>367.48552657256226</v>
      </c>
      <c r="R26" s="73">
        <f t="shared" si="12"/>
        <v>96.416932283874317</v>
      </c>
      <c r="S26" s="73">
        <f t="shared" si="12"/>
        <v>185.00991998959213</v>
      </c>
      <c r="T26" s="73">
        <f t="shared" si="12"/>
        <v>130.83669420412411</v>
      </c>
      <c r="U26" s="73">
        <f t="shared" si="12"/>
        <v>100</v>
      </c>
    </row>
    <row r="27" spans="1:21" ht="20.25" customHeight="1" x14ac:dyDescent="0.25">
      <c r="A27" s="70" t="s">
        <v>603</v>
      </c>
      <c r="B27" s="68">
        <f>Balanço_DR!C96</f>
        <v>2128340.0090000001</v>
      </c>
      <c r="C27" s="68">
        <f>Balanço_DR!F96</f>
        <v>1894680.71</v>
      </c>
      <c r="D27" s="68">
        <f>Balanço_DR!I96</f>
        <v>1738315.82</v>
      </c>
      <c r="E27" s="68">
        <f>Balanço_DR!L96</f>
        <v>1625124.82</v>
      </c>
      <c r="F27" s="68">
        <f>Balanço_DR!O96</f>
        <v>1525139.02</v>
      </c>
      <c r="H27" s="70" t="s">
        <v>603</v>
      </c>
      <c r="I27" s="69">
        <f t="shared" si="11"/>
        <v>0.12332383908632294</v>
      </c>
      <c r="J27" s="69">
        <f t="shared" si="11"/>
        <v>8.9951945556130175E-2</v>
      </c>
      <c r="K27" s="69">
        <f t="shared" si="11"/>
        <v>6.9650649972843315E-2</v>
      </c>
      <c r="L27" s="69">
        <f t="shared" si="13"/>
        <v>6.5558482662124717E-2</v>
      </c>
      <c r="M27" s="69">
        <f t="shared" si="14"/>
        <v>0</v>
      </c>
      <c r="N27" s="69">
        <f t="shared" si="15"/>
        <v>8.6883245694243438E-2</v>
      </c>
      <c r="P27" s="70" t="s">
        <v>603</v>
      </c>
      <c r="Q27" s="73">
        <f t="shared" si="12"/>
        <v>139.55055775833472</v>
      </c>
      <c r="R27" s="73">
        <f t="shared" si="12"/>
        <v>124.23003314150338</v>
      </c>
      <c r="S27" s="73">
        <f t="shared" si="12"/>
        <v>113.97753235636185</v>
      </c>
      <c r="T27" s="73">
        <f t="shared" si="12"/>
        <v>106.55584826621248</v>
      </c>
      <c r="U27" s="73">
        <f t="shared" si="12"/>
        <v>100</v>
      </c>
    </row>
    <row r="28" spans="1:21" ht="20.25" customHeight="1" x14ac:dyDescent="0.25">
      <c r="A28" s="51" t="s">
        <v>604</v>
      </c>
      <c r="B28" s="50">
        <f>SUM(B23:B26)/B27</f>
        <v>1.0000000004698497</v>
      </c>
      <c r="C28" s="50">
        <f t="shared" ref="C28:F28" si="16">SUM(C23:C26)/C27</f>
        <v>1</v>
      </c>
      <c r="D28" s="50">
        <f t="shared" si="16"/>
        <v>1</v>
      </c>
      <c r="E28" s="50">
        <f t="shared" si="16"/>
        <v>1</v>
      </c>
      <c r="F28" s="50">
        <f t="shared" si="16"/>
        <v>0.99999999934432193</v>
      </c>
    </row>
    <row r="29" spans="1:21" ht="20.25" customHeight="1" x14ac:dyDescent="0.25"/>
    <row r="30" spans="1:21" ht="20.25" customHeight="1" x14ac:dyDescent="0.25"/>
    <row r="31" spans="1:21" ht="20.25" customHeight="1" x14ac:dyDescent="0.25">
      <c r="A31" s="220" t="s">
        <v>605</v>
      </c>
      <c r="B31" s="220"/>
      <c r="C31" s="220"/>
      <c r="D31" s="220"/>
      <c r="E31" s="220"/>
      <c r="F31" s="220"/>
      <c r="G31" s="220"/>
      <c r="H31" s="220"/>
      <c r="I31" s="220"/>
      <c r="J31" s="220"/>
      <c r="K31" s="220"/>
      <c r="L31" s="220"/>
      <c r="M31" s="220"/>
      <c r="N31" s="220"/>
      <c r="O31" s="220"/>
      <c r="P31" s="220"/>
      <c r="Q31" s="220"/>
      <c r="R31" s="220"/>
      <c r="S31" s="220"/>
      <c r="T31" s="220"/>
      <c r="U31" s="220"/>
    </row>
    <row r="32" spans="1:21" ht="20.25" customHeight="1" x14ac:dyDescent="0.25">
      <c r="A32" s="220"/>
      <c r="B32" s="220"/>
      <c r="C32" s="220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20"/>
      <c r="O32" s="220"/>
      <c r="P32" s="220"/>
      <c r="Q32" s="220"/>
      <c r="R32" s="220"/>
      <c r="S32" s="220"/>
      <c r="T32" s="220"/>
      <c r="U32" s="220"/>
    </row>
    <row r="33" spans="1:21" ht="20.25" customHeight="1" x14ac:dyDescent="0.25"/>
    <row r="34" spans="1:21" ht="31.5" customHeight="1" x14ac:dyDescent="0.25">
      <c r="A34" s="67" t="s">
        <v>539</v>
      </c>
      <c r="B34" s="70" t="s">
        <v>3</v>
      </c>
      <c r="C34" s="70" t="s">
        <v>4</v>
      </c>
      <c r="D34" s="70" t="s">
        <v>5</v>
      </c>
      <c r="E34" s="70" t="s">
        <v>6</v>
      </c>
      <c r="F34" s="70" t="s">
        <v>7</v>
      </c>
      <c r="H34" s="67" t="s">
        <v>540</v>
      </c>
      <c r="I34" s="70" t="s">
        <v>3</v>
      </c>
      <c r="J34" s="70" t="s">
        <v>4</v>
      </c>
      <c r="K34" s="70" t="s">
        <v>5</v>
      </c>
      <c r="L34" s="70" t="s">
        <v>6</v>
      </c>
      <c r="M34" s="70" t="s">
        <v>7</v>
      </c>
      <c r="N34" s="72" t="s">
        <v>495</v>
      </c>
      <c r="P34" s="67" t="s">
        <v>501</v>
      </c>
      <c r="Q34" s="70" t="s">
        <v>3</v>
      </c>
      <c r="R34" s="70" t="s">
        <v>4</v>
      </c>
      <c r="S34" s="70" t="s">
        <v>5</v>
      </c>
      <c r="T34" s="70" t="s">
        <v>6</v>
      </c>
      <c r="U34" s="70" t="s">
        <v>7</v>
      </c>
    </row>
    <row r="35" spans="1:21" ht="20.25" customHeight="1" x14ac:dyDescent="0.25">
      <c r="A35" s="70" t="s">
        <v>606</v>
      </c>
      <c r="B35" s="68">
        <f>FSE!C10</f>
        <v>1050803.57</v>
      </c>
      <c r="C35" s="68">
        <f>FSE!F10</f>
        <v>574886.9</v>
      </c>
      <c r="D35" s="68">
        <f>FSE!I10</f>
        <v>550454.79</v>
      </c>
      <c r="E35" s="68">
        <f>FSE!L10</f>
        <v>525301.86</v>
      </c>
      <c r="F35" s="68">
        <f>FSE!O10</f>
        <v>494772.9</v>
      </c>
      <c r="H35" s="70" t="s">
        <v>606</v>
      </c>
      <c r="I35" s="69">
        <f t="shared" ref="I35:K41" si="17">(B35/C35)-1</f>
        <v>0.82784399853258095</v>
      </c>
      <c r="J35" s="69">
        <f t="shared" si="17"/>
        <v>4.4385316367216987E-2</v>
      </c>
      <c r="K35" s="69">
        <f t="shared" si="17"/>
        <v>4.7882811608548348E-2</v>
      </c>
      <c r="L35" s="69">
        <f>(E35/F35)-1</f>
        <v>6.1702975243793645E-2</v>
      </c>
      <c r="M35" s="69">
        <f>(F35/F35)-1</f>
        <v>0</v>
      </c>
      <c r="N35" s="69">
        <f>((B35/F35)^0.25)-1</f>
        <v>0.20719911630474064</v>
      </c>
      <c r="P35" s="70" t="s">
        <v>606</v>
      </c>
      <c r="Q35" s="73">
        <f t="shared" ref="Q35:T41" si="18">(B35/$F35)*100</f>
        <v>212.38098731761582</v>
      </c>
      <c r="R35" s="73">
        <f t="shared" si="18"/>
        <v>116.19207519247719</v>
      </c>
      <c r="S35" s="73">
        <f t="shared" si="18"/>
        <v>111.25402987916276</v>
      </c>
      <c r="T35" s="73">
        <f t="shared" si="18"/>
        <v>106.17029752437936</v>
      </c>
      <c r="U35" s="73">
        <f>(F35/$F35)*100</f>
        <v>100</v>
      </c>
    </row>
    <row r="36" spans="1:21" ht="20.25" customHeight="1" x14ac:dyDescent="0.25">
      <c r="A36" s="70" t="s">
        <v>607</v>
      </c>
      <c r="B36" s="68">
        <f>FSE!C11</f>
        <v>494952.59</v>
      </c>
      <c r="C36" s="68">
        <f>FSE!F11</f>
        <v>415433.11</v>
      </c>
      <c r="D36" s="68">
        <f>FSE!I11</f>
        <v>357984.86</v>
      </c>
      <c r="E36" s="68">
        <f>FSE!L11</f>
        <v>317189.71000000002</v>
      </c>
      <c r="F36" s="68">
        <f>FSE!O11</f>
        <v>318706.93</v>
      </c>
      <c r="H36" s="70" t="s">
        <v>607</v>
      </c>
      <c r="I36" s="69">
        <f t="shared" si="17"/>
        <v>0.19141343837519353</v>
      </c>
      <c r="J36" s="69">
        <f t="shared" si="17"/>
        <v>0.16047675870985167</v>
      </c>
      <c r="K36" s="69">
        <f t="shared" si="17"/>
        <v>0.12861435511259156</v>
      </c>
      <c r="L36" s="69">
        <f t="shared" ref="L36:L41" si="19">(E36/F36)-1</f>
        <v>-4.7605491352195051E-3</v>
      </c>
      <c r="M36" s="69">
        <f t="shared" ref="M36:M41" si="20">(F36/F36)-1</f>
        <v>0</v>
      </c>
      <c r="N36" s="69">
        <f t="shared" ref="N36:N41" si="21">((B36/F36)^0.25)-1</f>
        <v>0.11633109895360927</v>
      </c>
      <c r="P36" s="70" t="s">
        <v>607</v>
      </c>
      <c r="Q36" s="73">
        <f t="shared" si="18"/>
        <v>155.30022833202906</v>
      </c>
      <c r="R36" s="73">
        <f t="shared" si="18"/>
        <v>130.34956911668033</v>
      </c>
      <c r="S36" s="73">
        <f t="shared" si="18"/>
        <v>112.32415310203641</v>
      </c>
      <c r="T36" s="73">
        <f t="shared" si="18"/>
        <v>99.523945086478051</v>
      </c>
      <c r="U36" s="73">
        <f t="shared" ref="U36:U41" si="22">(F36/$F36)*100</f>
        <v>100</v>
      </c>
    </row>
    <row r="37" spans="1:21" ht="20.25" customHeight="1" x14ac:dyDescent="0.25">
      <c r="A37" s="70" t="s">
        <v>608</v>
      </c>
      <c r="B37" s="68">
        <f>FSE!C20</f>
        <v>217843.92</v>
      </c>
      <c r="C37" s="68">
        <f>FSE!F20</f>
        <v>194387.58</v>
      </c>
      <c r="D37" s="68">
        <f>FSE!I20</f>
        <v>124894.96</v>
      </c>
      <c r="E37" s="68">
        <f>FSE!L20</f>
        <v>90579.22</v>
      </c>
      <c r="F37" s="68">
        <f>FSE!O20</f>
        <v>100948.9</v>
      </c>
      <c r="H37" s="70" t="s">
        <v>608</v>
      </c>
      <c r="I37" s="69">
        <f t="shared" si="17"/>
        <v>0.12066789452289095</v>
      </c>
      <c r="J37" s="69">
        <f t="shared" si="17"/>
        <v>0.55640852120854167</v>
      </c>
      <c r="K37" s="69">
        <f t="shared" si="17"/>
        <v>0.37884781962132164</v>
      </c>
      <c r="L37" s="69">
        <f t="shared" si="19"/>
        <v>-0.10272207027515901</v>
      </c>
      <c r="M37" s="69">
        <f t="shared" si="20"/>
        <v>0</v>
      </c>
      <c r="N37" s="69">
        <f t="shared" si="21"/>
        <v>0.21202328403372217</v>
      </c>
      <c r="P37" s="70" t="s">
        <v>608</v>
      </c>
      <c r="Q37" s="73">
        <f t="shared" si="18"/>
        <v>215.79622957753878</v>
      </c>
      <c r="R37" s="73">
        <f t="shared" si="18"/>
        <v>192.56037460536965</v>
      </c>
      <c r="S37" s="73">
        <f t="shared" si="18"/>
        <v>123.72097169954306</v>
      </c>
      <c r="T37" s="73">
        <f t="shared" si="18"/>
        <v>89.727792972484096</v>
      </c>
      <c r="U37" s="73">
        <f t="shared" si="22"/>
        <v>100</v>
      </c>
    </row>
    <row r="38" spans="1:21" ht="20.25" customHeight="1" x14ac:dyDescent="0.25">
      <c r="A38" s="70" t="s">
        <v>609</v>
      </c>
      <c r="B38" s="68">
        <f>FSE!C26</f>
        <v>100970.61</v>
      </c>
      <c r="C38" s="68">
        <f>FSE!F26</f>
        <v>109497.29</v>
      </c>
      <c r="D38" s="68">
        <f>FSE!I26</f>
        <v>100334.97</v>
      </c>
      <c r="E38" s="68">
        <f>FSE!L26</f>
        <v>101026.04</v>
      </c>
      <c r="F38" s="68">
        <f>FSE!O26</f>
        <v>89869.119999999995</v>
      </c>
      <c r="H38" s="70" t="s">
        <v>609</v>
      </c>
      <c r="I38" s="69">
        <f t="shared" si="17"/>
        <v>-7.7871150966384639E-2</v>
      </c>
      <c r="J38" s="69">
        <f t="shared" si="17"/>
        <v>9.1317314391981208E-2</v>
      </c>
      <c r="K38" s="69">
        <f t="shared" si="17"/>
        <v>-6.8405135943168105E-3</v>
      </c>
      <c r="L38" s="69">
        <f t="shared" si="19"/>
        <v>0.12414631410655841</v>
      </c>
      <c r="M38" s="69">
        <f t="shared" si="20"/>
        <v>0</v>
      </c>
      <c r="N38" s="69">
        <f t="shared" si="21"/>
        <v>2.9546870277684878E-2</v>
      </c>
      <c r="P38" s="70" t="s">
        <v>609</v>
      </c>
      <c r="Q38" s="73">
        <f t="shared" si="18"/>
        <v>112.35295282740057</v>
      </c>
      <c r="R38" s="73">
        <f t="shared" si="18"/>
        <v>121.84083921151114</v>
      </c>
      <c r="S38" s="73">
        <f t="shared" si="18"/>
        <v>111.64565759629114</v>
      </c>
      <c r="T38" s="73">
        <f t="shared" si="18"/>
        <v>112.41463141065584</v>
      </c>
      <c r="U38" s="73">
        <f t="shared" si="22"/>
        <v>100</v>
      </c>
    </row>
    <row r="39" spans="1:21" ht="20.25" customHeight="1" x14ac:dyDescent="0.25">
      <c r="A39" s="70" t="s">
        <v>610</v>
      </c>
      <c r="B39" s="68">
        <f>FSE!C31</f>
        <v>54486.47</v>
      </c>
      <c r="C39" s="68">
        <f>FSE!F31</f>
        <v>59805.59</v>
      </c>
      <c r="D39" s="68">
        <f>FSE!I31</f>
        <v>72075.199999999997</v>
      </c>
      <c r="E39" s="68">
        <f>FSE!L31</f>
        <v>69831.66</v>
      </c>
      <c r="F39" s="68">
        <f>FSE!O31</f>
        <v>56706.55</v>
      </c>
      <c r="H39" s="70" t="s">
        <v>610</v>
      </c>
      <c r="I39" s="69">
        <f t="shared" si="17"/>
        <v>-8.8940181009835251E-2</v>
      </c>
      <c r="J39" s="69">
        <f t="shared" si="17"/>
        <v>-0.17023345061824313</v>
      </c>
      <c r="K39" s="69">
        <f t="shared" si="17"/>
        <v>3.2127834280324841E-2</v>
      </c>
      <c r="L39" s="69">
        <f t="shared" si="19"/>
        <v>0.23145668357535421</v>
      </c>
      <c r="M39" s="69">
        <f t="shared" si="20"/>
        <v>0</v>
      </c>
      <c r="N39" s="69">
        <f t="shared" si="21"/>
        <v>-9.9346496663644812E-3</v>
      </c>
      <c r="P39" s="70" t="s">
        <v>610</v>
      </c>
      <c r="Q39" s="73">
        <f t="shared" si="18"/>
        <v>96.084967256868907</v>
      </c>
      <c r="R39" s="73">
        <f t="shared" si="18"/>
        <v>105.46504768849452</v>
      </c>
      <c r="S39" s="73">
        <f t="shared" si="18"/>
        <v>127.10207198286616</v>
      </c>
      <c r="T39" s="73">
        <f t="shared" si="18"/>
        <v>123.14566835753541</v>
      </c>
      <c r="U39" s="73">
        <f t="shared" si="22"/>
        <v>100</v>
      </c>
    </row>
    <row r="40" spans="1:21" ht="20.25" customHeight="1" x14ac:dyDescent="0.25">
      <c r="A40" s="70" t="s">
        <v>611</v>
      </c>
      <c r="B40" s="68">
        <f>FSE!C36</f>
        <v>373693.62</v>
      </c>
      <c r="C40" s="68">
        <f>FSE!F36</f>
        <v>338383.64</v>
      </c>
      <c r="D40" s="68">
        <f>FSE!I36</f>
        <v>323620.02</v>
      </c>
      <c r="E40" s="68">
        <f>FSE!L36</f>
        <v>341803.5</v>
      </c>
      <c r="F40" s="68">
        <f>FSE!O36</f>
        <v>353397.8</v>
      </c>
      <c r="H40" s="70" t="s">
        <v>611</v>
      </c>
      <c r="I40" s="69">
        <f t="shared" si="17"/>
        <v>0.10434895729592597</v>
      </c>
      <c r="J40" s="69">
        <f t="shared" si="17"/>
        <v>4.5620230787946969E-2</v>
      </c>
      <c r="K40" s="69">
        <f t="shared" si="17"/>
        <v>-5.3198636058436999E-2</v>
      </c>
      <c r="L40" s="69">
        <f t="shared" si="19"/>
        <v>-3.2808070678425283E-2</v>
      </c>
      <c r="M40" s="69">
        <f t="shared" si="20"/>
        <v>0</v>
      </c>
      <c r="N40" s="69">
        <f t="shared" si="21"/>
        <v>1.4058384892135622E-2</v>
      </c>
      <c r="P40" s="70" t="s">
        <v>611</v>
      </c>
      <c r="Q40" s="73">
        <f t="shared" si="18"/>
        <v>105.74305216387879</v>
      </c>
      <c r="R40" s="73">
        <f t="shared" si="18"/>
        <v>95.751484587623352</v>
      </c>
      <c r="S40" s="73">
        <f t="shared" si="18"/>
        <v>91.573863787493863</v>
      </c>
      <c r="T40" s="73">
        <f t="shared" si="18"/>
        <v>96.719192932157469</v>
      </c>
      <c r="U40" s="73">
        <f t="shared" si="22"/>
        <v>100</v>
      </c>
    </row>
    <row r="41" spans="1:21" ht="20.25" customHeight="1" x14ac:dyDescent="0.25">
      <c r="A41" s="70" t="s">
        <v>612</v>
      </c>
      <c r="B41" s="68">
        <f>Balanço_DR!C95</f>
        <v>2292750.7799999998</v>
      </c>
      <c r="C41" s="68">
        <f>Balanço_DR!F95</f>
        <v>1692394.11</v>
      </c>
      <c r="D41" s="68">
        <f>Balanço_DR!I95</f>
        <v>1529364.8</v>
      </c>
      <c r="E41" s="68">
        <f>Balanço_DR!L95</f>
        <v>1445731.99</v>
      </c>
      <c r="F41" s="68">
        <f>Balanço_DR!O95</f>
        <v>1414402.2</v>
      </c>
      <c r="H41" s="70" t="s">
        <v>612</v>
      </c>
      <c r="I41" s="69">
        <f t="shared" si="17"/>
        <v>0.35473809938986345</v>
      </c>
      <c r="J41" s="69">
        <f t="shared" si="17"/>
        <v>0.10659936072806175</v>
      </c>
      <c r="K41" s="69">
        <f t="shared" si="17"/>
        <v>5.7848073210305051E-2</v>
      </c>
      <c r="L41" s="69">
        <f t="shared" si="19"/>
        <v>2.2150552367636411E-2</v>
      </c>
      <c r="M41" s="69">
        <f t="shared" si="20"/>
        <v>0</v>
      </c>
      <c r="N41" s="69">
        <f t="shared" si="21"/>
        <v>0.12835558190107221</v>
      </c>
      <c r="P41" s="70" t="s">
        <v>612</v>
      </c>
      <c r="Q41" s="73">
        <f t="shared" si="18"/>
        <v>162.10034034166517</v>
      </c>
      <c r="R41" s="73">
        <f t="shared" si="18"/>
        <v>119.65437483058214</v>
      </c>
      <c r="S41" s="73">
        <f t="shared" si="18"/>
        <v>108.12799923529532</v>
      </c>
      <c r="T41" s="73">
        <f t="shared" si="18"/>
        <v>102.21505523676365</v>
      </c>
      <c r="U41" s="73">
        <f t="shared" si="22"/>
        <v>100</v>
      </c>
    </row>
    <row r="42" spans="1:21" ht="20.25" customHeight="1" x14ac:dyDescent="0.25">
      <c r="A42" s="51" t="s">
        <v>613</v>
      </c>
      <c r="B42" s="50">
        <f>B35/B41</f>
        <v>0.4583156526066039</v>
      </c>
      <c r="C42" s="50">
        <f t="shared" ref="C42:F42" si="23">C35/C41</f>
        <v>0.33968854925877756</v>
      </c>
      <c r="D42" s="50">
        <f t="shared" si="23"/>
        <v>0.35992379973698885</v>
      </c>
      <c r="E42" s="50">
        <f t="shared" si="23"/>
        <v>0.36334663937262673</v>
      </c>
      <c r="F42" s="50">
        <f t="shared" si="23"/>
        <v>0.34981061256833457</v>
      </c>
    </row>
    <row r="43" spans="1:21" ht="20.25" customHeight="1" x14ac:dyDescent="0.25">
      <c r="A43" s="51" t="s">
        <v>614</v>
      </c>
      <c r="B43" s="50">
        <f>B36/B41</f>
        <v>0.2158771874891697</v>
      </c>
      <c r="C43" s="50">
        <f t="shared" ref="C43:F43" si="24">C36/C41</f>
        <v>0.24547066640405643</v>
      </c>
      <c r="D43" s="50">
        <f t="shared" si="24"/>
        <v>0.23407421172502466</v>
      </c>
      <c r="E43" s="50">
        <f t="shared" si="24"/>
        <v>0.21939731028570519</v>
      </c>
      <c r="F43" s="50">
        <f t="shared" si="24"/>
        <v>0.2253297753637544</v>
      </c>
      <c r="P43" s="67" t="s">
        <v>501</v>
      </c>
      <c r="Q43" s="70" t="s">
        <v>3</v>
      </c>
      <c r="R43" s="70" t="s">
        <v>4</v>
      </c>
      <c r="S43" s="70" t="s">
        <v>5</v>
      </c>
    </row>
    <row r="44" spans="1:21" ht="20.25" customHeight="1" x14ac:dyDescent="0.25">
      <c r="A44" s="51" t="s">
        <v>615</v>
      </c>
      <c r="B44" s="50">
        <f>B40/B41</f>
        <v>0.16298920199255151</v>
      </c>
      <c r="C44" s="50">
        <f t="shared" ref="C44:F44" si="25">C40/C41</f>
        <v>0.19994375896285765</v>
      </c>
      <c r="D44" s="50">
        <f t="shared" si="25"/>
        <v>0.21160420326138016</v>
      </c>
      <c r="E44" s="50">
        <f t="shared" si="25"/>
        <v>0.23642245060925851</v>
      </c>
      <c r="F44" s="50">
        <f t="shared" si="25"/>
        <v>0.24985665322070341</v>
      </c>
      <c r="P44" s="70" t="s">
        <v>606</v>
      </c>
      <c r="Q44" s="73">
        <f t="shared" ref="Q44:R50" si="26">(B35/$D35)*100</f>
        <v>190.89734326773683</v>
      </c>
      <c r="R44" s="73">
        <f t="shared" si="26"/>
        <v>104.43853163672171</v>
      </c>
      <c r="S44" s="73">
        <f>(D35/$D35)*100</f>
        <v>100</v>
      </c>
    </row>
    <row r="45" spans="1:21" ht="20.25" customHeight="1" x14ac:dyDescent="0.25">
      <c r="A45" s="51" t="s">
        <v>616</v>
      </c>
      <c r="B45" s="50">
        <f>SUM(B35:B40)/B41</f>
        <v>1.0000000000000002</v>
      </c>
      <c r="C45" s="50">
        <f>SUM(C35:C40)/C41</f>
        <v>1.0000000000000002</v>
      </c>
      <c r="D45" s="50">
        <f>SUM(D35:D40)/D41</f>
        <v>1</v>
      </c>
      <c r="E45" s="50">
        <f>SUM(E35:E40)/E41</f>
        <v>1</v>
      </c>
      <c r="F45" s="50">
        <f>SUM(F35:F40)/F41</f>
        <v>1.0000000000000002</v>
      </c>
      <c r="P45" s="70" t="s">
        <v>607</v>
      </c>
      <c r="Q45" s="73">
        <f t="shared" si="26"/>
        <v>138.26076052490041</v>
      </c>
      <c r="R45" s="73">
        <f t="shared" si="26"/>
        <v>116.04767587098517</v>
      </c>
      <c r="S45" s="73">
        <f t="shared" ref="S45:S50" si="27">(D36/$D36)*100</f>
        <v>100</v>
      </c>
    </row>
    <row r="46" spans="1:21" ht="20.25" customHeight="1" x14ac:dyDescent="0.25">
      <c r="P46" s="70" t="s">
        <v>608</v>
      </c>
      <c r="Q46" s="73">
        <f t="shared" si="26"/>
        <v>174.42170604802627</v>
      </c>
      <c r="R46" s="73">
        <f t="shared" si="26"/>
        <v>155.64085212085416</v>
      </c>
      <c r="S46" s="73">
        <f t="shared" si="27"/>
        <v>100</v>
      </c>
    </row>
    <row r="47" spans="1:21" ht="20.25" customHeight="1" x14ac:dyDescent="0.25">
      <c r="P47" s="70" t="s">
        <v>609</v>
      </c>
      <c r="Q47" s="73">
        <f t="shared" si="26"/>
        <v>100.63351790507338</v>
      </c>
      <c r="R47" s="73">
        <f t="shared" si="26"/>
        <v>109.13173143919812</v>
      </c>
      <c r="S47" s="73">
        <f t="shared" si="27"/>
        <v>100</v>
      </c>
    </row>
    <row r="48" spans="1:21" ht="20.25" customHeight="1" x14ac:dyDescent="0.25">
      <c r="P48" s="70" t="s">
        <v>610</v>
      </c>
      <c r="Q48" s="73">
        <f t="shared" si="26"/>
        <v>75.596696228383692</v>
      </c>
      <c r="R48" s="73">
        <f t="shared" si="26"/>
        <v>82.976654938175685</v>
      </c>
      <c r="S48" s="73">
        <f t="shared" si="27"/>
        <v>100</v>
      </c>
    </row>
    <row r="49" spans="16:19" ht="20.25" customHeight="1" x14ac:dyDescent="0.25">
      <c r="P49" s="70" t="s">
        <v>611</v>
      </c>
      <c r="Q49" s="73">
        <f t="shared" si="26"/>
        <v>115.47296115981946</v>
      </c>
      <c r="R49" s="73">
        <f t="shared" si="26"/>
        <v>104.5620230787947</v>
      </c>
      <c r="S49" s="73">
        <f t="shared" si="27"/>
        <v>100</v>
      </c>
    </row>
    <row r="50" spans="16:19" ht="20.25" customHeight="1" x14ac:dyDescent="0.25">
      <c r="P50" s="70" t="s">
        <v>612</v>
      </c>
      <c r="Q50" s="73">
        <f t="shared" si="26"/>
        <v>149.91523147387724</v>
      </c>
      <c r="R50" s="73">
        <f t="shared" si="26"/>
        <v>110.65993607280618</v>
      </c>
      <c r="S50" s="73">
        <f t="shared" si="27"/>
        <v>100</v>
      </c>
    </row>
    <row r="51" spans="16:19" ht="20.25" customHeight="1" x14ac:dyDescent="0.25"/>
    <row r="52" spans="16:19" ht="20.25" customHeight="1" x14ac:dyDescent="0.25"/>
    <row r="53" spans="16:19" ht="20.25" customHeight="1" x14ac:dyDescent="0.25"/>
    <row r="54" spans="16:19" ht="20.25" customHeight="1" x14ac:dyDescent="0.25"/>
    <row r="55" spans="16:19" ht="20.25" customHeight="1" x14ac:dyDescent="0.25"/>
    <row r="56" spans="16:19" ht="20.25" customHeight="1" x14ac:dyDescent="0.25"/>
    <row r="57" spans="16:19" ht="20.25" customHeight="1" x14ac:dyDescent="0.25"/>
    <row r="58" spans="16:19" ht="20.25" customHeight="1" x14ac:dyDescent="0.25"/>
    <row r="59" spans="16:19" ht="20.25" customHeight="1" x14ac:dyDescent="0.25"/>
    <row r="60" spans="16:19" ht="20.25" customHeight="1" x14ac:dyDescent="0.25"/>
    <row r="61" spans="16:19" ht="20.25" customHeight="1" x14ac:dyDescent="0.25"/>
    <row r="62" spans="16:19" ht="20.25" customHeight="1" x14ac:dyDescent="0.25"/>
    <row r="63" spans="16:19" ht="20.25" customHeight="1" x14ac:dyDescent="0.25"/>
    <row r="64" spans="16:19" ht="20.25" customHeight="1" x14ac:dyDescent="0.25"/>
    <row r="65" ht="20.25" customHeight="1" x14ac:dyDescent="0.25"/>
    <row r="66" ht="20.25" customHeight="1" x14ac:dyDescent="0.25"/>
    <row r="67" ht="20.25" customHeight="1" x14ac:dyDescent="0.25"/>
    <row r="68" ht="20.25" customHeight="1" x14ac:dyDescent="0.25"/>
    <row r="69" ht="20.25" customHeight="1" x14ac:dyDescent="0.25"/>
    <row r="70" ht="20.25" customHeight="1" x14ac:dyDescent="0.25"/>
    <row r="71" ht="20.25" customHeight="1" x14ac:dyDescent="0.25"/>
    <row r="72" ht="20.25" customHeight="1" x14ac:dyDescent="0.25"/>
    <row r="73" ht="20.25" customHeight="1" x14ac:dyDescent="0.25"/>
    <row r="74" ht="20.25" customHeight="1" x14ac:dyDescent="0.25"/>
    <row r="75" ht="20.25" customHeight="1" x14ac:dyDescent="0.25"/>
    <row r="76" ht="20.25" customHeight="1" x14ac:dyDescent="0.25"/>
  </sheetData>
  <mergeCells count="3">
    <mergeCell ref="A1:N2"/>
    <mergeCell ref="A19:U20"/>
    <mergeCell ref="A31:U3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0FBCB-C38B-4C99-B557-822E06360DEA}">
  <dimension ref="D4:G11"/>
  <sheetViews>
    <sheetView showGridLines="0" zoomScale="160" zoomScaleNormal="160" workbookViewId="0">
      <selection activeCell="I4" sqref="I4"/>
    </sheetView>
  </sheetViews>
  <sheetFormatPr defaultRowHeight="15" x14ac:dyDescent="0.25"/>
  <cols>
    <col min="4" max="4" width="28.7109375" bestFit="1" customWidth="1"/>
    <col min="5" max="9" width="12.7109375" bestFit="1" customWidth="1"/>
  </cols>
  <sheetData>
    <row r="4" spans="4:7" ht="15" customHeight="1" x14ac:dyDescent="0.25">
      <c r="D4" s="221" t="s">
        <v>478</v>
      </c>
      <c r="E4" s="222"/>
      <c r="F4" s="222"/>
      <c r="G4" s="223"/>
    </row>
    <row r="5" spans="4:7" ht="15" customHeight="1" x14ac:dyDescent="0.25">
      <c r="D5" s="224"/>
      <c r="E5" s="225"/>
      <c r="F5" s="225"/>
      <c r="G5" s="226"/>
    </row>
    <row r="6" spans="4:7" x14ac:dyDescent="0.25">
      <c r="D6" s="155"/>
      <c r="E6" s="150" t="s">
        <v>3</v>
      </c>
      <c r="F6" s="149" t="s">
        <v>4</v>
      </c>
      <c r="G6" s="149" t="s">
        <v>5</v>
      </c>
    </row>
    <row r="7" spans="4:7" x14ac:dyDescent="0.25">
      <c r="D7" s="151" t="s">
        <v>482</v>
      </c>
      <c r="E7" s="152">
        <v>2.5070000000000001</v>
      </c>
      <c r="F7" s="152">
        <v>2.8700999999999999</v>
      </c>
      <c r="G7" s="152">
        <v>2.7363</v>
      </c>
    </row>
    <row r="8" spans="4:7" x14ac:dyDescent="0.25">
      <c r="D8" s="149" t="s">
        <v>484</v>
      </c>
      <c r="E8" s="152">
        <v>1.0013000000000001</v>
      </c>
      <c r="F8" s="152">
        <v>1.0059</v>
      </c>
      <c r="G8" s="152">
        <v>1.0016</v>
      </c>
    </row>
    <row r="9" spans="4:7" x14ac:dyDescent="0.25">
      <c r="D9" s="149" t="s">
        <v>486</v>
      </c>
      <c r="E9" s="152">
        <v>2.5103</v>
      </c>
      <c r="F9" s="152">
        <v>2.887</v>
      </c>
      <c r="G9" s="152">
        <v>2.7406999999999999</v>
      </c>
    </row>
    <row r="10" spans="4:7" x14ac:dyDescent="0.25">
      <c r="D10" s="149" t="s">
        <v>488</v>
      </c>
      <c r="E10" s="153">
        <v>0.66356179821670791</v>
      </c>
      <c r="F10" s="153">
        <v>0.53472492337544919</v>
      </c>
      <c r="G10" s="153">
        <v>0.5759359160363573</v>
      </c>
    </row>
    <row r="11" spans="4:7" x14ac:dyDescent="0.25">
      <c r="D11" s="149" t="s">
        <v>490</v>
      </c>
      <c r="E11" s="154">
        <v>5885631</v>
      </c>
      <c r="F11" s="154">
        <v>3945537</v>
      </c>
      <c r="G11" s="154">
        <v>3624807</v>
      </c>
    </row>
  </sheetData>
  <mergeCells count="1">
    <mergeCell ref="D4:G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7EF01-41B1-470B-A685-9965604A5D68}">
  <dimension ref="A1:O23"/>
  <sheetViews>
    <sheetView showGridLines="0" zoomScaleNormal="100" workbookViewId="0">
      <selection activeCell="D13" sqref="D13"/>
    </sheetView>
  </sheetViews>
  <sheetFormatPr defaultRowHeight="15" x14ac:dyDescent="0.25"/>
  <cols>
    <col min="1" max="1" width="29.140625" customWidth="1"/>
    <col min="2" max="6" width="12.85546875" bestFit="1" customWidth="1"/>
    <col min="11" max="15" width="12.85546875" bestFit="1" customWidth="1"/>
  </cols>
  <sheetData>
    <row r="1" spans="1:15" ht="15" customHeight="1" x14ac:dyDescent="0.25">
      <c r="A1" s="201" t="s">
        <v>452</v>
      </c>
      <c r="B1" s="201"/>
      <c r="C1" s="201"/>
      <c r="D1" s="201"/>
      <c r="E1" s="201"/>
      <c r="F1" s="201"/>
      <c r="G1" s="201"/>
      <c r="H1" s="201"/>
      <c r="I1" s="201"/>
      <c r="J1" s="229"/>
      <c r="K1" s="227" t="s">
        <v>617</v>
      </c>
      <c r="L1" s="201"/>
      <c r="M1" s="201"/>
      <c r="N1" s="201"/>
      <c r="O1" s="201"/>
    </row>
    <row r="2" spans="1:15" ht="15" customHeight="1" x14ac:dyDescent="0.25">
      <c r="A2" s="202"/>
      <c r="B2" s="202"/>
      <c r="C2" s="202"/>
      <c r="D2" s="202"/>
      <c r="E2" s="202"/>
      <c r="F2" s="202"/>
      <c r="G2" s="202"/>
      <c r="H2" s="202"/>
      <c r="I2" s="202"/>
      <c r="J2" s="230"/>
      <c r="K2" s="228"/>
      <c r="L2" s="202"/>
      <c r="M2" s="202"/>
      <c r="N2" s="202"/>
      <c r="O2" s="202"/>
    </row>
    <row r="3" spans="1:15" ht="18.75" x14ac:dyDescent="0.25">
      <c r="A3" s="5"/>
      <c r="B3" s="231" t="s">
        <v>453</v>
      </c>
      <c r="C3" s="231"/>
      <c r="D3" s="231"/>
      <c r="E3" s="231"/>
      <c r="F3" s="231"/>
      <c r="K3" s="12" t="s">
        <v>3</v>
      </c>
      <c r="L3" s="12" t="s">
        <v>4</v>
      </c>
      <c r="M3" s="12" t="s">
        <v>5</v>
      </c>
      <c r="N3" s="12" t="s">
        <v>6</v>
      </c>
      <c r="O3" s="12" t="s">
        <v>7</v>
      </c>
    </row>
    <row r="4" spans="1:15" x14ac:dyDescent="0.25">
      <c r="B4" s="17" t="str">
        <f>Rácios!D5</f>
        <v>31/12/2020</v>
      </c>
      <c r="C4" s="17" t="str">
        <f>Rácios!G5</f>
        <v>31/12/2019</v>
      </c>
      <c r="D4" s="17" t="str">
        <f>Rácios!J5</f>
        <v>31/12/2018</v>
      </c>
      <c r="E4" s="17" t="str">
        <f>Rácios!M5</f>
        <v>31/12/2017</v>
      </c>
      <c r="F4" s="17" t="str">
        <f>Rácios!P5</f>
        <v>31/12/2016</v>
      </c>
      <c r="K4" s="18">
        <f>Balanço_DR!C105-Balanço_DR!C108</f>
        <v>105567.03000000026</v>
      </c>
      <c r="L4" s="18">
        <f>Balanço_DR!C105-Balanço_DR!C108</f>
        <v>105567.03000000026</v>
      </c>
      <c r="M4" s="18">
        <f>Balanço_DR!I105-Balanço_DR!I108</f>
        <v>89878.629999999888</v>
      </c>
      <c r="N4" s="18">
        <f>Balanço_DR!L105-Balanço_DR!L108</f>
        <v>81064.530000000028</v>
      </c>
      <c r="O4" s="18">
        <f>Balanço_DR!O105-Balanço_DR!O108</f>
        <v>59138.199999999953</v>
      </c>
    </row>
    <row r="5" spans="1:15" ht="20.25" customHeight="1" x14ac:dyDescent="0.25">
      <c r="A5" s="11" t="s">
        <v>456</v>
      </c>
      <c r="B5" s="10">
        <f>Rácios!C65/100</f>
        <v>0.27123000000000003</v>
      </c>
      <c r="C5" s="10">
        <f>Rácios!F65/100</f>
        <v>0.29902000000000001</v>
      </c>
      <c r="D5" s="10">
        <f>Rácios!I65/100</f>
        <v>0.31153999999999998</v>
      </c>
      <c r="E5" s="10">
        <f>Rácios!L65/100</f>
        <v>0.32408999999999999</v>
      </c>
      <c r="F5" s="10">
        <f>Rácios!O65/100</f>
        <v>0.33543000000000001</v>
      </c>
    </row>
    <row r="6" spans="1:15" ht="20.25" customHeight="1" x14ac:dyDescent="0.25">
      <c r="A6" s="11" t="s">
        <v>458</v>
      </c>
      <c r="B6" s="10">
        <f>Balanço_DR!C108/Balanço_DR!C105</f>
        <v>0.96024822329750548</v>
      </c>
      <c r="C6" s="10">
        <f>Balanço_DR!F108/Balanço_DR!F105</f>
        <v>0.95014526271309141</v>
      </c>
      <c r="D6" s="10">
        <f>Balanço_DR!I108/Balanço_DR!I105</f>
        <v>0.94949735078719066</v>
      </c>
      <c r="E6" s="10">
        <f>Balanço_DR!L108/Balanço_DR!L105</f>
        <v>0.95503793025855288</v>
      </c>
      <c r="F6" s="10">
        <f>Balanço_DR!O108/Balanço_DR!O105</f>
        <v>0.9681207665674233</v>
      </c>
    </row>
    <row r="7" spans="1:15" ht="20.25" customHeight="1" x14ac:dyDescent="0.25">
      <c r="A7" s="11" t="s">
        <v>460</v>
      </c>
      <c r="B7" s="10">
        <f>Rácios!C28/100</f>
        <v>1.52556</v>
      </c>
      <c r="C7" s="10">
        <f>Rácios!F28/100</f>
        <v>2.0810900000000001</v>
      </c>
      <c r="D7" s="10">
        <f>Rácios!I28/100</f>
        <v>1.794</v>
      </c>
      <c r="E7" s="10">
        <f>Rácios!L28/100</f>
        <v>1.9357900000000001</v>
      </c>
      <c r="F7" s="10">
        <f>Rácios!O28/100</f>
        <v>1.56738</v>
      </c>
    </row>
    <row r="8" spans="1:15" ht="20.25" customHeight="1" x14ac:dyDescent="0.25">
      <c r="A8" s="11" t="s">
        <v>462</v>
      </c>
      <c r="B8" s="20">
        <f>PRODUCT(B5:B7)</f>
        <v>0.397329242497937</v>
      </c>
      <c r="C8" s="20">
        <f t="shared" ref="C8:F8" si="0">PRODUCT(C5:C7)</f>
        <v>0.59126355038519229</v>
      </c>
      <c r="D8" s="20">
        <f t="shared" si="0"/>
        <v>0.53067668996764905</v>
      </c>
      <c r="E8" s="20">
        <f t="shared" si="0"/>
        <v>0.59916231926367758</v>
      </c>
      <c r="F8" s="20">
        <f t="shared" si="0"/>
        <v>0.50898588522397414</v>
      </c>
    </row>
    <row r="9" spans="1:15" ht="20.25" customHeight="1" x14ac:dyDescent="0.25">
      <c r="A9" s="11" t="s">
        <v>464</v>
      </c>
      <c r="B9" s="10">
        <f>Balanço_DR!C111/Balanço_DR!C108</f>
        <v>0.99865394873474622</v>
      </c>
      <c r="C9" s="10">
        <f>Balanço_DR!F111/Balanço_DR!F108</f>
        <v>0.99411316843370845</v>
      </c>
      <c r="D9" s="10">
        <f>Balanço_DR!I111/Balanço_DR!I108</f>
        <v>0.99861655459619714</v>
      </c>
      <c r="E9" s="10">
        <f>Balanço_DR!L111/Balanço_DR!L108</f>
        <v>0.99354936415564998</v>
      </c>
      <c r="F9" s="10">
        <f>Balanço_DR!O111/Balanço_DR!O108</f>
        <v>0.99747661311135749</v>
      </c>
    </row>
    <row r="10" spans="1:15" ht="20.25" customHeight="1" x14ac:dyDescent="0.25">
      <c r="A10" s="11" t="s">
        <v>496</v>
      </c>
      <c r="B10" s="10">
        <f>1/(Rácios!C11/100)</f>
        <v>1.6921619060511712</v>
      </c>
      <c r="C10" s="10">
        <f>1/(Rácios!F11/100)</f>
        <v>1.7368951262722756</v>
      </c>
      <c r="D10" s="10">
        <f>1/(Rácios!I11/100)</f>
        <v>5.0522912140655789</v>
      </c>
      <c r="E10" s="10">
        <f>1/(Rácios!L11/100)</f>
        <v>2.1105060993626275</v>
      </c>
      <c r="F10" s="10">
        <f>1/(Rácios!O11/100)</f>
        <v>1.9238168526356294</v>
      </c>
    </row>
    <row r="11" spans="1:15" ht="20.25" customHeight="1" x14ac:dyDescent="0.25">
      <c r="A11" s="11" t="s">
        <v>497</v>
      </c>
      <c r="B11" s="20">
        <f>PRODUCT(B9:B10)</f>
        <v>1.6898841693765168</v>
      </c>
      <c r="C11" s="20">
        <f t="shared" ref="C11:F11" si="1">PRODUCT(C9:C10)</f>
        <v>1.7266703172155979</v>
      </c>
      <c r="D11" s="20">
        <f>PRODUCT(D9:D10)</f>
        <v>5.0453016450068064</v>
      </c>
      <c r="E11" s="20">
        <f t="shared" si="1"/>
        <v>2.0968919930683594</v>
      </c>
      <c r="F11" s="20">
        <f t="shared" si="1"/>
        <v>1.9189623184135391</v>
      </c>
    </row>
    <row r="12" spans="1:15" ht="20.25" customHeight="1" x14ac:dyDescent="0.25">
      <c r="A12" s="11" t="s">
        <v>469</v>
      </c>
      <c r="B12" s="20">
        <f>Balanço_DR!C113/Balanço_DR!C111</f>
        <v>0.88605451888151709</v>
      </c>
      <c r="C12" s="20">
        <f>Balanço_DR!F113/Balanço_DR!F111</f>
        <v>0.75718742129515526</v>
      </c>
      <c r="D12" s="20">
        <f>Balanço_DR!I113/Balanço_DR!I111</f>
        <v>0.76229349121179746</v>
      </c>
      <c r="E12" s="20">
        <f>Balanço_DR!L113/Balanço_DR!L111</f>
        <v>0.75708006822541252</v>
      </c>
      <c r="F12" s="20">
        <f>Balanço_DR!O113/Balanço_DR!O111</f>
        <v>0.98671297064602015</v>
      </c>
    </row>
    <row r="13" spans="1:15" ht="20.25" customHeight="1" x14ac:dyDescent="0.25">
      <c r="A13" s="11" t="s">
        <v>471</v>
      </c>
      <c r="B13" s="16">
        <f>PRODUCT(B8,B11,B12)</f>
        <v>0.59493279785732334</v>
      </c>
      <c r="C13" s="16">
        <f>PRODUCT(C8,C11,C12)</f>
        <v>0.77302567875893946</v>
      </c>
      <c r="D13" s="16">
        <f>PRODUCT(D8,D11,D12)</f>
        <v>2.0409828707752009</v>
      </c>
      <c r="E13" s="16">
        <f>PRODUCT(E8,E11,E12)</f>
        <v>0.9511792490584291</v>
      </c>
      <c r="F13" s="16">
        <f>PRODUCT(F8,F11,F12)</f>
        <v>0.96374696413310945</v>
      </c>
    </row>
    <row r="14" spans="1:15" ht="20.25" customHeight="1" x14ac:dyDescent="0.25">
      <c r="A14" s="15" t="s">
        <v>474</v>
      </c>
      <c r="B14" s="16">
        <v>0.27900000000000003</v>
      </c>
      <c r="C14" s="16">
        <v>0.16500000000000001</v>
      </c>
      <c r="D14" s="16">
        <v>8.4000000000000005E-2</v>
      </c>
      <c r="E14" s="16">
        <v>0.10100000000000001</v>
      </c>
      <c r="F14" s="16">
        <v>0.152</v>
      </c>
    </row>
    <row r="16" spans="1:15" ht="15" customHeight="1" x14ac:dyDescent="0.25">
      <c r="A16" s="201" t="s">
        <v>478</v>
      </c>
      <c r="B16" s="201"/>
      <c r="C16" s="201"/>
      <c r="D16" s="201"/>
      <c r="E16" s="201"/>
      <c r="F16" s="201"/>
    </row>
    <row r="17" spans="1:6" ht="15" customHeight="1" x14ac:dyDescent="0.25">
      <c r="A17" s="202"/>
      <c r="B17" s="202"/>
      <c r="C17" s="202"/>
      <c r="D17" s="202"/>
      <c r="E17" s="202"/>
      <c r="F17" s="202"/>
    </row>
    <row r="18" spans="1:6" x14ac:dyDescent="0.25">
      <c r="B18" s="17" t="s">
        <v>3</v>
      </c>
      <c r="C18" s="17" t="s">
        <v>4</v>
      </c>
      <c r="D18" s="17" t="s">
        <v>5</v>
      </c>
      <c r="E18" s="17" t="s">
        <v>6</v>
      </c>
      <c r="F18" s="17" t="s">
        <v>7</v>
      </c>
    </row>
    <row r="19" spans="1:6" ht="20.25" customHeight="1" x14ac:dyDescent="0.25">
      <c r="A19" s="11" t="s">
        <v>482</v>
      </c>
      <c r="B19" s="10">
        <f>1/B6</f>
        <v>1.0413973967751655</v>
      </c>
      <c r="C19" s="10">
        <f t="shared" ref="C19:F19" si="2">1/C6</f>
        <v>1.0524706476402892</v>
      </c>
      <c r="D19" s="10">
        <f t="shared" si="2"/>
        <v>1.0531888258255167</v>
      </c>
      <c r="E19" s="10">
        <f t="shared" si="2"/>
        <v>1.0470788314441866</v>
      </c>
      <c r="F19" s="10">
        <f t="shared" si="2"/>
        <v>1.032928984206803</v>
      </c>
    </row>
    <row r="20" spans="1:6" ht="20.25" customHeight="1" x14ac:dyDescent="0.25">
      <c r="A20" s="11" t="s">
        <v>484</v>
      </c>
      <c r="B20" s="10">
        <f>1/B9</f>
        <v>1.0013478655613981</v>
      </c>
      <c r="C20" s="10">
        <f t="shared" ref="C20:F20" si="3">1/C9</f>
        <v>1.0059216915671347</v>
      </c>
      <c r="D20" s="10">
        <f t="shared" si="3"/>
        <v>1.0013853619764619</v>
      </c>
      <c r="E20" s="10">
        <f t="shared" si="3"/>
        <v>1.0064925167053294</v>
      </c>
      <c r="F20" s="10">
        <f t="shared" si="3"/>
        <v>1.0025297704782987</v>
      </c>
    </row>
    <row r="21" spans="1:6" ht="20.25" customHeight="1" x14ac:dyDescent="0.25">
      <c r="A21" s="15" t="s">
        <v>486</v>
      </c>
      <c r="B21" s="10">
        <f>B19*B20</f>
        <v>1.0428010604620084</v>
      </c>
      <c r="C21" s="10">
        <f t="shared" ref="C21:F21" si="4">C19*C20</f>
        <v>1.0587030541990776</v>
      </c>
      <c r="D21" s="10">
        <f t="shared" si="4"/>
        <v>1.0546478735788498</v>
      </c>
      <c r="E21" s="10">
        <f t="shared" si="4"/>
        <v>1.0538770082491347</v>
      </c>
      <c r="F21" s="10">
        <f t="shared" si="4"/>
        <v>1.0355420574572285</v>
      </c>
    </row>
    <row r="22" spans="1:6" ht="20.25" customHeight="1" x14ac:dyDescent="0.25">
      <c r="A22" s="11" t="s">
        <v>488</v>
      </c>
      <c r="B22" s="14">
        <f>(Balanço_DR!C89-Análise_Rendibilidade_Risco!B23)/Análise_Rendibilidade_Risco!B23</f>
        <v>24.156108303889894</v>
      </c>
      <c r="C22" s="14">
        <f>(Balanço_DR!F89-Análise_Rendibilidade_Risco!C23)/Análise_Rendibilidade_Risco!C23</f>
        <v>16.151796730475372</v>
      </c>
      <c r="D22" s="14">
        <f>(Balanço_DR!I89-Análise_Rendibilidade_Risco!D23)/Análise_Rendibilidade_Risco!D23</f>
        <v>18.800941447371887</v>
      </c>
      <c r="E22" s="14">
        <f>(Balanço_DR!L89-Análise_Rendibilidade_Risco!E23)/Análise_Rendibilidade_Risco!E23</f>
        <v>21.240969015671826</v>
      </c>
      <c r="F22" s="14">
        <f>(Balanço_DR!O89-Análise_Rendibilidade_Risco!F23)/Análise_Rendibilidade_Risco!F23</f>
        <v>30.368382872661012</v>
      </c>
    </row>
    <row r="23" spans="1:6" ht="20.25" customHeight="1" x14ac:dyDescent="0.25">
      <c r="A23" s="11" t="s">
        <v>490</v>
      </c>
      <c r="B23" s="13">
        <f>(K4*Balanço_DR!C89)/Balanço_DR!C105</f>
        <v>389214.05376864271</v>
      </c>
      <c r="C23" s="13">
        <f>(L4*Balanço_DR!F89)/Balanço_DR!F105</f>
        <v>353042.545055405</v>
      </c>
      <c r="D23" s="13">
        <f>(M4*Balanço_DR!I89)/Balanço_DR!I105</f>
        <v>288494.54230158316</v>
      </c>
      <c r="E23" s="13">
        <f>(N4*Balanço_DR!L89)/Balanço_DR!L105</f>
        <v>250128.62236712922</v>
      </c>
      <c r="F23" s="13">
        <f>(O4*Balanço_DR!O89)/Balanço_DR!O105</f>
        <v>176303.18854657793</v>
      </c>
    </row>
  </sheetData>
  <mergeCells count="4">
    <mergeCell ref="K1:O2"/>
    <mergeCell ref="A1:J2"/>
    <mergeCell ref="B3:F3"/>
    <mergeCell ref="A16:F1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8D4A1-E527-4D2B-AE05-38AF7742A685}">
  <dimension ref="A1:BA224"/>
  <sheetViews>
    <sheetView showGridLines="0" topLeftCell="A56" workbookViewId="0">
      <selection activeCell="C58" sqref="C58:E58"/>
    </sheetView>
  </sheetViews>
  <sheetFormatPr defaultRowHeight="15" x14ac:dyDescent="0.25"/>
  <cols>
    <col min="1" max="1" width="0.5703125" style="7" customWidth="1"/>
    <col min="2" max="2" width="43.85546875" style="7" customWidth="1"/>
    <col min="3" max="3" width="2.42578125" style="7" customWidth="1"/>
    <col min="4" max="4" width="2" style="7" customWidth="1"/>
    <col min="5" max="5" width="9" style="7" customWidth="1"/>
    <col min="6" max="6" width="2.42578125" style="7" customWidth="1"/>
    <col min="7" max="7" width="2" style="7" customWidth="1"/>
    <col min="8" max="8" width="9" style="7" customWidth="1"/>
    <col min="9" max="9" width="2.42578125" style="7" customWidth="1"/>
    <col min="10" max="10" width="2" style="7" customWidth="1"/>
    <col min="11" max="11" width="9" style="7" customWidth="1"/>
    <col min="12" max="12" width="2.42578125" style="7" customWidth="1"/>
    <col min="13" max="13" width="2" style="7" customWidth="1"/>
    <col min="14" max="14" width="9" style="7" customWidth="1"/>
    <col min="15" max="15" width="2.42578125" style="7" customWidth="1"/>
    <col min="16" max="16" width="1.140625" style="7" customWidth="1"/>
    <col min="17" max="17" width="0.5703125" style="7" customWidth="1"/>
    <col min="18" max="18" width="0.140625" style="7" customWidth="1"/>
    <col min="19" max="19" width="9" style="7" customWidth="1"/>
    <col min="20" max="20" width="2.42578125" style="7" customWidth="1"/>
    <col min="21" max="21" width="2" style="7" customWidth="1"/>
    <col min="22" max="22" width="9" style="7" customWidth="1"/>
    <col min="23" max="23" width="2.42578125" style="7" customWidth="1"/>
    <col min="24" max="24" width="2" style="7" customWidth="1"/>
    <col min="25" max="25" width="9" style="7" customWidth="1"/>
    <col min="26" max="26" width="2.42578125" style="7" customWidth="1"/>
    <col min="27" max="27" width="2" style="7" customWidth="1"/>
    <col min="28" max="28" width="9" style="7" customWidth="1"/>
    <col min="29" max="29" width="2.42578125" style="7" customWidth="1"/>
    <col min="30" max="30" width="2" style="7" customWidth="1"/>
    <col min="31" max="31" width="9" style="7" customWidth="1"/>
    <col min="32" max="32" width="2.42578125" style="7" customWidth="1"/>
    <col min="33" max="33" width="2" style="7" customWidth="1"/>
    <col min="34" max="34" width="9" style="7" customWidth="1"/>
    <col min="35" max="35" width="2.42578125" style="7" customWidth="1"/>
    <col min="36" max="36" width="2" style="7" customWidth="1"/>
    <col min="37" max="37" width="9" style="7" customWidth="1"/>
    <col min="38" max="38" width="2.42578125" style="7" customWidth="1"/>
    <col min="39" max="39" width="2" style="7" customWidth="1"/>
    <col min="40" max="40" width="9" style="7" customWidth="1"/>
    <col min="41" max="41" width="2.42578125" style="7" customWidth="1"/>
    <col min="42" max="42" width="2" style="7" customWidth="1"/>
    <col min="43" max="43" width="9" style="7" customWidth="1"/>
    <col min="44" max="44" width="2.42578125" style="7" customWidth="1"/>
    <col min="45" max="45" width="2" style="7" customWidth="1"/>
    <col min="46" max="46" width="9" style="7" customWidth="1"/>
    <col min="47" max="47" width="2.42578125" style="7" customWidth="1"/>
    <col min="48" max="48" width="2" style="7" customWidth="1"/>
    <col min="49" max="49" width="9" style="7" customWidth="1"/>
    <col min="50" max="50" width="2.42578125" style="7" customWidth="1"/>
    <col min="51" max="51" width="2" style="7" customWidth="1"/>
    <col min="52" max="52" width="6.5703125" style="7" customWidth="1"/>
    <col min="53" max="53" width="2.42578125" style="7" customWidth="1"/>
    <col min="54" max="16384" width="9.140625" style="6"/>
  </cols>
  <sheetData>
    <row r="1" spans="1:53" ht="20.45" customHeight="1" x14ac:dyDescent="0.25">
      <c r="B1" s="170" t="s">
        <v>0</v>
      </c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</row>
    <row r="2" spans="1:53" ht="13.15" customHeight="1" x14ac:dyDescent="0.25">
      <c r="A2" s="165"/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</row>
    <row r="3" spans="1:53" ht="19.149999999999999" customHeight="1" x14ac:dyDescent="0.25">
      <c r="A3" s="171" t="s">
        <v>118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2"/>
      <c r="AF3" s="172"/>
      <c r="AG3" s="172"/>
      <c r="AH3" s="172"/>
      <c r="AI3" s="172"/>
      <c r="AJ3" s="172"/>
      <c r="AK3" s="172"/>
      <c r="AL3" s="172"/>
      <c r="AM3" s="172"/>
      <c r="AN3" s="172"/>
      <c r="AO3" s="172"/>
      <c r="AP3" s="172"/>
      <c r="AQ3" s="172"/>
      <c r="AR3" s="172"/>
      <c r="AS3" s="172"/>
      <c r="AT3" s="172"/>
      <c r="AU3" s="172"/>
      <c r="AV3" s="172"/>
      <c r="AW3" s="172"/>
      <c r="AX3" s="172"/>
      <c r="AY3" s="172"/>
      <c r="AZ3" s="172"/>
    </row>
    <row r="4" spans="1:53" ht="13.15" customHeight="1" x14ac:dyDescent="0.25">
      <c r="A4" s="165"/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</row>
    <row r="5" spans="1:53" ht="14.45" customHeight="1" x14ac:dyDescent="0.25">
      <c r="A5" s="173" t="s">
        <v>2</v>
      </c>
      <c r="B5" s="165"/>
      <c r="C5" s="167"/>
      <c r="D5" s="168" t="s">
        <v>3</v>
      </c>
      <c r="E5" s="165"/>
      <c r="F5" s="167"/>
      <c r="G5" s="168" t="s">
        <v>4</v>
      </c>
      <c r="H5" s="165"/>
      <c r="I5" s="167"/>
      <c r="J5" s="168" t="s">
        <v>5</v>
      </c>
      <c r="K5" s="165"/>
      <c r="L5" s="167"/>
      <c r="M5" s="168" t="s">
        <v>6</v>
      </c>
      <c r="N5" s="165"/>
      <c r="O5" s="167"/>
      <c r="P5" s="168" t="s">
        <v>7</v>
      </c>
      <c r="Q5" s="165"/>
      <c r="R5" s="165"/>
      <c r="S5" s="165"/>
      <c r="T5" s="167"/>
      <c r="U5" s="168" t="s">
        <v>8</v>
      </c>
      <c r="V5" s="165"/>
      <c r="W5" s="167"/>
      <c r="X5" s="168" t="s">
        <v>9</v>
      </c>
      <c r="Y5" s="165"/>
      <c r="Z5" s="167"/>
      <c r="AA5" s="168" t="s">
        <v>10</v>
      </c>
      <c r="AB5" s="165"/>
      <c r="AC5" s="167"/>
      <c r="AD5" s="168" t="s">
        <v>11</v>
      </c>
      <c r="AE5" s="165"/>
      <c r="AF5" s="167"/>
      <c r="AG5" s="168" t="s">
        <v>12</v>
      </c>
      <c r="AH5" s="165"/>
      <c r="AI5" s="167"/>
      <c r="AJ5" s="168" t="s">
        <v>13</v>
      </c>
      <c r="AK5" s="165"/>
      <c r="AL5" s="167"/>
      <c r="AM5" s="168" t="s">
        <v>14</v>
      </c>
      <c r="AN5" s="165"/>
      <c r="AO5" s="167"/>
      <c r="AP5" s="168" t="s">
        <v>15</v>
      </c>
      <c r="AQ5" s="165"/>
      <c r="AR5" s="167"/>
      <c r="AS5" s="168" t="s">
        <v>16</v>
      </c>
      <c r="AT5" s="165"/>
      <c r="AU5" s="167"/>
      <c r="AV5" s="168" t="s">
        <v>17</v>
      </c>
      <c r="AW5" s="165"/>
      <c r="AX5" s="167"/>
      <c r="AY5" s="168" t="s">
        <v>18</v>
      </c>
      <c r="AZ5" s="165"/>
      <c r="BA5" s="165"/>
    </row>
    <row r="6" spans="1:53" ht="14.45" customHeight="1" x14ac:dyDescent="0.25">
      <c r="A6" s="156"/>
      <c r="B6" s="156"/>
      <c r="C6" s="156"/>
      <c r="D6" s="169" t="s">
        <v>19</v>
      </c>
      <c r="E6" s="156"/>
      <c r="F6" s="156"/>
      <c r="G6" s="169" t="s">
        <v>19</v>
      </c>
      <c r="H6" s="156"/>
      <c r="I6" s="156"/>
      <c r="J6" s="169" t="s">
        <v>19</v>
      </c>
      <c r="K6" s="156"/>
      <c r="L6" s="156"/>
      <c r="M6" s="169" t="s">
        <v>19</v>
      </c>
      <c r="N6" s="156"/>
      <c r="O6" s="156"/>
      <c r="P6" s="169" t="s">
        <v>19</v>
      </c>
      <c r="Q6" s="156"/>
      <c r="R6" s="156"/>
      <c r="S6" s="156"/>
      <c r="T6" s="156"/>
      <c r="U6" s="169" t="s">
        <v>19</v>
      </c>
      <c r="V6" s="156"/>
      <c r="W6" s="156"/>
      <c r="X6" s="169" t="s">
        <v>19</v>
      </c>
      <c r="Y6" s="156"/>
      <c r="Z6" s="156"/>
      <c r="AA6" s="169" t="s">
        <v>19</v>
      </c>
      <c r="AB6" s="156"/>
      <c r="AC6" s="156"/>
      <c r="AD6" s="169" t="s">
        <v>19</v>
      </c>
      <c r="AE6" s="156"/>
      <c r="AF6" s="156"/>
      <c r="AG6" s="169" t="s">
        <v>19</v>
      </c>
      <c r="AH6" s="156"/>
      <c r="AI6" s="156"/>
      <c r="AJ6" s="169" t="s">
        <v>19</v>
      </c>
      <c r="AK6" s="156"/>
      <c r="AL6" s="156"/>
      <c r="AM6" s="169" t="s">
        <v>19</v>
      </c>
      <c r="AN6" s="156"/>
      <c r="AO6" s="156"/>
      <c r="AP6" s="169" t="s">
        <v>19</v>
      </c>
      <c r="AQ6" s="156"/>
      <c r="AR6" s="156"/>
      <c r="AS6" s="169" t="s">
        <v>19</v>
      </c>
      <c r="AT6" s="156"/>
      <c r="AU6" s="156"/>
      <c r="AV6" s="169" t="s">
        <v>19</v>
      </c>
      <c r="AW6" s="156"/>
      <c r="AX6" s="156"/>
      <c r="AY6" s="169" t="s">
        <v>19</v>
      </c>
      <c r="AZ6" s="156"/>
      <c r="BA6" s="156"/>
    </row>
    <row r="7" spans="1:53" ht="14.45" customHeight="1" x14ac:dyDescent="0.25">
      <c r="A7" s="165"/>
      <c r="B7" s="165"/>
      <c r="C7" s="165"/>
      <c r="D7" s="165"/>
      <c r="E7" s="9" t="s">
        <v>20</v>
      </c>
      <c r="F7" s="165"/>
      <c r="G7" s="165"/>
      <c r="H7" s="9" t="s">
        <v>20</v>
      </c>
      <c r="I7" s="165"/>
      <c r="J7" s="165"/>
      <c r="K7" s="9" t="s">
        <v>20</v>
      </c>
      <c r="L7" s="165"/>
      <c r="M7" s="165"/>
      <c r="N7" s="9" t="s">
        <v>20</v>
      </c>
      <c r="O7" s="165"/>
      <c r="P7" s="165"/>
      <c r="Q7" s="165"/>
      <c r="R7" s="165"/>
      <c r="S7" s="9" t="s">
        <v>20</v>
      </c>
      <c r="T7" s="165"/>
      <c r="U7" s="165"/>
      <c r="V7" s="9" t="s">
        <v>20</v>
      </c>
      <c r="W7" s="165"/>
      <c r="X7" s="165"/>
      <c r="Y7" s="9" t="s">
        <v>20</v>
      </c>
      <c r="Z7" s="165"/>
      <c r="AA7" s="165"/>
      <c r="AB7" s="9" t="s">
        <v>20</v>
      </c>
      <c r="AC7" s="165"/>
      <c r="AD7" s="165"/>
      <c r="AE7" s="9" t="s">
        <v>20</v>
      </c>
      <c r="AF7" s="165"/>
      <c r="AG7" s="165"/>
      <c r="AH7" s="9" t="s">
        <v>20</v>
      </c>
      <c r="AI7" s="165"/>
      <c r="AJ7" s="165"/>
      <c r="AK7" s="9" t="s">
        <v>20</v>
      </c>
      <c r="AL7" s="165"/>
      <c r="AM7" s="165"/>
      <c r="AN7" s="9" t="s">
        <v>20</v>
      </c>
      <c r="AO7" s="165"/>
      <c r="AP7" s="165"/>
      <c r="AQ7" s="9" t="s">
        <v>20</v>
      </c>
      <c r="AR7" s="165"/>
      <c r="AS7" s="165"/>
      <c r="AT7" s="9" t="s">
        <v>20</v>
      </c>
      <c r="AU7" s="165"/>
      <c r="AV7" s="165"/>
      <c r="AW7" s="9" t="s">
        <v>20</v>
      </c>
      <c r="AX7" s="165"/>
      <c r="AY7" s="165"/>
      <c r="AZ7" s="166" t="s">
        <v>20</v>
      </c>
      <c r="BA7" s="165"/>
    </row>
    <row r="8" spans="1:53" ht="14.45" customHeight="1" x14ac:dyDescent="0.25">
      <c r="A8" s="165"/>
      <c r="B8" s="165"/>
      <c r="C8" s="165"/>
      <c r="D8" s="165"/>
      <c r="E8" s="9" t="s">
        <v>21</v>
      </c>
      <c r="F8" s="165"/>
      <c r="G8" s="165"/>
      <c r="I8" s="165"/>
      <c r="J8" s="165"/>
      <c r="K8" s="9" t="s">
        <v>21</v>
      </c>
      <c r="L8" s="165"/>
      <c r="M8" s="165"/>
      <c r="N8" s="9" t="s">
        <v>21</v>
      </c>
      <c r="O8" s="165"/>
      <c r="P8" s="165"/>
      <c r="Q8" s="165"/>
      <c r="R8" s="165"/>
      <c r="S8" s="9" t="s">
        <v>21</v>
      </c>
      <c r="T8" s="165"/>
      <c r="U8" s="165"/>
      <c r="V8" s="9" t="s">
        <v>21</v>
      </c>
      <c r="W8" s="165"/>
      <c r="X8" s="165"/>
      <c r="Z8" s="165"/>
      <c r="AA8" s="165"/>
      <c r="AC8" s="165"/>
      <c r="AD8" s="165"/>
      <c r="AF8" s="165"/>
      <c r="AG8" s="165"/>
      <c r="AI8" s="165"/>
      <c r="AJ8" s="165"/>
      <c r="AL8" s="165"/>
      <c r="AM8" s="165"/>
      <c r="AO8" s="165"/>
      <c r="AP8" s="165"/>
      <c r="AR8" s="165"/>
      <c r="AS8" s="165"/>
      <c r="AU8" s="165"/>
      <c r="AV8" s="165"/>
      <c r="AX8" s="165"/>
      <c r="AY8" s="165"/>
      <c r="AZ8" s="165"/>
      <c r="BA8" s="165"/>
    </row>
    <row r="9" spans="1:53" ht="14.45" customHeight="1" x14ac:dyDescent="0.25">
      <c r="A9" s="156"/>
      <c r="B9" s="156"/>
      <c r="C9" s="156"/>
      <c r="D9" s="156"/>
      <c r="E9" s="8" t="s">
        <v>22</v>
      </c>
      <c r="F9" s="156"/>
      <c r="G9" s="156"/>
      <c r="H9" s="8" t="s">
        <v>22</v>
      </c>
      <c r="I9" s="156"/>
      <c r="J9" s="156"/>
      <c r="K9" s="8" t="s">
        <v>22</v>
      </c>
      <c r="L9" s="156"/>
      <c r="M9" s="156"/>
      <c r="N9" s="8" t="s">
        <v>22</v>
      </c>
      <c r="O9" s="156"/>
      <c r="P9" s="156"/>
      <c r="Q9" s="156"/>
      <c r="R9" s="156"/>
      <c r="S9" s="8" t="s">
        <v>22</v>
      </c>
      <c r="T9" s="156"/>
      <c r="U9" s="156"/>
      <c r="V9" s="8" t="s">
        <v>22</v>
      </c>
      <c r="W9" s="156"/>
      <c r="X9" s="156"/>
      <c r="Y9" s="8" t="s">
        <v>22</v>
      </c>
      <c r="Z9" s="156"/>
      <c r="AA9" s="156"/>
      <c r="AB9" s="8" t="s">
        <v>22</v>
      </c>
      <c r="AC9" s="156"/>
      <c r="AD9" s="156"/>
      <c r="AE9" s="8" t="s">
        <v>22</v>
      </c>
      <c r="AF9" s="156"/>
      <c r="AG9" s="156"/>
      <c r="AH9" s="8" t="s">
        <v>22</v>
      </c>
      <c r="AI9" s="156"/>
      <c r="AJ9" s="156"/>
      <c r="AK9" s="8" t="s">
        <v>22</v>
      </c>
      <c r="AL9" s="156"/>
      <c r="AM9" s="156"/>
      <c r="AN9" s="8" t="s">
        <v>23</v>
      </c>
      <c r="AO9" s="156"/>
      <c r="AP9" s="156"/>
      <c r="AQ9" s="8" t="s">
        <v>23</v>
      </c>
      <c r="AR9" s="156"/>
      <c r="AS9" s="156"/>
      <c r="AT9" s="8" t="s">
        <v>23</v>
      </c>
      <c r="AU9" s="156"/>
      <c r="AV9" s="156"/>
      <c r="AW9" s="8" t="s">
        <v>23</v>
      </c>
      <c r="AX9" s="156"/>
      <c r="AY9" s="156"/>
      <c r="AZ9" s="157" t="s">
        <v>23</v>
      </c>
      <c r="BA9" s="156"/>
    </row>
    <row r="10" spans="1:53" ht="14.45" customHeight="1" x14ac:dyDescent="0.25">
      <c r="A10" s="164" t="s">
        <v>24</v>
      </c>
      <c r="B10" s="156"/>
      <c r="C10" s="162"/>
      <c r="D10" s="156"/>
      <c r="E10" s="156"/>
      <c r="F10" s="162"/>
      <c r="G10" s="156"/>
      <c r="H10" s="156"/>
      <c r="I10" s="162"/>
      <c r="J10" s="156"/>
      <c r="K10" s="156"/>
      <c r="L10" s="162"/>
      <c r="M10" s="156"/>
      <c r="N10" s="156"/>
      <c r="O10" s="162"/>
      <c r="P10" s="156"/>
      <c r="Q10" s="156"/>
      <c r="R10" s="156"/>
      <c r="S10" s="156"/>
      <c r="T10" s="162"/>
      <c r="U10" s="156"/>
      <c r="V10" s="156"/>
      <c r="W10" s="162"/>
      <c r="X10" s="156"/>
      <c r="Y10" s="156"/>
      <c r="Z10" s="162"/>
      <c r="AA10" s="156"/>
      <c r="AB10" s="156"/>
      <c r="AC10" s="162"/>
      <c r="AD10" s="156"/>
      <c r="AE10" s="156"/>
      <c r="AF10" s="162"/>
      <c r="AG10" s="156"/>
      <c r="AH10" s="156"/>
      <c r="AI10" s="162"/>
      <c r="AJ10" s="156"/>
      <c r="AK10" s="156"/>
      <c r="AL10" s="162"/>
      <c r="AM10" s="156"/>
      <c r="AN10" s="156"/>
      <c r="AO10" s="162"/>
      <c r="AP10" s="156"/>
      <c r="AQ10" s="156"/>
      <c r="AR10" s="162"/>
      <c r="AS10" s="156"/>
      <c r="AT10" s="156"/>
      <c r="AU10" s="162"/>
      <c r="AV10" s="156"/>
      <c r="AW10" s="156"/>
      <c r="AX10" s="162"/>
      <c r="AY10" s="156"/>
      <c r="AZ10" s="156"/>
      <c r="BA10" s="156"/>
    </row>
    <row r="11" spans="1:53" ht="14.45" customHeight="1" x14ac:dyDescent="0.25">
      <c r="A11" s="163" t="s">
        <v>119</v>
      </c>
      <c r="B11" s="156"/>
      <c r="C11" s="156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  <c r="AX11" s="156"/>
      <c r="AY11" s="156"/>
      <c r="AZ11" s="156"/>
      <c r="BA11" s="156"/>
    </row>
    <row r="12" spans="1:53" ht="14.45" customHeight="1" x14ac:dyDescent="0.25">
      <c r="A12" s="158" t="s">
        <v>120</v>
      </c>
      <c r="B12" s="156"/>
      <c r="C12" s="159">
        <v>0</v>
      </c>
      <c r="D12" s="156"/>
      <c r="E12" s="156"/>
      <c r="F12" s="159">
        <v>0</v>
      </c>
      <c r="G12" s="156"/>
      <c r="H12" s="156"/>
      <c r="I12" s="159">
        <v>0</v>
      </c>
      <c r="J12" s="156"/>
      <c r="K12" s="156"/>
      <c r="L12" s="159">
        <v>0</v>
      </c>
      <c r="M12" s="156"/>
      <c r="N12" s="156"/>
      <c r="O12" s="159">
        <v>0</v>
      </c>
      <c r="P12" s="156"/>
      <c r="Q12" s="156"/>
      <c r="R12" s="156"/>
      <c r="S12" s="156"/>
      <c r="T12" s="159">
        <v>0</v>
      </c>
      <c r="U12" s="156"/>
      <c r="V12" s="156"/>
      <c r="W12" s="159">
        <v>0</v>
      </c>
      <c r="X12" s="156"/>
      <c r="Y12" s="156"/>
      <c r="Z12" s="159">
        <v>0</v>
      </c>
      <c r="AA12" s="156"/>
      <c r="AB12" s="156"/>
      <c r="AC12" s="159">
        <v>0</v>
      </c>
      <c r="AD12" s="156"/>
      <c r="AE12" s="156"/>
      <c r="AF12" s="159">
        <v>0</v>
      </c>
      <c r="AG12" s="156"/>
      <c r="AH12" s="156"/>
      <c r="AI12" s="159">
        <v>0</v>
      </c>
      <c r="AJ12" s="156"/>
      <c r="AK12" s="156"/>
      <c r="AL12" s="157" t="s">
        <v>28</v>
      </c>
      <c r="AM12" s="156"/>
      <c r="AN12" s="156"/>
      <c r="AO12" s="157" t="s">
        <v>28</v>
      </c>
      <c r="AP12" s="156"/>
      <c r="AQ12" s="156"/>
      <c r="AR12" s="157" t="s">
        <v>28</v>
      </c>
      <c r="AS12" s="156"/>
      <c r="AT12" s="156"/>
      <c r="AU12" s="157" t="s">
        <v>28</v>
      </c>
      <c r="AV12" s="156"/>
      <c r="AW12" s="156"/>
      <c r="AX12" s="157" t="s">
        <v>28</v>
      </c>
      <c r="AY12" s="156"/>
      <c r="AZ12" s="156"/>
      <c r="BA12" s="156"/>
    </row>
    <row r="13" spans="1:53" ht="14.45" customHeight="1" x14ac:dyDescent="0.25">
      <c r="A13" s="158" t="s">
        <v>121</v>
      </c>
      <c r="B13" s="156"/>
      <c r="C13" s="159">
        <v>1233</v>
      </c>
      <c r="D13" s="156"/>
      <c r="E13" s="156"/>
      <c r="F13" s="159">
        <v>2577.67</v>
      </c>
      <c r="G13" s="156"/>
      <c r="H13" s="156"/>
      <c r="I13" s="159">
        <v>0</v>
      </c>
      <c r="J13" s="156"/>
      <c r="K13" s="156"/>
      <c r="L13" s="159">
        <v>0</v>
      </c>
      <c r="M13" s="156"/>
      <c r="N13" s="156"/>
      <c r="O13" s="159">
        <v>0</v>
      </c>
      <c r="P13" s="156"/>
      <c r="Q13" s="156"/>
      <c r="R13" s="156"/>
      <c r="S13" s="156"/>
      <c r="T13" s="159">
        <v>0</v>
      </c>
      <c r="U13" s="156"/>
      <c r="V13" s="156"/>
      <c r="W13" s="159">
        <v>0</v>
      </c>
      <c r="X13" s="156"/>
      <c r="Y13" s="156"/>
      <c r="Z13" s="159">
        <v>0</v>
      </c>
      <c r="AA13" s="156"/>
      <c r="AB13" s="156"/>
      <c r="AC13" s="159">
        <v>0</v>
      </c>
      <c r="AD13" s="156"/>
      <c r="AE13" s="156"/>
      <c r="AF13" s="159">
        <v>0</v>
      </c>
      <c r="AG13" s="156"/>
      <c r="AH13" s="156"/>
      <c r="AI13" s="159">
        <v>0</v>
      </c>
      <c r="AJ13" s="156"/>
      <c r="AK13" s="156"/>
      <c r="AL13" s="157" t="s">
        <v>28</v>
      </c>
      <c r="AM13" s="156"/>
      <c r="AN13" s="156"/>
      <c r="AO13" s="157" t="s">
        <v>28</v>
      </c>
      <c r="AP13" s="156"/>
      <c r="AQ13" s="156"/>
      <c r="AR13" s="157" t="s">
        <v>28</v>
      </c>
      <c r="AS13" s="156"/>
      <c r="AT13" s="156"/>
      <c r="AU13" s="157" t="s">
        <v>28</v>
      </c>
      <c r="AV13" s="156"/>
      <c r="AW13" s="156"/>
      <c r="AX13" s="157" t="s">
        <v>28</v>
      </c>
      <c r="AY13" s="156"/>
      <c r="AZ13" s="156"/>
      <c r="BA13" s="156"/>
    </row>
    <row r="14" spans="1:53" ht="14.45" customHeight="1" x14ac:dyDescent="0.25">
      <c r="A14" s="158" t="s">
        <v>122</v>
      </c>
      <c r="B14" s="156"/>
      <c r="C14" s="159">
        <v>0</v>
      </c>
      <c r="D14" s="156"/>
      <c r="E14" s="156"/>
      <c r="F14" s="159">
        <v>0</v>
      </c>
      <c r="G14" s="156"/>
      <c r="H14" s="156"/>
      <c r="I14" s="159">
        <v>3922.34</v>
      </c>
      <c r="J14" s="156"/>
      <c r="K14" s="156"/>
      <c r="L14" s="159">
        <v>0</v>
      </c>
      <c r="M14" s="156"/>
      <c r="N14" s="156"/>
      <c r="O14" s="159">
        <v>0</v>
      </c>
      <c r="P14" s="156"/>
      <c r="Q14" s="156"/>
      <c r="R14" s="156"/>
      <c r="S14" s="156"/>
      <c r="T14" s="159">
        <v>0</v>
      </c>
      <c r="U14" s="156"/>
      <c r="V14" s="156"/>
      <c r="W14" s="159">
        <v>0</v>
      </c>
      <c r="X14" s="156"/>
      <c r="Y14" s="156"/>
      <c r="Z14" s="159">
        <v>0</v>
      </c>
      <c r="AA14" s="156"/>
      <c r="AB14" s="156"/>
      <c r="AC14" s="159">
        <v>0</v>
      </c>
      <c r="AD14" s="156"/>
      <c r="AE14" s="156"/>
      <c r="AF14" s="159">
        <v>0</v>
      </c>
      <c r="AG14" s="156"/>
      <c r="AH14" s="156"/>
      <c r="AI14" s="159">
        <v>0</v>
      </c>
      <c r="AJ14" s="156"/>
      <c r="AK14" s="156"/>
      <c r="AL14" s="157" t="s">
        <v>28</v>
      </c>
      <c r="AM14" s="156"/>
      <c r="AN14" s="156"/>
      <c r="AO14" s="157" t="s">
        <v>28</v>
      </c>
      <c r="AP14" s="156"/>
      <c r="AQ14" s="156"/>
      <c r="AR14" s="157" t="s">
        <v>28</v>
      </c>
      <c r="AS14" s="156"/>
      <c r="AT14" s="156"/>
      <c r="AU14" s="157" t="s">
        <v>28</v>
      </c>
      <c r="AV14" s="156"/>
      <c r="AW14" s="156"/>
      <c r="AX14" s="157" t="s">
        <v>28</v>
      </c>
      <c r="AY14" s="156"/>
      <c r="AZ14" s="156"/>
      <c r="BA14" s="156"/>
    </row>
    <row r="15" spans="1:53" ht="14.45" customHeight="1" x14ac:dyDescent="0.25">
      <c r="A15" s="158" t="s">
        <v>123</v>
      </c>
      <c r="B15" s="156"/>
      <c r="C15" s="159">
        <v>0</v>
      </c>
      <c r="D15" s="156"/>
      <c r="E15" s="156"/>
      <c r="F15" s="159">
        <v>0</v>
      </c>
      <c r="G15" s="156"/>
      <c r="H15" s="156"/>
      <c r="I15" s="159">
        <v>0</v>
      </c>
      <c r="J15" s="156"/>
      <c r="K15" s="156"/>
      <c r="L15" s="159">
        <v>0</v>
      </c>
      <c r="M15" s="156"/>
      <c r="N15" s="156"/>
      <c r="O15" s="159">
        <v>0</v>
      </c>
      <c r="P15" s="156"/>
      <c r="Q15" s="156"/>
      <c r="R15" s="156"/>
      <c r="S15" s="156"/>
      <c r="T15" s="159">
        <v>0</v>
      </c>
      <c r="U15" s="156"/>
      <c r="V15" s="156"/>
      <c r="W15" s="159">
        <v>0</v>
      </c>
      <c r="X15" s="156"/>
      <c r="Y15" s="156"/>
      <c r="Z15" s="159">
        <v>0</v>
      </c>
      <c r="AA15" s="156"/>
      <c r="AB15" s="156"/>
      <c r="AC15" s="159">
        <v>0</v>
      </c>
      <c r="AD15" s="156"/>
      <c r="AE15" s="156"/>
      <c r="AF15" s="159">
        <v>0</v>
      </c>
      <c r="AG15" s="156"/>
      <c r="AH15" s="156"/>
      <c r="AI15" s="159">
        <v>0</v>
      </c>
      <c r="AJ15" s="156"/>
      <c r="AK15" s="156"/>
      <c r="AL15" s="157" t="s">
        <v>28</v>
      </c>
      <c r="AM15" s="156"/>
      <c r="AN15" s="156"/>
      <c r="AO15" s="157" t="s">
        <v>28</v>
      </c>
      <c r="AP15" s="156"/>
      <c r="AQ15" s="156"/>
      <c r="AR15" s="157" t="s">
        <v>28</v>
      </c>
      <c r="AS15" s="156"/>
      <c r="AT15" s="156"/>
      <c r="AU15" s="157" t="s">
        <v>28</v>
      </c>
      <c r="AV15" s="156"/>
      <c r="AW15" s="156"/>
      <c r="AX15" s="157" t="s">
        <v>28</v>
      </c>
      <c r="AY15" s="156"/>
      <c r="AZ15" s="156"/>
      <c r="BA15" s="156"/>
    </row>
    <row r="16" spans="1:53" ht="14.45" customHeight="1" x14ac:dyDescent="0.25">
      <c r="A16" s="158" t="s">
        <v>124</v>
      </c>
      <c r="B16" s="156"/>
      <c r="C16" s="159">
        <v>1456.73</v>
      </c>
      <c r="D16" s="156"/>
      <c r="E16" s="156"/>
      <c r="F16" s="159">
        <v>112.06</v>
      </c>
      <c r="G16" s="156"/>
      <c r="H16" s="156"/>
      <c r="I16" s="159">
        <v>0</v>
      </c>
      <c r="J16" s="156"/>
      <c r="K16" s="156"/>
      <c r="L16" s="159">
        <v>0</v>
      </c>
      <c r="M16" s="156"/>
      <c r="N16" s="156"/>
      <c r="O16" s="159">
        <v>0</v>
      </c>
      <c r="P16" s="156"/>
      <c r="Q16" s="156"/>
      <c r="R16" s="156"/>
      <c r="S16" s="156"/>
      <c r="T16" s="159">
        <v>0</v>
      </c>
      <c r="U16" s="156"/>
      <c r="V16" s="156"/>
      <c r="W16" s="159">
        <v>0</v>
      </c>
      <c r="X16" s="156"/>
      <c r="Y16" s="156"/>
      <c r="Z16" s="159">
        <v>0</v>
      </c>
      <c r="AA16" s="156"/>
      <c r="AB16" s="156"/>
      <c r="AC16" s="159">
        <v>0</v>
      </c>
      <c r="AD16" s="156"/>
      <c r="AE16" s="156"/>
      <c r="AF16" s="159">
        <v>0</v>
      </c>
      <c r="AG16" s="156"/>
      <c r="AH16" s="156"/>
      <c r="AI16" s="159">
        <v>0</v>
      </c>
      <c r="AJ16" s="156"/>
      <c r="AK16" s="156"/>
      <c r="AL16" s="157" t="s">
        <v>28</v>
      </c>
      <c r="AM16" s="156"/>
      <c r="AN16" s="156"/>
      <c r="AO16" s="157" t="s">
        <v>28</v>
      </c>
      <c r="AP16" s="156"/>
      <c r="AQ16" s="156"/>
      <c r="AR16" s="157" t="s">
        <v>28</v>
      </c>
      <c r="AS16" s="156"/>
      <c r="AT16" s="156"/>
      <c r="AU16" s="157" t="s">
        <v>28</v>
      </c>
      <c r="AV16" s="156"/>
      <c r="AW16" s="156"/>
      <c r="AX16" s="157" t="s">
        <v>28</v>
      </c>
      <c r="AY16" s="156"/>
      <c r="AZ16" s="156"/>
      <c r="BA16" s="156"/>
    </row>
    <row r="17" spans="1:53" ht="27.6" customHeight="1" x14ac:dyDescent="0.25">
      <c r="A17" s="158" t="s">
        <v>125</v>
      </c>
      <c r="B17" s="156"/>
      <c r="C17" s="159">
        <v>0</v>
      </c>
      <c r="D17" s="156"/>
      <c r="E17" s="156"/>
      <c r="F17" s="159">
        <v>0</v>
      </c>
      <c r="G17" s="156"/>
      <c r="H17" s="156"/>
      <c r="I17" s="159">
        <v>0</v>
      </c>
      <c r="J17" s="156"/>
      <c r="K17" s="156"/>
      <c r="L17" s="159">
        <v>0</v>
      </c>
      <c r="M17" s="156"/>
      <c r="N17" s="156"/>
      <c r="O17" s="159">
        <v>0</v>
      </c>
      <c r="P17" s="156"/>
      <c r="Q17" s="156"/>
      <c r="R17" s="156"/>
      <c r="S17" s="156"/>
      <c r="T17" s="159">
        <v>0</v>
      </c>
      <c r="U17" s="156"/>
      <c r="V17" s="156"/>
      <c r="W17" s="159">
        <v>0</v>
      </c>
      <c r="X17" s="156"/>
      <c r="Y17" s="156"/>
      <c r="Z17" s="159">
        <v>0</v>
      </c>
      <c r="AA17" s="156"/>
      <c r="AB17" s="156"/>
      <c r="AC17" s="159">
        <v>0</v>
      </c>
      <c r="AD17" s="156"/>
      <c r="AE17" s="156"/>
      <c r="AF17" s="159">
        <v>0</v>
      </c>
      <c r="AG17" s="156"/>
      <c r="AH17" s="156"/>
      <c r="AI17" s="159">
        <v>0</v>
      </c>
      <c r="AJ17" s="156"/>
      <c r="AK17" s="156"/>
      <c r="AL17" s="157" t="s">
        <v>28</v>
      </c>
      <c r="AM17" s="156"/>
      <c r="AN17" s="156"/>
      <c r="AO17" s="157" t="s">
        <v>28</v>
      </c>
      <c r="AP17" s="156"/>
      <c r="AQ17" s="156"/>
      <c r="AR17" s="157" t="s">
        <v>28</v>
      </c>
      <c r="AS17" s="156"/>
      <c r="AT17" s="156"/>
      <c r="AU17" s="157" t="s">
        <v>28</v>
      </c>
      <c r="AV17" s="156"/>
      <c r="AW17" s="156"/>
      <c r="AX17" s="157" t="s">
        <v>28</v>
      </c>
      <c r="AY17" s="156"/>
      <c r="AZ17" s="156"/>
      <c r="BA17" s="156"/>
    </row>
    <row r="18" spans="1:53" ht="14.45" customHeight="1" x14ac:dyDescent="0.25">
      <c r="A18" s="158" t="s">
        <v>126</v>
      </c>
      <c r="B18" s="156"/>
      <c r="C18" s="159">
        <v>0</v>
      </c>
      <c r="D18" s="156"/>
      <c r="E18" s="156"/>
      <c r="F18" s="159">
        <v>0</v>
      </c>
      <c r="G18" s="156"/>
      <c r="H18" s="156"/>
      <c r="I18" s="159">
        <v>0</v>
      </c>
      <c r="J18" s="156"/>
      <c r="K18" s="156"/>
      <c r="L18" s="159">
        <v>0</v>
      </c>
      <c r="M18" s="156"/>
      <c r="N18" s="156"/>
      <c r="O18" s="159">
        <v>0</v>
      </c>
      <c r="P18" s="156"/>
      <c r="Q18" s="156"/>
      <c r="R18" s="156"/>
      <c r="S18" s="156"/>
      <c r="T18" s="159">
        <v>0</v>
      </c>
      <c r="U18" s="156"/>
      <c r="V18" s="156"/>
      <c r="W18" s="159">
        <v>0</v>
      </c>
      <c r="X18" s="156"/>
      <c r="Y18" s="156"/>
      <c r="Z18" s="159">
        <v>0</v>
      </c>
      <c r="AA18" s="156"/>
      <c r="AB18" s="156"/>
      <c r="AC18" s="159">
        <v>0</v>
      </c>
      <c r="AD18" s="156"/>
      <c r="AE18" s="156"/>
      <c r="AF18" s="159">
        <v>0</v>
      </c>
      <c r="AG18" s="156"/>
      <c r="AH18" s="156"/>
      <c r="AI18" s="159">
        <v>0</v>
      </c>
      <c r="AJ18" s="156"/>
      <c r="AK18" s="156"/>
      <c r="AL18" s="157" t="s">
        <v>28</v>
      </c>
      <c r="AM18" s="156"/>
      <c r="AN18" s="156"/>
      <c r="AO18" s="157" t="s">
        <v>28</v>
      </c>
      <c r="AP18" s="156"/>
      <c r="AQ18" s="156"/>
      <c r="AR18" s="157" t="s">
        <v>28</v>
      </c>
      <c r="AS18" s="156"/>
      <c r="AT18" s="156"/>
      <c r="AU18" s="157" t="s">
        <v>28</v>
      </c>
      <c r="AV18" s="156"/>
      <c r="AW18" s="156"/>
      <c r="AX18" s="157" t="s">
        <v>28</v>
      </c>
      <c r="AY18" s="156"/>
      <c r="AZ18" s="156"/>
      <c r="BA18" s="156"/>
    </row>
    <row r="19" spans="1:53" ht="14.45" customHeight="1" x14ac:dyDescent="0.25">
      <c r="A19" s="156"/>
      <c r="B19" s="156"/>
      <c r="C19" s="156"/>
      <c r="D19" s="156"/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156"/>
      <c r="AQ19" s="156"/>
      <c r="AR19" s="156"/>
      <c r="AS19" s="156"/>
      <c r="AT19" s="156"/>
      <c r="AU19" s="156"/>
      <c r="AV19" s="156"/>
      <c r="AW19" s="156"/>
      <c r="AX19" s="156"/>
      <c r="AY19" s="156"/>
      <c r="AZ19" s="156"/>
      <c r="BA19" s="156"/>
    </row>
    <row r="20" spans="1:53" ht="14.45" customHeight="1" x14ac:dyDescent="0.25">
      <c r="A20" s="163" t="s">
        <v>27</v>
      </c>
      <c r="B20" s="156"/>
      <c r="C20" s="156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56"/>
      <c r="AQ20" s="156"/>
      <c r="AR20" s="156"/>
      <c r="AS20" s="156"/>
      <c r="AT20" s="156"/>
      <c r="AU20" s="156"/>
      <c r="AV20" s="156"/>
      <c r="AW20" s="156"/>
      <c r="AX20" s="156"/>
      <c r="AY20" s="156"/>
      <c r="AZ20" s="156"/>
      <c r="BA20" s="156"/>
    </row>
    <row r="21" spans="1:53" ht="14.45" customHeight="1" x14ac:dyDescent="0.25">
      <c r="A21" s="158" t="s">
        <v>127</v>
      </c>
      <c r="B21" s="156"/>
      <c r="C21" s="159">
        <v>101520.37</v>
      </c>
      <c r="D21" s="156"/>
      <c r="E21" s="156"/>
      <c r="F21" s="159">
        <v>101520.37</v>
      </c>
      <c r="G21" s="156"/>
      <c r="H21" s="156"/>
      <c r="I21" s="159">
        <v>101520.37</v>
      </c>
      <c r="J21" s="156"/>
      <c r="K21" s="156"/>
      <c r="L21" s="159">
        <v>101520.37</v>
      </c>
      <c r="M21" s="156"/>
      <c r="N21" s="156"/>
      <c r="O21" s="159">
        <v>101520.37</v>
      </c>
      <c r="P21" s="156"/>
      <c r="Q21" s="156"/>
      <c r="R21" s="156"/>
      <c r="S21" s="156"/>
      <c r="T21" s="159">
        <v>101520.37</v>
      </c>
      <c r="U21" s="156"/>
      <c r="V21" s="156"/>
      <c r="W21" s="159">
        <v>101520.37</v>
      </c>
      <c r="X21" s="156"/>
      <c r="Y21" s="156"/>
      <c r="Z21" s="159">
        <v>101520.37</v>
      </c>
      <c r="AA21" s="156"/>
      <c r="AB21" s="156"/>
      <c r="AC21" s="159">
        <v>101520.37</v>
      </c>
      <c r="AD21" s="156"/>
      <c r="AE21" s="156"/>
      <c r="AF21" s="159">
        <v>101520.37</v>
      </c>
      <c r="AG21" s="156"/>
      <c r="AH21" s="156"/>
      <c r="AI21" s="159">
        <v>101520.37</v>
      </c>
      <c r="AJ21" s="156"/>
      <c r="AK21" s="156"/>
      <c r="AL21" s="157" t="s">
        <v>28</v>
      </c>
      <c r="AM21" s="156"/>
      <c r="AN21" s="156"/>
      <c r="AO21" s="157" t="s">
        <v>28</v>
      </c>
      <c r="AP21" s="156"/>
      <c r="AQ21" s="156"/>
      <c r="AR21" s="157" t="s">
        <v>28</v>
      </c>
      <c r="AS21" s="156"/>
      <c r="AT21" s="156"/>
      <c r="AU21" s="157" t="s">
        <v>28</v>
      </c>
      <c r="AV21" s="156"/>
      <c r="AW21" s="156"/>
      <c r="AX21" s="157" t="s">
        <v>28</v>
      </c>
      <c r="AY21" s="156"/>
      <c r="AZ21" s="156"/>
      <c r="BA21" s="156"/>
    </row>
    <row r="22" spans="1:53" ht="14.45" customHeight="1" x14ac:dyDescent="0.25">
      <c r="A22" s="158" t="s">
        <v>128</v>
      </c>
      <c r="B22" s="156"/>
      <c r="C22" s="159">
        <v>584890.39</v>
      </c>
      <c r="D22" s="156"/>
      <c r="E22" s="156"/>
      <c r="F22" s="159">
        <v>371869.47</v>
      </c>
      <c r="G22" s="156"/>
      <c r="H22" s="156"/>
      <c r="I22" s="159">
        <v>291220.90000000002</v>
      </c>
      <c r="J22" s="156"/>
      <c r="K22" s="156"/>
      <c r="L22" s="159">
        <v>207959.52</v>
      </c>
      <c r="M22" s="156"/>
      <c r="N22" s="156"/>
      <c r="O22" s="159">
        <v>216517.56</v>
      </c>
      <c r="P22" s="156"/>
      <c r="Q22" s="156"/>
      <c r="R22" s="156"/>
      <c r="S22" s="156"/>
      <c r="T22" s="159">
        <v>150238.32</v>
      </c>
      <c r="U22" s="156"/>
      <c r="V22" s="156"/>
      <c r="W22" s="159">
        <v>146879.79999999999</v>
      </c>
      <c r="X22" s="156"/>
      <c r="Y22" s="156"/>
      <c r="Z22" s="159">
        <v>153084.01999999999</v>
      </c>
      <c r="AA22" s="156"/>
      <c r="AB22" s="156"/>
      <c r="AC22" s="159">
        <v>159288.24</v>
      </c>
      <c r="AD22" s="156"/>
      <c r="AE22" s="156"/>
      <c r="AF22" s="159">
        <v>165492.46</v>
      </c>
      <c r="AG22" s="156"/>
      <c r="AH22" s="156"/>
      <c r="AI22" s="159">
        <v>171696.69</v>
      </c>
      <c r="AJ22" s="156"/>
      <c r="AK22" s="156"/>
      <c r="AL22" s="157" t="s">
        <v>28</v>
      </c>
      <c r="AM22" s="156"/>
      <c r="AN22" s="156"/>
      <c r="AO22" s="157" t="s">
        <v>28</v>
      </c>
      <c r="AP22" s="156"/>
      <c r="AQ22" s="156"/>
      <c r="AR22" s="157" t="s">
        <v>28</v>
      </c>
      <c r="AS22" s="156"/>
      <c r="AT22" s="156"/>
      <c r="AU22" s="157" t="s">
        <v>28</v>
      </c>
      <c r="AV22" s="156"/>
      <c r="AW22" s="156"/>
      <c r="AX22" s="157" t="s">
        <v>28</v>
      </c>
      <c r="AY22" s="156"/>
      <c r="AZ22" s="156"/>
      <c r="BA22" s="156"/>
    </row>
    <row r="23" spans="1:53" ht="14.45" customHeight="1" x14ac:dyDescent="0.25">
      <c r="A23" s="158" t="s">
        <v>129</v>
      </c>
      <c r="B23" s="156"/>
      <c r="C23" s="159">
        <v>36169.33</v>
      </c>
      <c r="D23" s="156"/>
      <c r="E23" s="156"/>
      <c r="F23" s="159">
        <v>38844.31</v>
      </c>
      <c r="G23" s="156"/>
      <c r="H23" s="156"/>
      <c r="I23" s="159">
        <v>33104.559000000001</v>
      </c>
      <c r="J23" s="156"/>
      <c r="K23" s="156"/>
      <c r="L23" s="159">
        <v>27546.38</v>
      </c>
      <c r="M23" s="156"/>
      <c r="N23" s="156"/>
      <c r="O23" s="159">
        <v>25836.58</v>
      </c>
      <c r="P23" s="156"/>
      <c r="Q23" s="156"/>
      <c r="R23" s="156"/>
      <c r="S23" s="156"/>
      <c r="T23" s="159">
        <v>25510.43</v>
      </c>
      <c r="U23" s="156"/>
      <c r="V23" s="156"/>
      <c r="W23" s="159">
        <v>13511.67</v>
      </c>
      <c r="X23" s="156"/>
      <c r="Y23" s="156"/>
      <c r="Z23" s="159">
        <v>14042.19</v>
      </c>
      <c r="AA23" s="156"/>
      <c r="AB23" s="156"/>
      <c r="AC23" s="159">
        <v>51449.05</v>
      </c>
      <c r="AD23" s="156"/>
      <c r="AE23" s="156"/>
      <c r="AF23" s="159">
        <v>47174.37</v>
      </c>
      <c r="AG23" s="156"/>
      <c r="AH23" s="156"/>
      <c r="AI23" s="159">
        <v>50377.19</v>
      </c>
      <c r="AJ23" s="156"/>
      <c r="AK23" s="156"/>
      <c r="AL23" s="157" t="s">
        <v>28</v>
      </c>
      <c r="AM23" s="156"/>
      <c r="AN23" s="156"/>
      <c r="AO23" s="157" t="s">
        <v>28</v>
      </c>
      <c r="AP23" s="156"/>
      <c r="AQ23" s="156"/>
      <c r="AR23" s="157" t="s">
        <v>28</v>
      </c>
      <c r="AS23" s="156"/>
      <c r="AT23" s="156"/>
      <c r="AU23" s="157" t="s">
        <v>28</v>
      </c>
      <c r="AV23" s="156"/>
      <c r="AW23" s="156"/>
      <c r="AX23" s="157" t="s">
        <v>28</v>
      </c>
      <c r="AY23" s="156"/>
      <c r="AZ23" s="156"/>
      <c r="BA23" s="156"/>
    </row>
    <row r="24" spans="1:53" ht="14.45" customHeight="1" x14ac:dyDescent="0.25">
      <c r="A24" s="158" t="s">
        <v>130</v>
      </c>
      <c r="B24" s="156"/>
      <c r="C24" s="159">
        <v>57642.25</v>
      </c>
      <c r="D24" s="156"/>
      <c r="E24" s="156"/>
      <c r="F24" s="159">
        <v>63928.77</v>
      </c>
      <c r="G24" s="156"/>
      <c r="H24" s="156"/>
      <c r="I24" s="159">
        <v>72862.039999999994</v>
      </c>
      <c r="J24" s="156"/>
      <c r="K24" s="156"/>
      <c r="L24" s="159">
        <v>125089.03</v>
      </c>
      <c r="M24" s="156"/>
      <c r="N24" s="156"/>
      <c r="O24" s="159">
        <v>72499.520000000004</v>
      </c>
      <c r="P24" s="156"/>
      <c r="Q24" s="156"/>
      <c r="R24" s="156"/>
      <c r="S24" s="156"/>
      <c r="T24" s="159">
        <v>68575.399999999994</v>
      </c>
      <c r="U24" s="156"/>
      <c r="V24" s="156"/>
      <c r="W24" s="159">
        <v>26036.400000000001</v>
      </c>
      <c r="X24" s="156"/>
      <c r="Y24" s="156"/>
      <c r="Z24" s="159">
        <v>13707.48</v>
      </c>
      <c r="AA24" s="156"/>
      <c r="AB24" s="156"/>
      <c r="AC24" s="159">
        <v>24351.48</v>
      </c>
      <c r="AD24" s="156"/>
      <c r="AE24" s="156"/>
      <c r="AF24" s="159">
        <v>18514.53</v>
      </c>
      <c r="AG24" s="156"/>
      <c r="AH24" s="156"/>
      <c r="AI24" s="159">
        <v>25104.9</v>
      </c>
      <c r="AJ24" s="156"/>
      <c r="AK24" s="156"/>
      <c r="AL24" s="157" t="s">
        <v>28</v>
      </c>
      <c r="AM24" s="156"/>
      <c r="AN24" s="156"/>
      <c r="AO24" s="157" t="s">
        <v>28</v>
      </c>
      <c r="AP24" s="156"/>
      <c r="AQ24" s="156"/>
      <c r="AR24" s="157" t="s">
        <v>28</v>
      </c>
      <c r="AS24" s="156"/>
      <c r="AT24" s="156"/>
      <c r="AU24" s="157" t="s">
        <v>28</v>
      </c>
      <c r="AV24" s="156"/>
      <c r="AW24" s="156"/>
      <c r="AX24" s="157" t="s">
        <v>28</v>
      </c>
      <c r="AY24" s="156"/>
      <c r="AZ24" s="156"/>
      <c r="BA24" s="156"/>
    </row>
    <row r="25" spans="1:53" ht="14.45" customHeight="1" x14ac:dyDescent="0.25">
      <c r="A25" s="158" t="s">
        <v>131</v>
      </c>
      <c r="B25" s="156"/>
      <c r="C25" s="159">
        <v>4999.96</v>
      </c>
      <c r="D25" s="156"/>
      <c r="E25" s="156"/>
      <c r="F25" s="159">
        <v>5200</v>
      </c>
      <c r="G25" s="156"/>
      <c r="H25" s="156"/>
      <c r="I25" s="159">
        <v>9926.42</v>
      </c>
      <c r="J25" s="156"/>
      <c r="K25" s="156"/>
      <c r="L25" s="159">
        <v>16654.61</v>
      </c>
      <c r="M25" s="156"/>
      <c r="N25" s="156"/>
      <c r="O25" s="159">
        <v>18583.259999999998</v>
      </c>
      <c r="P25" s="156"/>
      <c r="Q25" s="156"/>
      <c r="R25" s="156"/>
      <c r="S25" s="156"/>
      <c r="T25" s="159">
        <v>25049.08</v>
      </c>
      <c r="U25" s="156"/>
      <c r="V25" s="156"/>
      <c r="W25" s="159">
        <v>27787.1</v>
      </c>
      <c r="X25" s="156"/>
      <c r="Y25" s="156"/>
      <c r="Z25" s="159">
        <v>44331.19</v>
      </c>
      <c r="AA25" s="156"/>
      <c r="AB25" s="156"/>
      <c r="AC25" s="159">
        <v>18284.27</v>
      </c>
      <c r="AD25" s="156"/>
      <c r="AE25" s="156"/>
      <c r="AF25" s="159">
        <v>43439.88</v>
      </c>
      <c r="AG25" s="156"/>
      <c r="AH25" s="156"/>
      <c r="AI25" s="159">
        <v>45308.29</v>
      </c>
      <c r="AJ25" s="156"/>
      <c r="AK25" s="156"/>
      <c r="AL25" s="157" t="s">
        <v>28</v>
      </c>
      <c r="AM25" s="156"/>
      <c r="AN25" s="156"/>
      <c r="AO25" s="157" t="s">
        <v>28</v>
      </c>
      <c r="AP25" s="156"/>
      <c r="AQ25" s="156"/>
      <c r="AR25" s="157" t="s">
        <v>28</v>
      </c>
      <c r="AS25" s="156"/>
      <c r="AT25" s="156"/>
      <c r="AU25" s="157" t="s">
        <v>28</v>
      </c>
      <c r="AV25" s="156"/>
      <c r="AW25" s="156"/>
      <c r="AX25" s="157" t="s">
        <v>28</v>
      </c>
      <c r="AY25" s="156"/>
      <c r="AZ25" s="156"/>
      <c r="BA25" s="156"/>
    </row>
    <row r="26" spans="1:53" ht="14.45" customHeight="1" x14ac:dyDescent="0.25">
      <c r="A26" s="158" t="s">
        <v>132</v>
      </c>
      <c r="B26" s="156"/>
      <c r="C26" s="159">
        <v>0</v>
      </c>
      <c r="D26" s="156"/>
      <c r="E26" s="156"/>
      <c r="F26" s="159">
        <v>0</v>
      </c>
      <c r="G26" s="156"/>
      <c r="H26" s="156"/>
      <c r="I26" s="159">
        <v>0</v>
      </c>
      <c r="J26" s="156"/>
      <c r="K26" s="156"/>
      <c r="L26" s="159">
        <v>0</v>
      </c>
      <c r="M26" s="156"/>
      <c r="N26" s="156"/>
      <c r="O26" s="159">
        <v>0</v>
      </c>
      <c r="P26" s="156"/>
      <c r="Q26" s="156"/>
      <c r="R26" s="156"/>
      <c r="S26" s="156"/>
      <c r="T26" s="159">
        <v>0</v>
      </c>
      <c r="U26" s="156"/>
      <c r="V26" s="156"/>
      <c r="W26" s="159">
        <v>0</v>
      </c>
      <c r="X26" s="156"/>
      <c r="Y26" s="156"/>
      <c r="Z26" s="159">
        <v>0</v>
      </c>
      <c r="AA26" s="156"/>
      <c r="AB26" s="156"/>
      <c r="AC26" s="159">
        <v>0</v>
      </c>
      <c r="AD26" s="156"/>
      <c r="AE26" s="156"/>
      <c r="AF26" s="159">
        <v>0</v>
      </c>
      <c r="AG26" s="156"/>
      <c r="AH26" s="156"/>
      <c r="AI26" s="159">
        <v>0</v>
      </c>
      <c r="AJ26" s="156"/>
      <c r="AK26" s="156"/>
      <c r="AL26" s="157" t="s">
        <v>28</v>
      </c>
      <c r="AM26" s="156"/>
      <c r="AN26" s="156"/>
      <c r="AO26" s="157" t="s">
        <v>28</v>
      </c>
      <c r="AP26" s="156"/>
      <c r="AQ26" s="156"/>
      <c r="AR26" s="157" t="s">
        <v>28</v>
      </c>
      <c r="AS26" s="156"/>
      <c r="AT26" s="156"/>
      <c r="AU26" s="157" t="s">
        <v>28</v>
      </c>
      <c r="AV26" s="156"/>
      <c r="AW26" s="156"/>
      <c r="AX26" s="157" t="s">
        <v>28</v>
      </c>
      <c r="AY26" s="156"/>
      <c r="AZ26" s="156"/>
      <c r="BA26" s="156"/>
    </row>
    <row r="27" spans="1:53" ht="14.45" customHeight="1" x14ac:dyDescent="0.25">
      <c r="A27" s="158" t="s">
        <v>133</v>
      </c>
      <c r="B27" s="156"/>
      <c r="C27" s="159">
        <v>57970.15</v>
      </c>
      <c r="D27" s="156"/>
      <c r="E27" s="156"/>
      <c r="F27" s="159">
        <v>51675</v>
      </c>
      <c r="G27" s="156"/>
      <c r="H27" s="156"/>
      <c r="I27" s="159">
        <v>39188.800000000003</v>
      </c>
      <c r="J27" s="156"/>
      <c r="K27" s="156"/>
      <c r="L27" s="159">
        <v>43868.53</v>
      </c>
      <c r="M27" s="156"/>
      <c r="N27" s="156"/>
      <c r="O27" s="159">
        <v>51659.59</v>
      </c>
      <c r="P27" s="156"/>
      <c r="Q27" s="156"/>
      <c r="R27" s="156"/>
      <c r="S27" s="156"/>
      <c r="T27" s="159">
        <v>59450.65</v>
      </c>
      <c r="U27" s="156"/>
      <c r="V27" s="156"/>
      <c r="W27" s="159">
        <v>6844.62</v>
      </c>
      <c r="X27" s="156"/>
      <c r="Y27" s="156"/>
      <c r="Z27" s="159">
        <v>0</v>
      </c>
      <c r="AA27" s="156"/>
      <c r="AB27" s="156"/>
      <c r="AC27" s="159">
        <v>0</v>
      </c>
      <c r="AD27" s="156"/>
      <c r="AE27" s="156"/>
      <c r="AF27" s="159">
        <v>0</v>
      </c>
      <c r="AG27" s="156"/>
      <c r="AH27" s="156"/>
      <c r="AI27" s="159">
        <v>0</v>
      </c>
      <c r="AJ27" s="156"/>
      <c r="AK27" s="156"/>
      <c r="AL27" s="157" t="s">
        <v>28</v>
      </c>
      <c r="AM27" s="156"/>
      <c r="AN27" s="156"/>
      <c r="AO27" s="157" t="s">
        <v>28</v>
      </c>
      <c r="AP27" s="156"/>
      <c r="AQ27" s="156"/>
      <c r="AR27" s="157" t="s">
        <v>28</v>
      </c>
      <c r="AS27" s="156"/>
      <c r="AT27" s="156"/>
      <c r="AU27" s="157" t="s">
        <v>28</v>
      </c>
      <c r="AV27" s="156"/>
      <c r="AW27" s="156"/>
      <c r="AX27" s="157" t="s">
        <v>28</v>
      </c>
      <c r="AY27" s="156"/>
      <c r="AZ27" s="156"/>
      <c r="BA27" s="156"/>
    </row>
    <row r="28" spans="1:53" ht="14.45" customHeight="1" x14ac:dyDescent="0.25">
      <c r="A28" s="158" t="s">
        <v>134</v>
      </c>
      <c r="B28" s="156"/>
      <c r="C28" s="159">
        <v>1871945.37</v>
      </c>
      <c r="D28" s="156"/>
      <c r="E28" s="156"/>
      <c r="F28" s="159">
        <v>1770973.01</v>
      </c>
      <c r="G28" s="156"/>
      <c r="H28" s="156"/>
      <c r="I28" s="159">
        <v>1735472.49</v>
      </c>
      <c r="J28" s="156"/>
      <c r="K28" s="156"/>
      <c r="L28" s="159">
        <v>1645924.68</v>
      </c>
      <c r="M28" s="156"/>
      <c r="N28" s="156"/>
      <c r="O28" s="159">
        <v>1564860.15</v>
      </c>
      <c r="P28" s="156"/>
      <c r="Q28" s="156"/>
      <c r="R28" s="156"/>
      <c r="S28" s="156"/>
      <c r="T28" s="159">
        <v>1566071.95</v>
      </c>
      <c r="U28" s="156"/>
      <c r="V28" s="156"/>
      <c r="W28" s="159">
        <v>1522570.19</v>
      </c>
      <c r="X28" s="156"/>
      <c r="Y28" s="156"/>
      <c r="Z28" s="159">
        <v>1481914.99</v>
      </c>
      <c r="AA28" s="156"/>
      <c r="AB28" s="156"/>
      <c r="AC28" s="159">
        <v>1438359.48</v>
      </c>
      <c r="AD28" s="156"/>
      <c r="AE28" s="156"/>
      <c r="AF28" s="159">
        <v>1392611.16</v>
      </c>
      <c r="AG28" s="156"/>
      <c r="AH28" s="156"/>
      <c r="AI28" s="159">
        <v>1374298.84</v>
      </c>
      <c r="AJ28" s="156"/>
      <c r="AK28" s="156"/>
      <c r="AL28" s="157" t="s">
        <v>28</v>
      </c>
      <c r="AM28" s="156"/>
      <c r="AN28" s="156"/>
      <c r="AO28" s="157" t="s">
        <v>28</v>
      </c>
      <c r="AP28" s="156"/>
      <c r="AQ28" s="156"/>
      <c r="AR28" s="157" t="s">
        <v>28</v>
      </c>
      <c r="AS28" s="156"/>
      <c r="AT28" s="156"/>
      <c r="AU28" s="157" t="s">
        <v>28</v>
      </c>
      <c r="AV28" s="156"/>
      <c r="AW28" s="156"/>
      <c r="AX28" s="157" t="s">
        <v>28</v>
      </c>
      <c r="AY28" s="156"/>
      <c r="AZ28" s="156"/>
      <c r="BA28" s="156"/>
    </row>
    <row r="29" spans="1:53" ht="27.6" customHeight="1" x14ac:dyDescent="0.25">
      <c r="A29" s="158" t="s">
        <v>135</v>
      </c>
      <c r="B29" s="156"/>
      <c r="C29" s="159">
        <v>0</v>
      </c>
      <c r="D29" s="156"/>
      <c r="E29" s="156"/>
      <c r="F29" s="159">
        <v>0</v>
      </c>
      <c r="G29" s="156"/>
      <c r="H29" s="156"/>
      <c r="I29" s="159">
        <v>0</v>
      </c>
      <c r="J29" s="156"/>
      <c r="K29" s="156"/>
      <c r="L29" s="159">
        <v>0</v>
      </c>
      <c r="M29" s="156"/>
      <c r="N29" s="156"/>
      <c r="O29" s="159">
        <v>0</v>
      </c>
      <c r="P29" s="156"/>
      <c r="Q29" s="156"/>
      <c r="R29" s="156"/>
      <c r="S29" s="156"/>
      <c r="T29" s="159">
        <v>0</v>
      </c>
      <c r="U29" s="156"/>
      <c r="V29" s="156"/>
      <c r="W29" s="159">
        <v>0</v>
      </c>
      <c r="X29" s="156"/>
      <c r="Y29" s="156"/>
      <c r="Z29" s="159">
        <v>0</v>
      </c>
      <c r="AA29" s="156"/>
      <c r="AB29" s="156"/>
      <c r="AC29" s="159">
        <v>0</v>
      </c>
      <c r="AD29" s="156"/>
      <c r="AE29" s="156"/>
      <c r="AF29" s="159">
        <v>0</v>
      </c>
      <c r="AG29" s="156"/>
      <c r="AH29" s="156"/>
      <c r="AI29" s="159">
        <v>0</v>
      </c>
      <c r="AJ29" s="156"/>
      <c r="AK29" s="156"/>
      <c r="AL29" s="157" t="s">
        <v>28</v>
      </c>
      <c r="AM29" s="156"/>
      <c r="AN29" s="156"/>
      <c r="AO29" s="157" t="s">
        <v>28</v>
      </c>
      <c r="AP29" s="156"/>
      <c r="AQ29" s="156"/>
      <c r="AR29" s="157" t="s">
        <v>28</v>
      </c>
      <c r="AS29" s="156"/>
      <c r="AT29" s="156"/>
      <c r="AU29" s="157" t="s">
        <v>28</v>
      </c>
      <c r="AV29" s="156"/>
      <c r="AW29" s="156"/>
      <c r="AX29" s="157" t="s">
        <v>28</v>
      </c>
      <c r="AY29" s="156"/>
      <c r="AZ29" s="156"/>
      <c r="BA29" s="156"/>
    </row>
    <row r="30" spans="1:53" ht="14.45" customHeight="1" x14ac:dyDescent="0.25">
      <c r="A30" s="158" t="s">
        <v>126</v>
      </c>
      <c r="B30" s="156"/>
      <c r="C30" s="159">
        <v>0</v>
      </c>
      <c r="D30" s="156"/>
      <c r="E30" s="156"/>
      <c r="F30" s="159">
        <v>0</v>
      </c>
      <c r="G30" s="156"/>
      <c r="H30" s="156"/>
      <c r="I30" s="159">
        <v>0</v>
      </c>
      <c r="J30" s="156"/>
      <c r="K30" s="156"/>
      <c r="L30" s="159">
        <v>0</v>
      </c>
      <c r="M30" s="156"/>
      <c r="N30" s="156"/>
      <c r="O30" s="159">
        <v>0</v>
      </c>
      <c r="P30" s="156"/>
      <c r="Q30" s="156"/>
      <c r="R30" s="156"/>
      <c r="S30" s="156"/>
      <c r="T30" s="159">
        <v>0</v>
      </c>
      <c r="U30" s="156"/>
      <c r="V30" s="156"/>
      <c r="W30" s="159">
        <v>0</v>
      </c>
      <c r="X30" s="156"/>
      <c r="Y30" s="156"/>
      <c r="Z30" s="159">
        <v>0</v>
      </c>
      <c r="AA30" s="156"/>
      <c r="AB30" s="156"/>
      <c r="AC30" s="159">
        <v>0</v>
      </c>
      <c r="AD30" s="156"/>
      <c r="AE30" s="156"/>
      <c r="AF30" s="159">
        <v>0</v>
      </c>
      <c r="AG30" s="156"/>
      <c r="AH30" s="156"/>
      <c r="AI30" s="159">
        <v>0</v>
      </c>
      <c r="AJ30" s="156"/>
      <c r="AK30" s="156"/>
      <c r="AL30" s="157" t="s">
        <v>28</v>
      </c>
      <c r="AM30" s="156"/>
      <c r="AN30" s="156"/>
      <c r="AO30" s="157" t="s">
        <v>28</v>
      </c>
      <c r="AP30" s="156"/>
      <c r="AQ30" s="156"/>
      <c r="AR30" s="157" t="s">
        <v>28</v>
      </c>
      <c r="AS30" s="156"/>
      <c r="AT30" s="156"/>
      <c r="AU30" s="157" t="s">
        <v>28</v>
      </c>
      <c r="AV30" s="156"/>
      <c r="AW30" s="156"/>
      <c r="AX30" s="157" t="s">
        <v>28</v>
      </c>
      <c r="AY30" s="156"/>
      <c r="AZ30" s="156"/>
      <c r="BA30" s="156"/>
    </row>
    <row r="31" spans="1:53" ht="27.6" customHeight="1" x14ac:dyDescent="0.25">
      <c r="A31" s="158" t="s">
        <v>136</v>
      </c>
      <c r="B31" s="156"/>
      <c r="C31" s="157" t="s">
        <v>28</v>
      </c>
      <c r="D31" s="156"/>
      <c r="E31" s="156"/>
      <c r="F31" s="157" t="s">
        <v>28</v>
      </c>
      <c r="G31" s="156"/>
      <c r="H31" s="156"/>
      <c r="I31" s="157" t="s">
        <v>28</v>
      </c>
      <c r="J31" s="156"/>
      <c r="K31" s="156"/>
      <c r="L31" s="157" t="s">
        <v>28</v>
      </c>
      <c r="M31" s="156"/>
      <c r="N31" s="156"/>
      <c r="O31" s="157" t="s">
        <v>28</v>
      </c>
      <c r="P31" s="156"/>
      <c r="Q31" s="156"/>
      <c r="R31" s="156"/>
      <c r="S31" s="156"/>
      <c r="T31" s="157" t="s">
        <v>28</v>
      </c>
      <c r="U31" s="156"/>
      <c r="V31" s="156"/>
      <c r="W31" s="157" t="s">
        <v>28</v>
      </c>
      <c r="X31" s="156"/>
      <c r="Y31" s="156"/>
      <c r="Z31" s="157" t="s">
        <v>28</v>
      </c>
      <c r="AA31" s="156"/>
      <c r="AB31" s="156"/>
      <c r="AC31" s="157" t="s">
        <v>28</v>
      </c>
      <c r="AD31" s="156"/>
      <c r="AE31" s="156"/>
      <c r="AF31" s="157" t="s">
        <v>28</v>
      </c>
      <c r="AG31" s="156"/>
      <c r="AH31" s="156"/>
      <c r="AI31" s="157" t="s">
        <v>28</v>
      </c>
      <c r="AJ31" s="156"/>
      <c r="AK31" s="156"/>
      <c r="AL31" s="157" t="s">
        <v>28</v>
      </c>
      <c r="AM31" s="156"/>
      <c r="AN31" s="156"/>
      <c r="AO31" s="157" t="s">
        <v>28</v>
      </c>
      <c r="AP31" s="156"/>
      <c r="AQ31" s="156"/>
      <c r="AR31" s="157" t="s">
        <v>28</v>
      </c>
      <c r="AS31" s="156"/>
      <c r="AT31" s="156"/>
      <c r="AU31" s="157" t="s">
        <v>28</v>
      </c>
      <c r="AV31" s="156"/>
      <c r="AW31" s="156"/>
      <c r="AX31" s="157" t="s">
        <v>28</v>
      </c>
      <c r="AY31" s="156"/>
      <c r="AZ31" s="156"/>
      <c r="BA31" s="156"/>
    </row>
    <row r="32" spans="1:53" ht="27.6" customHeight="1" x14ac:dyDescent="0.25">
      <c r="A32" s="158" t="s">
        <v>137</v>
      </c>
      <c r="B32" s="156"/>
      <c r="C32" s="157" t="s">
        <v>28</v>
      </c>
      <c r="D32" s="156"/>
      <c r="E32" s="156"/>
      <c r="F32" s="157" t="s">
        <v>28</v>
      </c>
      <c r="G32" s="156"/>
      <c r="H32" s="156"/>
      <c r="I32" s="157" t="s">
        <v>28</v>
      </c>
      <c r="J32" s="156"/>
      <c r="K32" s="156"/>
      <c r="L32" s="157" t="s">
        <v>28</v>
      </c>
      <c r="M32" s="156"/>
      <c r="N32" s="156"/>
      <c r="O32" s="157" t="s">
        <v>28</v>
      </c>
      <c r="P32" s="156"/>
      <c r="Q32" s="156"/>
      <c r="R32" s="156"/>
      <c r="S32" s="156"/>
      <c r="T32" s="157" t="s">
        <v>28</v>
      </c>
      <c r="U32" s="156"/>
      <c r="V32" s="156"/>
      <c r="W32" s="157" t="s">
        <v>28</v>
      </c>
      <c r="X32" s="156"/>
      <c r="Y32" s="156"/>
      <c r="Z32" s="157" t="s">
        <v>28</v>
      </c>
      <c r="AA32" s="156"/>
      <c r="AB32" s="156"/>
      <c r="AC32" s="157" t="s">
        <v>28</v>
      </c>
      <c r="AD32" s="156"/>
      <c r="AE32" s="156"/>
      <c r="AF32" s="157" t="s">
        <v>28</v>
      </c>
      <c r="AG32" s="156"/>
      <c r="AH32" s="156"/>
      <c r="AI32" s="157" t="s">
        <v>28</v>
      </c>
      <c r="AJ32" s="156"/>
      <c r="AK32" s="156"/>
      <c r="AL32" s="157" t="s">
        <v>28</v>
      </c>
      <c r="AM32" s="156"/>
      <c r="AN32" s="156"/>
      <c r="AO32" s="157" t="s">
        <v>28</v>
      </c>
      <c r="AP32" s="156"/>
      <c r="AQ32" s="156"/>
      <c r="AR32" s="157" t="s">
        <v>28</v>
      </c>
      <c r="AS32" s="156"/>
      <c r="AT32" s="156"/>
      <c r="AU32" s="157" t="s">
        <v>28</v>
      </c>
      <c r="AV32" s="156"/>
      <c r="AW32" s="156"/>
      <c r="AX32" s="157" t="s">
        <v>28</v>
      </c>
      <c r="AY32" s="156"/>
      <c r="AZ32" s="156"/>
      <c r="BA32" s="156"/>
    </row>
    <row r="33" spans="1:53" ht="27.6" customHeight="1" x14ac:dyDescent="0.25">
      <c r="A33" s="158" t="s">
        <v>138</v>
      </c>
      <c r="B33" s="156"/>
      <c r="C33" s="157" t="s">
        <v>28</v>
      </c>
      <c r="D33" s="156"/>
      <c r="E33" s="156"/>
      <c r="F33" s="157" t="s">
        <v>28</v>
      </c>
      <c r="G33" s="156"/>
      <c r="H33" s="156"/>
      <c r="I33" s="157" t="s">
        <v>28</v>
      </c>
      <c r="J33" s="156"/>
      <c r="K33" s="156"/>
      <c r="L33" s="157" t="s">
        <v>28</v>
      </c>
      <c r="M33" s="156"/>
      <c r="N33" s="156"/>
      <c r="O33" s="157" t="s">
        <v>28</v>
      </c>
      <c r="P33" s="156"/>
      <c r="Q33" s="156"/>
      <c r="R33" s="156"/>
      <c r="S33" s="156"/>
      <c r="T33" s="157" t="s">
        <v>28</v>
      </c>
      <c r="U33" s="156"/>
      <c r="V33" s="156"/>
      <c r="W33" s="157" t="s">
        <v>28</v>
      </c>
      <c r="X33" s="156"/>
      <c r="Y33" s="156"/>
      <c r="Z33" s="157" t="s">
        <v>28</v>
      </c>
      <c r="AA33" s="156"/>
      <c r="AB33" s="156"/>
      <c r="AC33" s="157" t="s">
        <v>28</v>
      </c>
      <c r="AD33" s="156"/>
      <c r="AE33" s="156"/>
      <c r="AF33" s="157" t="s">
        <v>28</v>
      </c>
      <c r="AG33" s="156"/>
      <c r="AH33" s="156"/>
      <c r="AI33" s="157" t="s">
        <v>28</v>
      </c>
      <c r="AJ33" s="156"/>
      <c r="AK33" s="156"/>
      <c r="AL33" s="157" t="s">
        <v>28</v>
      </c>
      <c r="AM33" s="156"/>
      <c r="AN33" s="156"/>
      <c r="AO33" s="157" t="s">
        <v>28</v>
      </c>
      <c r="AP33" s="156"/>
      <c r="AQ33" s="156"/>
      <c r="AR33" s="157" t="s">
        <v>28</v>
      </c>
      <c r="AS33" s="156"/>
      <c r="AT33" s="156"/>
      <c r="AU33" s="157" t="s">
        <v>28</v>
      </c>
      <c r="AV33" s="156"/>
      <c r="AW33" s="156"/>
      <c r="AX33" s="157" t="s">
        <v>28</v>
      </c>
      <c r="AY33" s="156"/>
      <c r="AZ33" s="156"/>
      <c r="BA33" s="156"/>
    </row>
    <row r="34" spans="1:53" ht="14.45" customHeight="1" x14ac:dyDescent="0.25">
      <c r="A34" s="158" t="s">
        <v>139</v>
      </c>
      <c r="B34" s="156"/>
      <c r="C34" s="157" t="s">
        <v>28</v>
      </c>
      <c r="D34" s="156"/>
      <c r="E34" s="156"/>
      <c r="F34" s="157" t="s">
        <v>28</v>
      </c>
      <c r="G34" s="156"/>
      <c r="H34" s="156"/>
      <c r="I34" s="157" t="s">
        <v>28</v>
      </c>
      <c r="J34" s="156"/>
      <c r="K34" s="156"/>
      <c r="L34" s="157" t="s">
        <v>28</v>
      </c>
      <c r="M34" s="156"/>
      <c r="N34" s="156"/>
      <c r="O34" s="157" t="s">
        <v>28</v>
      </c>
      <c r="P34" s="156"/>
      <c r="Q34" s="156"/>
      <c r="R34" s="156"/>
      <c r="S34" s="156"/>
      <c r="T34" s="157" t="s">
        <v>28</v>
      </c>
      <c r="U34" s="156"/>
      <c r="V34" s="156"/>
      <c r="W34" s="157" t="s">
        <v>28</v>
      </c>
      <c r="X34" s="156"/>
      <c r="Y34" s="156"/>
      <c r="Z34" s="157" t="s">
        <v>28</v>
      </c>
      <c r="AA34" s="156"/>
      <c r="AB34" s="156"/>
      <c r="AC34" s="157" t="s">
        <v>28</v>
      </c>
      <c r="AD34" s="156"/>
      <c r="AE34" s="156"/>
      <c r="AF34" s="157" t="s">
        <v>28</v>
      </c>
      <c r="AG34" s="156"/>
      <c r="AH34" s="156"/>
      <c r="AI34" s="157" t="s">
        <v>28</v>
      </c>
      <c r="AJ34" s="156"/>
      <c r="AK34" s="156"/>
      <c r="AL34" s="157" t="s">
        <v>28</v>
      </c>
      <c r="AM34" s="156"/>
      <c r="AN34" s="156"/>
      <c r="AO34" s="157" t="s">
        <v>28</v>
      </c>
      <c r="AP34" s="156"/>
      <c r="AQ34" s="156"/>
      <c r="AR34" s="157" t="s">
        <v>28</v>
      </c>
      <c r="AS34" s="156"/>
      <c r="AT34" s="156"/>
      <c r="AU34" s="157" t="s">
        <v>28</v>
      </c>
      <c r="AV34" s="156"/>
      <c r="AW34" s="156"/>
      <c r="AX34" s="157" t="s">
        <v>28</v>
      </c>
      <c r="AY34" s="156"/>
      <c r="AZ34" s="156"/>
      <c r="BA34" s="156"/>
    </row>
    <row r="35" spans="1:53" ht="14.45" customHeight="1" x14ac:dyDescent="0.25">
      <c r="A35" s="158" t="s">
        <v>140</v>
      </c>
      <c r="B35" s="156"/>
      <c r="C35" s="157" t="s">
        <v>28</v>
      </c>
      <c r="D35" s="156"/>
      <c r="E35" s="156"/>
      <c r="F35" s="157" t="s">
        <v>28</v>
      </c>
      <c r="G35" s="156"/>
      <c r="H35" s="156"/>
      <c r="I35" s="157" t="s">
        <v>28</v>
      </c>
      <c r="J35" s="156"/>
      <c r="K35" s="156"/>
      <c r="L35" s="157" t="s">
        <v>28</v>
      </c>
      <c r="M35" s="156"/>
      <c r="N35" s="156"/>
      <c r="O35" s="157" t="s">
        <v>28</v>
      </c>
      <c r="P35" s="156"/>
      <c r="Q35" s="156"/>
      <c r="R35" s="156"/>
      <c r="S35" s="156"/>
      <c r="T35" s="157" t="s">
        <v>28</v>
      </c>
      <c r="U35" s="156"/>
      <c r="V35" s="156"/>
      <c r="W35" s="157" t="s">
        <v>28</v>
      </c>
      <c r="X35" s="156"/>
      <c r="Y35" s="156"/>
      <c r="Z35" s="157" t="s">
        <v>28</v>
      </c>
      <c r="AA35" s="156"/>
      <c r="AB35" s="156"/>
      <c r="AC35" s="157" t="s">
        <v>28</v>
      </c>
      <c r="AD35" s="156"/>
      <c r="AE35" s="156"/>
      <c r="AF35" s="157" t="s">
        <v>28</v>
      </c>
      <c r="AG35" s="156"/>
      <c r="AH35" s="156"/>
      <c r="AI35" s="157" t="s">
        <v>28</v>
      </c>
      <c r="AJ35" s="156"/>
      <c r="AK35" s="156"/>
      <c r="AL35" s="157" t="s">
        <v>28</v>
      </c>
      <c r="AM35" s="156"/>
      <c r="AN35" s="156"/>
      <c r="AO35" s="157" t="s">
        <v>28</v>
      </c>
      <c r="AP35" s="156"/>
      <c r="AQ35" s="156"/>
      <c r="AR35" s="157" t="s">
        <v>28</v>
      </c>
      <c r="AS35" s="156"/>
      <c r="AT35" s="156"/>
      <c r="AU35" s="157" t="s">
        <v>28</v>
      </c>
      <c r="AV35" s="156"/>
      <c r="AW35" s="156"/>
      <c r="AX35" s="157" t="s">
        <v>28</v>
      </c>
      <c r="AY35" s="156"/>
      <c r="AZ35" s="156"/>
      <c r="BA35" s="156"/>
    </row>
    <row r="36" spans="1:53" ht="27.6" customHeight="1" x14ac:dyDescent="0.25">
      <c r="A36" s="158" t="s">
        <v>141</v>
      </c>
      <c r="B36" s="156"/>
      <c r="C36" s="157" t="s">
        <v>28</v>
      </c>
      <c r="D36" s="156"/>
      <c r="E36" s="156"/>
      <c r="F36" s="157" t="s">
        <v>28</v>
      </c>
      <c r="G36" s="156"/>
      <c r="H36" s="156"/>
      <c r="I36" s="157" t="s">
        <v>28</v>
      </c>
      <c r="J36" s="156"/>
      <c r="K36" s="156"/>
      <c r="L36" s="157" t="s">
        <v>28</v>
      </c>
      <c r="M36" s="156"/>
      <c r="N36" s="156"/>
      <c r="O36" s="157" t="s">
        <v>28</v>
      </c>
      <c r="P36" s="156"/>
      <c r="Q36" s="156"/>
      <c r="R36" s="156"/>
      <c r="S36" s="156"/>
      <c r="T36" s="157" t="s">
        <v>28</v>
      </c>
      <c r="U36" s="156"/>
      <c r="V36" s="156"/>
      <c r="W36" s="157" t="s">
        <v>28</v>
      </c>
      <c r="X36" s="156"/>
      <c r="Y36" s="156"/>
      <c r="Z36" s="157" t="s">
        <v>28</v>
      </c>
      <c r="AA36" s="156"/>
      <c r="AB36" s="156"/>
      <c r="AC36" s="157" t="s">
        <v>28</v>
      </c>
      <c r="AD36" s="156"/>
      <c r="AE36" s="156"/>
      <c r="AF36" s="157" t="s">
        <v>28</v>
      </c>
      <c r="AG36" s="156"/>
      <c r="AH36" s="156"/>
      <c r="AI36" s="157" t="s">
        <v>28</v>
      </c>
      <c r="AJ36" s="156"/>
      <c r="AK36" s="156"/>
      <c r="AL36" s="157" t="s">
        <v>28</v>
      </c>
      <c r="AM36" s="156"/>
      <c r="AN36" s="156"/>
      <c r="AO36" s="157" t="s">
        <v>28</v>
      </c>
      <c r="AP36" s="156"/>
      <c r="AQ36" s="156"/>
      <c r="AR36" s="157" t="s">
        <v>28</v>
      </c>
      <c r="AS36" s="156"/>
      <c r="AT36" s="156"/>
      <c r="AU36" s="157" t="s">
        <v>28</v>
      </c>
      <c r="AV36" s="156"/>
      <c r="AW36" s="156"/>
      <c r="AX36" s="157" t="s">
        <v>28</v>
      </c>
      <c r="AY36" s="156"/>
      <c r="AZ36" s="156"/>
      <c r="BA36" s="156"/>
    </row>
    <row r="37" spans="1:53" ht="14.45" customHeight="1" x14ac:dyDescent="0.25">
      <c r="A37" s="156"/>
      <c r="B37" s="156"/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156"/>
      <c r="AK37" s="156"/>
      <c r="AL37" s="156"/>
      <c r="AM37" s="156"/>
      <c r="AN37" s="156"/>
      <c r="AO37" s="156"/>
      <c r="AP37" s="156"/>
      <c r="AQ37" s="156"/>
      <c r="AR37" s="156"/>
      <c r="AS37" s="156"/>
      <c r="AT37" s="156"/>
      <c r="AU37" s="156"/>
      <c r="AV37" s="156"/>
      <c r="AW37" s="156"/>
      <c r="AX37" s="156"/>
      <c r="AY37" s="156"/>
      <c r="AZ37" s="156"/>
      <c r="BA37" s="156"/>
    </row>
    <row r="38" spans="1:53" ht="14.45" customHeight="1" x14ac:dyDescent="0.25">
      <c r="A38" s="163" t="s">
        <v>41</v>
      </c>
      <c r="B38" s="156"/>
      <c r="C38" s="156"/>
      <c r="D38" s="156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  <c r="AV38" s="156"/>
      <c r="AW38" s="156"/>
      <c r="AX38" s="156"/>
      <c r="AY38" s="156"/>
      <c r="AZ38" s="156"/>
      <c r="BA38" s="156"/>
    </row>
    <row r="39" spans="1:53" ht="14.45" customHeight="1" x14ac:dyDescent="0.25">
      <c r="A39" s="158" t="s">
        <v>142</v>
      </c>
      <c r="B39" s="156"/>
      <c r="C39" s="159">
        <v>0</v>
      </c>
      <c r="D39" s="156"/>
      <c r="E39" s="156"/>
      <c r="F39" s="159">
        <v>0</v>
      </c>
      <c r="G39" s="156"/>
      <c r="H39" s="156"/>
      <c r="I39" s="159">
        <v>0</v>
      </c>
      <c r="J39" s="156"/>
      <c r="K39" s="156"/>
      <c r="L39" s="159">
        <v>0</v>
      </c>
      <c r="M39" s="156"/>
      <c r="N39" s="156"/>
      <c r="O39" s="159">
        <v>0</v>
      </c>
      <c r="P39" s="156"/>
      <c r="Q39" s="156"/>
      <c r="R39" s="156"/>
      <c r="S39" s="156"/>
      <c r="T39" s="159">
        <v>0</v>
      </c>
      <c r="U39" s="156"/>
      <c r="V39" s="156"/>
      <c r="W39" s="159">
        <v>0</v>
      </c>
      <c r="X39" s="156"/>
      <c r="Y39" s="156"/>
      <c r="Z39" s="159">
        <v>0</v>
      </c>
      <c r="AA39" s="156"/>
      <c r="AB39" s="156"/>
      <c r="AC39" s="159">
        <v>0</v>
      </c>
      <c r="AD39" s="156"/>
      <c r="AE39" s="156"/>
      <c r="AF39" s="159">
        <v>0</v>
      </c>
      <c r="AG39" s="156"/>
      <c r="AH39" s="156"/>
      <c r="AI39" s="159">
        <v>0</v>
      </c>
      <c r="AJ39" s="156"/>
      <c r="AK39" s="156"/>
      <c r="AL39" s="157" t="s">
        <v>28</v>
      </c>
      <c r="AM39" s="156"/>
      <c r="AN39" s="156"/>
      <c r="AO39" s="157" t="s">
        <v>28</v>
      </c>
      <c r="AP39" s="156"/>
      <c r="AQ39" s="156"/>
      <c r="AR39" s="157" t="s">
        <v>28</v>
      </c>
      <c r="AS39" s="156"/>
      <c r="AT39" s="156"/>
      <c r="AU39" s="157" t="s">
        <v>28</v>
      </c>
      <c r="AV39" s="156"/>
      <c r="AW39" s="156"/>
      <c r="AX39" s="157" t="s">
        <v>28</v>
      </c>
      <c r="AY39" s="156"/>
      <c r="AZ39" s="156"/>
      <c r="BA39" s="156"/>
    </row>
    <row r="40" spans="1:53" ht="14.45" customHeight="1" x14ac:dyDescent="0.25">
      <c r="A40" s="158" t="s">
        <v>143</v>
      </c>
      <c r="B40" s="156"/>
      <c r="C40" s="159">
        <v>295438.45</v>
      </c>
      <c r="D40" s="156"/>
      <c r="E40" s="156"/>
      <c r="F40" s="159">
        <v>38950.42</v>
      </c>
      <c r="G40" s="156"/>
      <c r="H40" s="156"/>
      <c r="I40" s="159">
        <v>37854.93</v>
      </c>
      <c r="J40" s="156"/>
      <c r="K40" s="156"/>
      <c r="L40" s="159">
        <v>34711.58</v>
      </c>
      <c r="M40" s="156"/>
      <c r="N40" s="156"/>
      <c r="O40" s="159">
        <v>71429.78</v>
      </c>
      <c r="P40" s="156"/>
      <c r="Q40" s="156"/>
      <c r="R40" s="156"/>
      <c r="S40" s="156"/>
      <c r="T40" s="159">
        <v>58782.99</v>
      </c>
      <c r="U40" s="156"/>
      <c r="V40" s="156"/>
      <c r="W40" s="159">
        <v>203322.97</v>
      </c>
      <c r="X40" s="156"/>
      <c r="Y40" s="156"/>
      <c r="Z40" s="159">
        <v>148803.21</v>
      </c>
      <c r="AA40" s="156"/>
      <c r="AB40" s="156"/>
      <c r="AC40" s="159">
        <v>170400.05</v>
      </c>
      <c r="AD40" s="156"/>
      <c r="AE40" s="156"/>
      <c r="AF40" s="159">
        <v>0</v>
      </c>
      <c r="AG40" s="156"/>
      <c r="AH40" s="156"/>
      <c r="AI40" s="159">
        <v>0</v>
      </c>
      <c r="AJ40" s="156"/>
      <c r="AK40" s="156"/>
      <c r="AL40" s="157" t="s">
        <v>28</v>
      </c>
      <c r="AM40" s="156"/>
      <c r="AN40" s="156"/>
      <c r="AO40" s="157" t="s">
        <v>28</v>
      </c>
      <c r="AP40" s="156"/>
      <c r="AQ40" s="156"/>
      <c r="AR40" s="157" t="s">
        <v>28</v>
      </c>
      <c r="AS40" s="156"/>
      <c r="AT40" s="156"/>
      <c r="AU40" s="157" t="s">
        <v>28</v>
      </c>
      <c r="AV40" s="156"/>
      <c r="AW40" s="156"/>
      <c r="AX40" s="157" t="s">
        <v>28</v>
      </c>
      <c r="AY40" s="156"/>
      <c r="AZ40" s="156"/>
      <c r="BA40" s="156"/>
    </row>
    <row r="41" spans="1:53" ht="14.45" customHeight="1" x14ac:dyDescent="0.25">
      <c r="A41" s="158" t="s">
        <v>144</v>
      </c>
      <c r="B41" s="156"/>
      <c r="C41" s="159">
        <v>0</v>
      </c>
      <c r="D41" s="156"/>
      <c r="E41" s="156"/>
      <c r="F41" s="159">
        <v>0</v>
      </c>
      <c r="G41" s="156"/>
      <c r="H41" s="156"/>
      <c r="I41" s="159">
        <v>0</v>
      </c>
      <c r="J41" s="156"/>
      <c r="K41" s="156"/>
      <c r="L41" s="159">
        <v>0</v>
      </c>
      <c r="M41" s="156"/>
      <c r="N41" s="156"/>
      <c r="O41" s="159">
        <v>0</v>
      </c>
      <c r="P41" s="156"/>
      <c r="Q41" s="156"/>
      <c r="R41" s="156"/>
      <c r="S41" s="156"/>
      <c r="T41" s="159">
        <v>0</v>
      </c>
      <c r="U41" s="156"/>
      <c r="V41" s="156"/>
      <c r="W41" s="159">
        <v>0</v>
      </c>
      <c r="X41" s="156"/>
      <c r="Y41" s="156"/>
      <c r="Z41" s="159">
        <v>0</v>
      </c>
      <c r="AA41" s="156"/>
      <c r="AB41" s="156"/>
      <c r="AC41" s="159">
        <v>0</v>
      </c>
      <c r="AD41" s="156"/>
      <c r="AE41" s="156"/>
      <c r="AF41" s="159">
        <v>168565.43</v>
      </c>
      <c r="AG41" s="156"/>
      <c r="AH41" s="156"/>
      <c r="AI41" s="159">
        <v>130205.47</v>
      </c>
      <c r="AJ41" s="156"/>
      <c r="AK41" s="156"/>
      <c r="AL41" s="157" t="s">
        <v>28</v>
      </c>
      <c r="AM41" s="156"/>
      <c r="AN41" s="156"/>
      <c r="AO41" s="157" t="s">
        <v>28</v>
      </c>
      <c r="AP41" s="156"/>
      <c r="AQ41" s="156"/>
      <c r="AR41" s="157" t="s">
        <v>28</v>
      </c>
      <c r="AS41" s="156"/>
      <c r="AT41" s="156"/>
      <c r="AU41" s="157" t="s">
        <v>28</v>
      </c>
      <c r="AV41" s="156"/>
      <c r="AW41" s="156"/>
      <c r="AX41" s="157" t="s">
        <v>28</v>
      </c>
      <c r="AY41" s="156"/>
      <c r="AZ41" s="156"/>
      <c r="BA41" s="156"/>
    </row>
    <row r="42" spans="1:53" ht="14.45" customHeight="1" x14ac:dyDescent="0.25">
      <c r="A42" s="158" t="s">
        <v>145</v>
      </c>
      <c r="B42" s="156"/>
      <c r="C42" s="159">
        <v>0</v>
      </c>
      <c r="D42" s="156"/>
      <c r="E42" s="156"/>
      <c r="F42" s="159">
        <v>0</v>
      </c>
      <c r="G42" s="156"/>
      <c r="H42" s="156"/>
      <c r="I42" s="159">
        <v>0</v>
      </c>
      <c r="J42" s="156"/>
      <c r="K42" s="156"/>
      <c r="L42" s="159">
        <v>0</v>
      </c>
      <c r="M42" s="156"/>
      <c r="N42" s="156"/>
      <c r="O42" s="159">
        <v>0</v>
      </c>
      <c r="P42" s="156"/>
      <c r="Q42" s="156"/>
      <c r="R42" s="156"/>
      <c r="S42" s="156"/>
      <c r="T42" s="159">
        <v>0</v>
      </c>
      <c r="U42" s="156"/>
      <c r="V42" s="156"/>
      <c r="W42" s="159">
        <v>0</v>
      </c>
      <c r="X42" s="156"/>
      <c r="Y42" s="156"/>
      <c r="Z42" s="159">
        <v>0</v>
      </c>
      <c r="AA42" s="156"/>
      <c r="AB42" s="156"/>
      <c r="AC42" s="159">
        <v>0</v>
      </c>
      <c r="AD42" s="156"/>
      <c r="AE42" s="156"/>
      <c r="AF42" s="159">
        <v>0</v>
      </c>
      <c r="AG42" s="156"/>
      <c r="AH42" s="156"/>
      <c r="AI42" s="159">
        <v>0</v>
      </c>
      <c r="AJ42" s="156"/>
      <c r="AK42" s="156"/>
      <c r="AL42" s="157" t="s">
        <v>28</v>
      </c>
      <c r="AM42" s="156"/>
      <c r="AN42" s="156"/>
      <c r="AO42" s="157" t="s">
        <v>28</v>
      </c>
      <c r="AP42" s="156"/>
      <c r="AQ42" s="156"/>
      <c r="AR42" s="157" t="s">
        <v>28</v>
      </c>
      <c r="AS42" s="156"/>
      <c r="AT42" s="156"/>
      <c r="AU42" s="157" t="s">
        <v>28</v>
      </c>
      <c r="AV42" s="156"/>
      <c r="AW42" s="156"/>
      <c r="AX42" s="157" t="s">
        <v>28</v>
      </c>
      <c r="AY42" s="156"/>
      <c r="AZ42" s="156"/>
      <c r="BA42" s="156"/>
    </row>
    <row r="43" spans="1:53" ht="14.45" customHeight="1" x14ac:dyDescent="0.25">
      <c r="A43" s="158" t="s">
        <v>146</v>
      </c>
      <c r="B43" s="156"/>
      <c r="C43" s="159">
        <v>0</v>
      </c>
      <c r="D43" s="156"/>
      <c r="E43" s="156"/>
      <c r="F43" s="159">
        <v>0</v>
      </c>
      <c r="G43" s="156"/>
      <c r="H43" s="156"/>
      <c r="I43" s="159">
        <v>0</v>
      </c>
      <c r="J43" s="156"/>
      <c r="K43" s="156"/>
      <c r="L43" s="159">
        <v>0</v>
      </c>
      <c r="M43" s="156"/>
      <c r="N43" s="156"/>
      <c r="O43" s="159">
        <v>0</v>
      </c>
      <c r="P43" s="156"/>
      <c r="Q43" s="156"/>
      <c r="R43" s="156"/>
      <c r="S43" s="156"/>
      <c r="T43" s="159">
        <v>0</v>
      </c>
      <c r="U43" s="156"/>
      <c r="V43" s="156"/>
      <c r="W43" s="159">
        <v>0</v>
      </c>
      <c r="X43" s="156"/>
      <c r="Y43" s="156"/>
      <c r="Z43" s="159">
        <v>0</v>
      </c>
      <c r="AA43" s="156"/>
      <c r="AB43" s="156"/>
      <c r="AC43" s="159">
        <v>0</v>
      </c>
      <c r="AD43" s="156"/>
      <c r="AE43" s="156"/>
      <c r="AF43" s="159">
        <v>0</v>
      </c>
      <c r="AG43" s="156"/>
      <c r="AH43" s="156"/>
      <c r="AI43" s="159">
        <v>0</v>
      </c>
      <c r="AJ43" s="156"/>
      <c r="AK43" s="156"/>
      <c r="AL43" s="157" t="s">
        <v>28</v>
      </c>
      <c r="AM43" s="156"/>
      <c r="AN43" s="156"/>
      <c r="AO43" s="157" t="s">
        <v>28</v>
      </c>
      <c r="AP43" s="156"/>
      <c r="AQ43" s="156"/>
      <c r="AR43" s="157" t="s">
        <v>28</v>
      </c>
      <c r="AS43" s="156"/>
      <c r="AT43" s="156"/>
      <c r="AU43" s="157" t="s">
        <v>28</v>
      </c>
      <c r="AV43" s="156"/>
      <c r="AW43" s="156"/>
      <c r="AX43" s="157" t="s">
        <v>28</v>
      </c>
      <c r="AY43" s="156"/>
      <c r="AZ43" s="156"/>
      <c r="BA43" s="156"/>
    </row>
    <row r="44" spans="1:53" ht="14.45" customHeight="1" x14ac:dyDescent="0.25">
      <c r="A44" s="158" t="s">
        <v>147</v>
      </c>
      <c r="B44" s="156"/>
      <c r="C44" s="159">
        <v>0</v>
      </c>
      <c r="D44" s="156"/>
      <c r="E44" s="156"/>
      <c r="F44" s="159">
        <v>0</v>
      </c>
      <c r="G44" s="156"/>
      <c r="H44" s="156"/>
      <c r="I44" s="159">
        <v>0</v>
      </c>
      <c r="J44" s="156"/>
      <c r="K44" s="156"/>
      <c r="L44" s="159">
        <v>0</v>
      </c>
      <c r="M44" s="156"/>
      <c r="N44" s="156"/>
      <c r="O44" s="159">
        <v>0</v>
      </c>
      <c r="P44" s="156"/>
      <c r="Q44" s="156"/>
      <c r="R44" s="156"/>
      <c r="S44" s="156"/>
      <c r="T44" s="159">
        <v>0</v>
      </c>
      <c r="U44" s="156"/>
      <c r="V44" s="156"/>
      <c r="W44" s="159">
        <v>0</v>
      </c>
      <c r="X44" s="156"/>
      <c r="Y44" s="156"/>
      <c r="Z44" s="159">
        <v>0</v>
      </c>
      <c r="AA44" s="156"/>
      <c r="AB44" s="156"/>
      <c r="AC44" s="159">
        <v>0</v>
      </c>
      <c r="AD44" s="156"/>
      <c r="AE44" s="156"/>
      <c r="AF44" s="159">
        <v>0</v>
      </c>
      <c r="AG44" s="156"/>
      <c r="AH44" s="156"/>
      <c r="AI44" s="159">
        <v>0</v>
      </c>
      <c r="AJ44" s="156"/>
      <c r="AK44" s="156"/>
      <c r="AL44" s="157" t="s">
        <v>28</v>
      </c>
      <c r="AM44" s="156"/>
      <c r="AN44" s="156"/>
      <c r="AO44" s="157" t="s">
        <v>28</v>
      </c>
      <c r="AP44" s="156"/>
      <c r="AQ44" s="156"/>
      <c r="AR44" s="157" t="s">
        <v>28</v>
      </c>
      <c r="AS44" s="156"/>
      <c r="AT44" s="156"/>
      <c r="AU44" s="157" t="s">
        <v>28</v>
      </c>
      <c r="AV44" s="156"/>
      <c r="AW44" s="156"/>
      <c r="AX44" s="157" t="s">
        <v>28</v>
      </c>
      <c r="AY44" s="156"/>
      <c r="AZ44" s="156"/>
      <c r="BA44" s="156"/>
    </row>
    <row r="45" spans="1:53" ht="27.6" customHeight="1" x14ac:dyDescent="0.25">
      <c r="A45" s="158" t="s">
        <v>148</v>
      </c>
      <c r="B45" s="156"/>
      <c r="C45" s="159">
        <v>0</v>
      </c>
      <c r="D45" s="156"/>
      <c r="E45" s="156"/>
      <c r="F45" s="159">
        <v>0</v>
      </c>
      <c r="G45" s="156"/>
      <c r="H45" s="156"/>
      <c r="I45" s="159">
        <v>0</v>
      </c>
      <c r="J45" s="156"/>
      <c r="K45" s="156"/>
      <c r="L45" s="159">
        <v>0</v>
      </c>
      <c r="M45" s="156"/>
      <c r="N45" s="156"/>
      <c r="O45" s="159">
        <v>0</v>
      </c>
      <c r="P45" s="156"/>
      <c r="Q45" s="156"/>
      <c r="R45" s="156"/>
      <c r="S45" s="156"/>
      <c r="T45" s="159">
        <v>0</v>
      </c>
      <c r="U45" s="156"/>
      <c r="V45" s="156"/>
      <c r="W45" s="159">
        <v>0</v>
      </c>
      <c r="X45" s="156"/>
      <c r="Y45" s="156"/>
      <c r="Z45" s="159">
        <v>0</v>
      </c>
      <c r="AA45" s="156"/>
      <c r="AB45" s="156"/>
      <c r="AC45" s="159">
        <v>0</v>
      </c>
      <c r="AD45" s="156"/>
      <c r="AE45" s="156"/>
      <c r="AF45" s="159">
        <v>0</v>
      </c>
      <c r="AG45" s="156"/>
      <c r="AH45" s="156"/>
      <c r="AI45" s="159">
        <v>0</v>
      </c>
      <c r="AJ45" s="156"/>
      <c r="AK45" s="156"/>
      <c r="AL45" s="157" t="s">
        <v>28</v>
      </c>
      <c r="AM45" s="156"/>
      <c r="AN45" s="156"/>
      <c r="AO45" s="157" t="s">
        <v>28</v>
      </c>
      <c r="AP45" s="156"/>
      <c r="AQ45" s="156"/>
      <c r="AR45" s="157" t="s">
        <v>28</v>
      </c>
      <c r="AS45" s="156"/>
      <c r="AT45" s="156"/>
      <c r="AU45" s="157" t="s">
        <v>28</v>
      </c>
      <c r="AV45" s="156"/>
      <c r="AW45" s="156"/>
      <c r="AX45" s="157" t="s">
        <v>28</v>
      </c>
      <c r="AY45" s="156"/>
      <c r="AZ45" s="156"/>
      <c r="BA45" s="156"/>
    </row>
    <row r="46" spans="1:53" ht="14.45" customHeight="1" x14ac:dyDescent="0.25">
      <c r="A46" s="158" t="s">
        <v>149</v>
      </c>
      <c r="B46" s="156"/>
      <c r="C46" s="159">
        <v>0</v>
      </c>
      <c r="D46" s="156"/>
      <c r="E46" s="156"/>
      <c r="F46" s="159">
        <v>0</v>
      </c>
      <c r="G46" s="156"/>
      <c r="H46" s="156"/>
      <c r="I46" s="159">
        <v>0</v>
      </c>
      <c r="J46" s="156"/>
      <c r="K46" s="156"/>
      <c r="L46" s="159">
        <v>0</v>
      </c>
      <c r="M46" s="156"/>
      <c r="N46" s="156"/>
      <c r="O46" s="159">
        <v>0</v>
      </c>
      <c r="P46" s="156"/>
      <c r="Q46" s="156"/>
      <c r="R46" s="156"/>
      <c r="S46" s="156"/>
      <c r="T46" s="159">
        <v>0</v>
      </c>
      <c r="U46" s="156"/>
      <c r="V46" s="156"/>
      <c r="W46" s="159">
        <v>0</v>
      </c>
      <c r="X46" s="156"/>
      <c r="Y46" s="156"/>
      <c r="Z46" s="159">
        <v>0</v>
      </c>
      <c r="AA46" s="156"/>
      <c r="AB46" s="156"/>
      <c r="AC46" s="159">
        <v>0</v>
      </c>
      <c r="AD46" s="156"/>
      <c r="AE46" s="156"/>
      <c r="AF46" s="159">
        <v>0</v>
      </c>
      <c r="AG46" s="156"/>
      <c r="AH46" s="156"/>
      <c r="AI46" s="159">
        <v>0</v>
      </c>
      <c r="AJ46" s="156"/>
      <c r="AK46" s="156"/>
      <c r="AL46" s="157" t="s">
        <v>28</v>
      </c>
      <c r="AM46" s="156"/>
      <c r="AN46" s="156"/>
      <c r="AO46" s="157" t="s">
        <v>28</v>
      </c>
      <c r="AP46" s="156"/>
      <c r="AQ46" s="156"/>
      <c r="AR46" s="157" t="s">
        <v>28</v>
      </c>
      <c r="AS46" s="156"/>
      <c r="AT46" s="156"/>
      <c r="AU46" s="157" t="s">
        <v>28</v>
      </c>
      <c r="AV46" s="156"/>
      <c r="AW46" s="156"/>
      <c r="AX46" s="157" t="s">
        <v>28</v>
      </c>
      <c r="AY46" s="156"/>
      <c r="AZ46" s="156"/>
      <c r="BA46" s="156"/>
    </row>
    <row r="47" spans="1:53" ht="14.45" customHeight="1" x14ac:dyDescent="0.25">
      <c r="A47" s="156"/>
      <c r="B47" s="156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  <c r="AD47" s="156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  <c r="AU47" s="156"/>
      <c r="AV47" s="156"/>
      <c r="AW47" s="156"/>
      <c r="AX47" s="156"/>
      <c r="AY47" s="156"/>
      <c r="AZ47" s="156"/>
      <c r="BA47" s="156"/>
    </row>
    <row r="48" spans="1:53" ht="14.45" customHeight="1" x14ac:dyDescent="0.25">
      <c r="A48" s="163" t="s">
        <v>42</v>
      </c>
      <c r="B48" s="156"/>
      <c r="C48" s="156"/>
      <c r="D48" s="156"/>
      <c r="E48" s="156"/>
      <c r="F48" s="156"/>
      <c r="G48" s="156"/>
      <c r="H48" s="156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  <c r="AB48" s="156"/>
      <c r="AC48" s="156"/>
      <c r="AD48" s="156"/>
      <c r="AE48" s="156"/>
      <c r="AF48" s="156"/>
      <c r="AG48" s="156"/>
      <c r="AH48" s="156"/>
      <c r="AI48" s="156"/>
      <c r="AJ48" s="156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  <c r="AU48" s="156"/>
      <c r="AV48" s="156"/>
      <c r="AW48" s="156"/>
      <c r="AX48" s="156"/>
      <c r="AY48" s="156"/>
      <c r="AZ48" s="156"/>
      <c r="BA48" s="156"/>
    </row>
    <row r="49" spans="1:53" ht="14.45" customHeight="1" x14ac:dyDescent="0.25">
      <c r="A49" s="158" t="s">
        <v>150</v>
      </c>
      <c r="B49" s="156"/>
      <c r="C49" s="159">
        <v>3978681.75</v>
      </c>
      <c r="D49" s="156"/>
      <c r="E49" s="156"/>
      <c r="F49" s="159">
        <v>1668921.65</v>
      </c>
      <c r="G49" s="156"/>
      <c r="H49" s="156"/>
      <c r="I49" s="159">
        <v>2026751.22</v>
      </c>
      <c r="J49" s="156"/>
      <c r="K49" s="156"/>
      <c r="L49" s="159">
        <v>1862492.98</v>
      </c>
      <c r="M49" s="156"/>
      <c r="N49" s="156"/>
      <c r="O49" s="159">
        <v>1856266.68</v>
      </c>
      <c r="P49" s="156"/>
      <c r="Q49" s="156"/>
      <c r="R49" s="156"/>
      <c r="S49" s="156"/>
      <c r="T49" s="159">
        <v>1795590.13</v>
      </c>
      <c r="U49" s="156"/>
      <c r="V49" s="156"/>
      <c r="W49" s="159">
        <v>1370284.99</v>
      </c>
      <c r="X49" s="156"/>
      <c r="Y49" s="156"/>
      <c r="Z49" s="159">
        <v>1545640.16</v>
      </c>
      <c r="AA49" s="156"/>
      <c r="AB49" s="156"/>
      <c r="AC49" s="159">
        <v>810072.64</v>
      </c>
      <c r="AD49" s="156"/>
      <c r="AE49" s="156"/>
      <c r="AF49" s="159">
        <v>2828153.35</v>
      </c>
      <c r="AG49" s="156"/>
      <c r="AH49" s="156"/>
      <c r="AI49" s="159">
        <v>2621029.29</v>
      </c>
      <c r="AJ49" s="156"/>
      <c r="AK49" s="156"/>
      <c r="AL49" s="157" t="s">
        <v>28</v>
      </c>
      <c r="AM49" s="156"/>
      <c r="AN49" s="156"/>
      <c r="AO49" s="157" t="s">
        <v>28</v>
      </c>
      <c r="AP49" s="156"/>
      <c r="AQ49" s="156"/>
      <c r="AR49" s="157" t="s">
        <v>28</v>
      </c>
      <c r="AS49" s="156"/>
      <c r="AT49" s="156"/>
      <c r="AU49" s="157" t="s">
        <v>28</v>
      </c>
      <c r="AV49" s="156"/>
      <c r="AW49" s="156"/>
      <c r="AX49" s="157" t="s">
        <v>28</v>
      </c>
      <c r="AY49" s="156"/>
      <c r="AZ49" s="156"/>
      <c r="BA49" s="156"/>
    </row>
    <row r="50" spans="1:53" ht="14.45" customHeight="1" x14ac:dyDescent="0.25">
      <c r="A50" s="158" t="s">
        <v>151</v>
      </c>
      <c r="B50" s="156"/>
      <c r="C50" s="159">
        <v>0</v>
      </c>
      <c r="D50" s="156"/>
      <c r="E50" s="156"/>
      <c r="F50" s="159">
        <v>0</v>
      </c>
      <c r="G50" s="156"/>
      <c r="H50" s="156"/>
      <c r="I50" s="159">
        <v>0</v>
      </c>
      <c r="J50" s="156"/>
      <c r="K50" s="156"/>
      <c r="L50" s="159">
        <v>0</v>
      </c>
      <c r="M50" s="156"/>
      <c r="N50" s="156"/>
      <c r="O50" s="159">
        <v>0</v>
      </c>
      <c r="P50" s="156"/>
      <c r="Q50" s="156"/>
      <c r="R50" s="156"/>
      <c r="S50" s="156"/>
      <c r="T50" s="159">
        <v>0</v>
      </c>
      <c r="U50" s="156"/>
      <c r="V50" s="156"/>
      <c r="W50" s="159">
        <v>0</v>
      </c>
      <c r="X50" s="156"/>
      <c r="Y50" s="156"/>
      <c r="Z50" s="159">
        <v>0</v>
      </c>
      <c r="AA50" s="156"/>
      <c r="AB50" s="156"/>
      <c r="AC50" s="159">
        <v>0</v>
      </c>
      <c r="AD50" s="156"/>
      <c r="AE50" s="156"/>
      <c r="AF50" s="159">
        <v>0</v>
      </c>
      <c r="AG50" s="156"/>
      <c r="AH50" s="156"/>
      <c r="AI50" s="159">
        <v>0</v>
      </c>
      <c r="AJ50" s="156"/>
      <c r="AK50" s="156"/>
      <c r="AL50" s="157" t="s">
        <v>28</v>
      </c>
      <c r="AM50" s="156"/>
      <c r="AN50" s="156"/>
      <c r="AO50" s="157" t="s">
        <v>28</v>
      </c>
      <c r="AP50" s="156"/>
      <c r="AQ50" s="156"/>
      <c r="AR50" s="157" t="s">
        <v>28</v>
      </c>
      <c r="AS50" s="156"/>
      <c r="AT50" s="156"/>
      <c r="AU50" s="157" t="s">
        <v>28</v>
      </c>
      <c r="AV50" s="156"/>
      <c r="AW50" s="156"/>
      <c r="AX50" s="157" t="s">
        <v>28</v>
      </c>
      <c r="AY50" s="156"/>
      <c r="AZ50" s="156"/>
      <c r="BA50" s="156"/>
    </row>
    <row r="51" spans="1:53" ht="14.45" customHeight="1" x14ac:dyDescent="0.25">
      <c r="A51" s="158" t="s">
        <v>152</v>
      </c>
      <c r="B51" s="156"/>
      <c r="C51" s="159">
        <v>0</v>
      </c>
      <c r="D51" s="156"/>
      <c r="E51" s="156"/>
      <c r="F51" s="159">
        <v>2627.84</v>
      </c>
      <c r="G51" s="156"/>
      <c r="H51" s="156"/>
      <c r="I51" s="159">
        <v>2627.84</v>
      </c>
      <c r="J51" s="156"/>
      <c r="K51" s="156"/>
      <c r="L51" s="159">
        <v>2203.21</v>
      </c>
      <c r="M51" s="156"/>
      <c r="N51" s="156"/>
      <c r="O51" s="159">
        <v>0</v>
      </c>
      <c r="P51" s="156"/>
      <c r="Q51" s="156"/>
      <c r="R51" s="156"/>
      <c r="S51" s="156"/>
      <c r="T51" s="159">
        <v>0</v>
      </c>
      <c r="U51" s="156"/>
      <c r="V51" s="156"/>
      <c r="W51" s="159">
        <v>0</v>
      </c>
      <c r="X51" s="156"/>
      <c r="Y51" s="156"/>
      <c r="Z51" s="159">
        <v>0</v>
      </c>
      <c r="AA51" s="156"/>
      <c r="AB51" s="156"/>
      <c r="AC51" s="159">
        <v>0</v>
      </c>
      <c r="AD51" s="156"/>
      <c r="AE51" s="156"/>
      <c r="AF51" s="159">
        <v>0</v>
      </c>
      <c r="AG51" s="156"/>
      <c r="AH51" s="156"/>
      <c r="AI51" s="159">
        <v>0</v>
      </c>
      <c r="AJ51" s="156"/>
      <c r="AK51" s="156"/>
      <c r="AL51" s="157" t="s">
        <v>28</v>
      </c>
      <c r="AM51" s="156"/>
      <c r="AN51" s="156"/>
      <c r="AO51" s="157" t="s">
        <v>28</v>
      </c>
      <c r="AP51" s="156"/>
      <c r="AQ51" s="156"/>
      <c r="AR51" s="157" t="s">
        <v>28</v>
      </c>
      <c r="AS51" s="156"/>
      <c r="AT51" s="156"/>
      <c r="AU51" s="157" t="s">
        <v>28</v>
      </c>
      <c r="AV51" s="156"/>
      <c r="AW51" s="156"/>
      <c r="AX51" s="157" t="s">
        <v>28</v>
      </c>
      <c r="AY51" s="156"/>
      <c r="AZ51" s="156"/>
      <c r="BA51" s="156"/>
    </row>
    <row r="52" spans="1:53" ht="14.45" customHeight="1" x14ac:dyDescent="0.25">
      <c r="A52" s="156"/>
      <c r="B52" s="156"/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  <c r="AU52" s="156"/>
      <c r="AV52" s="156"/>
      <c r="AW52" s="156"/>
      <c r="AX52" s="156"/>
      <c r="AY52" s="156"/>
      <c r="AZ52" s="156"/>
      <c r="BA52" s="156"/>
    </row>
    <row r="53" spans="1:53" ht="14.45" customHeight="1" x14ac:dyDescent="0.25">
      <c r="A53" s="163" t="s">
        <v>46</v>
      </c>
      <c r="B53" s="156"/>
      <c r="C53" s="156"/>
      <c r="D53" s="156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  <c r="AB53" s="156"/>
      <c r="AC53" s="156"/>
      <c r="AD53" s="156"/>
      <c r="AE53" s="156"/>
      <c r="AF53" s="156"/>
      <c r="AG53" s="156"/>
      <c r="AH53" s="156"/>
      <c r="AI53" s="156"/>
      <c r="AJ53" s="156"/>
      <c r="AK53" s="156"/>
      <c r="AL53" s="156"/>
      <c r="AM53" s="156"/>
      <c r="AN53" s="156"/>
      <c r="AO53" s="156"/>
      <c r="AP53" s="156"/>
      <c r="AQ53" s="156"/>
      <c r="AR53" s="156"/>
      <c r="AS53" s="156"/>
      <c r="AT53" s="156"/>
      <c r="AU53" s="156"/>
      <c r="AV53" s="156"/>
      <c r="AW53" s="156"/>
      <c r="AX53" s="156"/>
      <c r="AY53" s="156"/>
      <c r="AZ53" s="156"/>
      <c r="BA53" s="156"/>
    </row>
    <row r="54" spans="1:53" ht="14.45" customHeight="1" x14ac:dyDescent="0.25">
      <c r="A54" s="158" t="s">
        <v>153</v>
      </c>
      <c r="B54" s="156"/>
      <c r="C54" s="159">
        <v>0</v>
      </c>
      <c r="D54" s="156"/>
      <c r="E54" s="156"/>
      <c r="F54" s="159">
        <v>0</v>
      </c>
      <c r="G54" s="156"/>
      <c r="H54" s="156"/>
      <c r="I54" s="159">
        <v>0</v>
      </c>
      <c r="J54" s="156"/>
      <c r="K54" s="156"/>
      <c r="L54" s="159">
        <v>0</v>
      </c>
      <c r="M54" s="156"/>
      <c r="N54" s="156"/>
      <c r="O54" s="159">
        <v>0</v>
      </c>
      <c r="P54" s="156"/>
      <c r="Q54" s="156"/>
      <c r="R54" s="156"/>
      <c r="S54" s="156"/>
      <c r="T54" s="159">
        <v>0</v>
      </c>
      <c r="U54" s="156"/>
      <c r="V54" s="156"/>
      <c r="W54" s="159">
        <v>0</v>
      </c>
      <c r="X54" s="156"/>
      <c r="Y54" s="156"/>
      <c r="Z54" s="159">
        <v>0</v>
      </c>
      <c r="AA54" s="156"/>
      <c r="AB54" s="156"/>
      <c r="AC54" s="159">
        <v>0</v>
      </c>
      <c r="AD54" s="156"/>
      <c r="AE54" s="156"/>
      <c r="AF54" s="159">
        <v>0</v>
      </c>
      <c r="AG54" s="156"/>
      <c r="AH54" s="156"/>
      <c r="AI54" s="159">
        <v>0</v>
      </c>
      <c r="AJ54" s="156"/>
      <c r="AK54" s="156"/>
      <c r="AL54" s="157" t="s">
        <v>28</v>
      </c>
      <c r="AM54" s="156"/>
      <c r="AN54" s="156"/>
      <c r="AO54" s="157" t="s">
        <v>28</v>
      </c>
      <c r="AP54" s="156"/>
      <c r="AQ54" s="156"/>
      <c r="AR54" s="157" t="s">
        <v>28</v>
      </c>
      <c r="AS54" s="156"/>
      <c r="AT54" s="156"/>
      <c r="AU54" s="157" t="s">
        <v>28</v>
      </c>
      <c r="AV54" s="156"/>
      <c r="AW54" s="156"/>
      <c r="AX54" s="157" t="s">
        <v>28</v>
      </c>
      <c r="AY54" s="156"/>
      <c r="AZ54" s="156"/>
      <c r="BA54" s="156"/>
    </row>
    <row r="55" spans="1:53" ht="14.45" customHeight="1" x14ac:dyDescent="0.25">
      <c r="A55" s="158" t="s">
        <v>154</v>
      </c>
      <c r="B55" s="156"/>
      <c r="C55" s="159">
        <v>0</v>
      </c>
      <c r="D55" s="156"/>
      <c r="E55" s="156"/>
      <c r="F55" s="159">
        <v>0</v>
      </c>
      <c r="G55" s="156"/>
      <c r="H55" s="156"/>
      <c r="I55" s="159">
        <v>0</v>
      </c>
      <c r="J55" s="156"/>
      <c r="K55" s="156"/>
      <c r="L55" s="159">
        <v>0</v>
      </c>
      <c r="M55" s="156"/>
      <c r="N55" s="156"/>
      <c r="O55" s="159">
        <v>0</v>
      </c>
      <c r="P55" s="156"/>
      <c r="Q55" s="156"/>
      <c r="R55" s="156"/>
      <c r="S55" s="156"/>
      <c r="T55" s="159">
        <v>0</v>
      </c>
      <c r="U55" s="156"/>
      <c r="V55" s="156"/>
      <c r="W55" s="159">
        <v>0</v>
      </c>
      <c r="X55" s="156"/>
      <c r="Y55" s="156"/>
      <c r="Z55" s="159">
        <v>0</v>
      </c>
      <c r="AA55" s="156"/>
      <c r="AB55" s="156"/>
      <c r="AC55" s="159">
        <v>0</v>
      </c>
      <c r="AD55" s="156"/>
      <c r="AE55" s="156"/>
      <c r="AF55" s="159">
        <v>0</v>
      </c>
      <c r="AG55" s="156"/>
      <c r="AH55" s="156"/>
      <c r="AI55" s="159">
        <v>0</v>
      </c>
      <c r="AJ55" s="156"/>
      <c r="AK55" s="156"/>
      <c r="AL55" s="157" t="s">
        <v>28</v>
      </c>
      <c r="AM55" s="156"/>
      <c r="AN55" s="156"/>
      <c r="AO55" s="157" t="s">
        <v>28</v>
      </c>
      <c r="AP55" s="156"/>
      <c r="AQ55" s="156"/>
      <c r="AR55" s="157" t="s">
        <v>28</v>
      </c>
      <c r="AS55" s="156"/>
      <c r="AT55" s="156"/>
      <c r="AU55" s="157" t="s">
        <v>28</v>
      </c>
      <c r="AV55" s="156"/>
      <c r="AW55" s="156"/>
      <c r="AX55" s="157" t="s">
        <v>28</v>
      </c>
      <c r="AY55" s="156"/>
      <c r="AZ55" s="156"/>
      <c r="BA55" s="156"/>
    </row>
    <row r="56" spans="1:53" ht="14.45" customHeight="1" x14ac:dyDescent="0.25">
      <c r="A56" s="158" t="s">
        <v>155</v>
      </c>
      <c r="B56" s="156"/>
      <c r="C56" s="159">
        <v>0</v>
      </c>
      <c r="D56" s="156"/>
      <c r="E56" s="156"/>
      <c r="F56" s="159">
        <v>1322.25</v>
      </c>
      <c r="G56" s="156"/>
      <c r="H56" s="156"/>
      <c r="I56" s="159">
        <v>8178.88</v>
      </c>
      <c r="J56" s="156"/>
      <c r="K56" s="156"/>
      <c r="L56" s="159">
        <v>0</v>
      </c>
      <c r="M56" s="156"/>
      <c r="N56" s="156"/>
      <c r="O56" s="159">
        <v>0</v>
      </c>
      <c r="P56" s="156"/>
      <c r="Q56" s="156"/>
      <c r="R56" s="156"/>
      <c r="S56" s="156"/>
      <c r="T56" s="159">
        <v>0</v>
      </c>
      <c r="U56" s="156"/>
      <c r="V56" s="156"/>
      <c r="W56" s="159">
        <v>0</v>
      </c>
      <c r="X56" s="156"/>
      <c r="Y56" s="156"/>
      <c r="Z56" s="159">
        <v>540</v>
      </c>
      <c r="AA56" s="156"/>
      <c r="AB56" s="156"/>
      <c r="AC56" s="159">
        <v>1231418.99</v>
      </c>
      <c r="AD56" s="156"/>
      <c r="AE56" s="156"/>
      <c r="AF56" s="159">
        <v>0</v>
      </c>
      <c r="AG56" s="156"/>
      <c r="AH56" s="156"/>
      <c r="AI56" s="159">
        <v>0</v>
      </c>
      <c r="AJ56" s="156"/>
      <c r="AK56" s="156"/>
      <c r="AL56" s="157" t="s">
        <v>28</v>
      </c>
      <c r="AM56" s="156"/>
      <c r="AN56" s="156"/>
      <c r="AO56" s="157" t="s">
        <v>28</v>
      </c>
      <c r="AP56" s="156"/>
      <c r="AQ56" s="156"/>
      <c r="AR56" s="157" t="s">
        <v>28</v>
      </c>
      <c r="AS56" s="156"/>
      <c r="AT56" s="156"/>
      <c r="AU56" s="157" t="s">
        <v>28</v>
      </c>
      <c r="AV56" s="156"/>
      <c r="AW56" s="156"/>
      <c r="AX56" s="157" t="s">
        <v>28</v>
      </c>
      <c r="AY56" s="156"/>
      <c r="AZ56" s="156"/>
      <c r="BA56" s="156"/>
    </row>
    <row r="57" spans="1:53" ht="14.45" customHeight="1" x14ac:dyDescent="0.25">
      <c r="A57" s="158" t="s">
        <v>156</v>
      </c>
      <c r="B57" s="156"/>
      <c r="C57" s="159">
        <v>130913.19</v>
      </c>
      <c r="D57" s="156"/>
      <c r="E57" s="156"/>
      <c r="F57" s="159">
        <v>136516.79</v>
      </c>
      <c r="G57" s="156"/>
      <c r="H57" s="156"/>
      <c r="I57" s="159">
        <v>166634.43</v>
      </c>
      <c r="J57" s="156"/>
      <c r="K57" s="156"/>
      <c r="L57" s="159">
        <v>158026.87</v>
      </c>
      <c r="M57" s="156"/>
      <c r="N57" s="156"/>
      <c r="O57" s="159">
        <v>1057156.04</v>
      </c>
      <c r="P57" s="156"/>
      <c r="Q57" s="156"/>
      <c r="R57" s="156"/>
      <c r="S57" s="156"/>
      <c r="T57" s="159">
        <v>190081.4</v>
      </c>
      <c r="U57" s="156"/>
      <c r="V57" s="156"/>
      <c r="W57" s="159">
        <v>157130.1</v>
      </c>
      <c r="X57" s="156"/>
      <c r="Y57" s="156"/>
      <c r="Z57" s="159">
        <v>0</v>
      </c>
      <c r="AA57" s="156"/>
      <c r="AB57" s="156"/>
      <c r="AC57" s="159">
        <v>81513.649999999994</v>
      </c>
      <c r="AD57" s="156"/>
      <c r="AE57" s="156"/>
      <c r="AF57" s="159">
        <v>127531.52</v>
      </c>
      <c r="AG57" s="156"/>
      <c r="AH57" s="156"/>
      <c r="AI57" s="159">
        <v>167752.91</v>
      </c>
      <c r="AJ57" s="156"/>
      <c r="AK57" s="156"/>
      <c r="AL57" s="157" t="s">
        <v>28</v>
      </c>
      <c r="AM57" s="156"/>
      <c r="AN57" s="156"/>
      <c r="AO57" s="157" t="s">
        <v>28</v>
      </c>
      <c r="AP57" s="156"/>
      <c r="AQ57" s="156"/>
      <c r="AR57" s="157" t="s">
        <v>28</v>
      </c>
      <c r="AS57" s="156"/>
      <c r="AT57" s="156"/>
      <c r="AU57" s="157" t="s">
        <v>28</v>
      </c>
      <c r="AV57" s="156"/>
      <c r="AW57" s="156"/>
      <c r="AX57" s="157" t="s">
        <v>28</v>
      </c>
      <c r="AY57" s="156"/>
      <c r="AZ57" s="156"/>
      <c r="BA57" s="156"/>
    </row>
    <row r="58" spans="1:53" ht="14.45" customHeight="1" x14ac:dyDescent="0.25">
      <c r="A58" s="156"/>
      <c r="B58" s="156"/>
      <c r="C58" s="156"/>
      <c r="D58" s="156"/>
      <c r="E58" s="156"/>
      <c r="F58" s="156"/>
      <c r="G58" s="156"/>
      <c r="H58" s="156"/>
      <c r="I58" s="156"/>
      <c r="J58" s="156"/>
      <c r="K58" s="156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  <c r="AA58" s="156"/>
      <c r="AB58" s="156"/>
      <c r="AC58" s="156"/>
      <c r="AD58" s="156"/>
      <c r="AE58" s="156"/>
      <c r="AF58" s="156"/>
      <c r="AG58" s="156"/>
      <c r="AH58" s="156"/>
      <c r="AI58" s="156"/>
      <c r="AJ58" s="156"/>
      <c r="AK58" s="156"/>
      <c r="AL58" s="156"/>
      <c r="AM58" s="156"/>
      <c r="AN58" s="156"/>
      <c r="AO58" s="156"/>
      <c r="AP58" s="156"/>
      <c r="AQ58" s="156"/>
      <c r="AR58" s="156"/>
      <c r="AS58" s="156"/>
      <c r="AT58" s="156"/>
      <c r="AU58" s="156"/>
      <c r="AV58" s="156"/>
      <c r="AW58" s="156"/>
      <c r="AX58" s="156"/>
      <c r="AY58" s="156"/>
      <c r="AZ58" s="156"/>
      <c r="BA58" s="156"/>
    </row>
    <row r="59" spans="1:53" ht="14.45" customHeight="1" x14ac:dyDescent="0.25">
      <c r="A59" s="163" t="s">
        <v>47</v>
      </c>
      <c r="B59" s="156"/>
      <c r="C59" s="156"/>
      <c r="D59" s="156"/>
      <c r="E59" s="156"/>
      <c r="F59" s="156"/>
      <c r="G59" s="156"/>
      <c r="H59" s="156"/>
      <c r="I59" s="156"/>
      <c r="J59" s="156"/>
      <c r="K59" s="156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  <c r="X59" s="156"/>
      <c r="Y59" s="156"/>
      <c r="Z59" s="156"/>
      <c r="AA59" s="156"/>
      <c r="AB59" s="156"/>
      <c r="AC59" s="156"/>
      <c r="AD59" s="156"/>
      <c r="AE59" s="156"/>
      <c r="AF59" s="156"/>
      <c r="AG59" s="156"/>
      <c r="AH59" s="156"/>
      <c r="AI59" s="156"/>
      <c r="AJ59" s="156"/>
      <c r="AK59" s="156"/>
      <c r="AL59" s="156"/>
      <c r="AM59" s="156"/>
      <c r="AN59" s="156"/>
      <c r="AO59" s="156"/>
      <c r="AP59" s="156"/>
      <c r="AQ59" s="156"/>
      <c r="AR59" s="156"/>
      <c r="AS59" s="156"/>
      <c r="AT59" s="156"/>
      <c r="AU59" s="156"/>
      <c r="AV59" s="156"/>
      <c r="AW59" s="156"/>
      <c r="AX59" s="156"/>
      <c r="AY59" s="156"/>
      <c r="AZ59" s="156"/>
      <c r="BA59" s="156"/>
    </row>
    <row r="60" spans="1:53" ht="14.45" customHeight="1" x14ac:dyDescent="0.25">
      <c r="A60" s="158" t="s">
        <v>157</v>
      </c>
      <c r="B60" s="156"/>
      <c r="C60" s="159">
        <v>0</v>
      </c>
      <c r="D60" s="156"/>
      <c r="E60" s="156"/>
      <c r="F60" s="159">
        <v>2627.84</v>
      </c>
      <c r="G60" s="156"/>
      <c r="H60" s="156"/>
      <c r="I60" s="159">
        <v>2627.84</v>
      </c>
      <c r="J60" s="156"/>
      <c r="K60" s="156"/>
      <c r="L60" s="159">
        <v>2203.21</v>
      </c>
      <c r="M60" s="156"/>
      <c r="N60" s="156"/>
      <c r="O60" s="159">
        <v>0</v>
      </c>
      <c r="P60" s="156"/>
      <c r="Q60" s="156"/>
      <c r="R60" s="156"/>
      <c r="S60" s="156"/>
      <c r="T60" s="159">
        <v>0</v>
      </c>
      <c r="U60" s="156"/>
      <c r="V60" s="156"/>
      <c r="W60" s="159">
        <v>0</v>
      </c>
      <c r="X60" s="156"/>
      <c r="Y60" s="156"/>
      <c r="Z60" s="159">
        <v>0</v>
      </c>
      <c r="AA60" s="156"/>
      <c r="AB60" s="156"/>
      <c r="AC60" s="159">
        <v>0</v>
      </c>
      <c r="AD60" s="156"/>
      <c r="AE60" s="156"/>
      <c r="AF60" s="159">
        <v>0</v>
      </c>
      <c r="AG60" s="156"/>
      <c r="AH60" s="156"/>
      <c r="AI60" s="159">
        <v>0</v>
      </c>
      <c r="AJ60" s="156"/>
      <c r="AK60" s="156"/>
      <c r="AL60" s="157" t="s">
        <v>28</v>
      </c>
      <c r="AM60" s="156"/>
      <c r="AN60" s="156"/>
      <c r="AO60" s="157" t="s">
        <v>28</v>
      </c>
      <c r="AP60" s="156"/>
      <c r="AQ60" s="156"/>
      <c r="AR60" s="157" t="s">
        <v>28</v>
      </c>
      <c r="AS60" s="156"/>
      <c r="AT60" s="156"/>
      <c r="AU60" s="157" t="s">
        <v>28</v>
      </c>
      <c r="AV60" s="156"/>
      <c r="AW60" s="156"/>
      <c r="AX60" s="157" t="s">
        <v>28</v>
      </c>
      <c r="AY60" s="156"/>
      <c r="AZ60" s="156"/>
      <c r="BA60" s="156"/>
    </row>
    <row r="61" spans="1:53" ht="14.45" customHeight="1" x14ac:dyDescent="0.25">
      <c r="A61" s="158" t="s">
        <v>158</v>
      </c>
      <c r="B61" s="156"/>
      <c r="C61" s="159">
        <v>0</v>
      </c>
      <c r="D61" s="156"/>
      <c r="E61" s="156"/>
      <c r="F61" s="159">
        <v>0</v>
      </c>
      <c r="G61" s="156"/>
      <c r="H61" s="156"/>
      <c r="I61" s="159">
        <v>0</v>
      </c>
      <c r="J61" s="156"/>
      <c r="K61" s="156"/>
      <c r="L61" s="159">
        <v>0</v>
      </c>
      <c r="M61" s="156"/>
      <c r="N61" s="156"/>
      <c r="O61" s="159">
        <v>0</v>
      </c>
      <c r="P61" s="156"/>
      <c r="Q61" s="156"/>
      <c r="R61" s="156"/>
      <c r="S61" s="156"/>
      <c r="T61" s="159">
        <v>0</v>
      </c>
      <c r="U61" s="156"/>
      <c r="V61" s="156"/>
      <c r="W61" s="159">
        <v>0</v>
      </c>
      <c r="X61" s="156"/>
      <c r="Y61" s="156"/>
      <c r="Z61" s="159">
        <v>0</v>
      </c>
      <c r="AA61" s="156"/>
      <c r="AB61" s="156"/>
      <c r="AC61" s="159">
        <v>0</v>
      </c>
      <c r="AD61" s="156"/>
      <c r="AE61" s="156"/>
      <c r="AF61" s="159">
        <v>0</v>
      </c>
      <c r="AG61" s="156"/>
      <c r="AH61" s="156"/>
      <c r="AI61" s="159">
        <v>0</v>
      </c>
      <c r="AJ61" s="156"/>
      <c r="AK61" s="156"/>
      <c r="AL61" s="157" t="s">
        <v>28</v>
      </c>
      <c r="AM61" s="156"/>
      <c r="AN61" s="156"/>
      <c r="AO61" s="157" t="s">
        <v>28</v>
      </c>
      <c r="AP61" s="156"/>
      <c r="AQ61" s="156"/>
      <c r="AR61" s="157" t="s">
        <v>28</v>
      </c>
      <c r="AS61" s="156"/>
      <c r="AT61" s="156"/>
      <c r="AU61" s="157" t="s">
        <v>28</v>
      </c>
      <c r="AV61" s="156"/>
      <c r="AW61" s="156"/>
      <c r="AX61" s="157" t="s">
        <v>28</v>
      </c>
      <c r="AY61" s="156"/>
      <c r="AZ61" s="156"/>
      <c r="BA61" s="156"/>
    </row>
    <row r="62" spans="1:53" ht="14.45" customHeight="1" x14ac:dyDescent="0.25">
      <c r="A62" s="158" t="s">
        <v>159</v>
      </c>
      <c r="B62" s="156"/>
      <c r="C62" s="159">
        <v>0</v>
      </c>
      <c r="D62" s="156"/>
      <c r="E62" s="156"/>
      <c r="F62" s="159">
        <v>0</v>
      </c>
      <c r="G62" s="156"/>
      <c r="H62" s="156"/>
      <c r="I62" s="159">
        <v>0</v>
      </c>
      <c r="J62" s="156"/>
      <c r="K62" s="156"/>
      <c r="L62" s="159">
        <v>0</v>
      </c>
      <c r="M62" s="156"/>
      <c r="N62" s="156"/>
      <c r="O62" s="159">
        <v>0</v>
      </c>
      <c r="P62" s="156"/>
      <c r="Q62" s="156"/>
      <c r="R62" s="156"/>
      <c r="S62" s="156"/>
      <c r="T62" s="159">
        <v>0</v>
      </c>
      <c r="U62" s="156"/>
      <c r="V62" s="156"/>
      <c r="W62" s="159">
        <v>0</v>
      </c>
      <c r="X62" s="156"/>
      <c r="Y62" s="156"/>
      <c r="Z62" s="159">
        <v>0</v>
      </c>
      <c r="AA62" s="156"/>
      <c r="AB62" s="156"/>
      <c r="AC62" s="159">
        <v>0</v>
      </c>
      <c r="AD62" s="156"/>
      <c r="AE62" s="156"/>
      <c r="AF62" s="159">
        <v>0</v>
      </c>
      <c r="AG62" s="156"/>
      <c r="AH62" s="156"/>
      <c r="AI62" s="159">
        <v>0</v>
      </c>
      <c r="AJ62" s="156"/>
      <c r="AK62" s="156"/>
      <c r="AL62" s="157" t="s">
        <v>28</v>
      </c>
      <c r="AM62" s="156"/>
      <c r="AN62" s="156"/>
      <c r="AO62" s="157" t="s">
        <v>28</v>
      </c>
      <c r="AP62" s="156"/>
      <c r="AQ62" s="156"/>
      <c r="AR62" s="157" t="s">
        <v>28</v>
      </c>
      <c r="AS62" s="156"/>
      <c r="AT62" s="156"/>
      <c r="AU62" s="157" t="s">
        <v>28</v>
      </c>
      <c r="AV62" s="156"/>
      <c r="AW62" s="156"/>
      <c r="AX62" s="157" t="s">
        <v>28</v>
      </c>
      <c r="AY62" s="156"/>
      <c r="AZ62" s="156"/>
      <c r="BA62" s="156"/>
    </row>
    <row r="63" spans="1:53" ht="14.45" customHeight="1" x14ac:dyDescent="0.25">
      <c r="A63" s="158" t="s">
        <v>160</v>
      </c>
      <c r="B63" s="156"/>
      <c r="C63" s="159">
        <v>0</v>
      </c>
      <c r="D63" s="156"/>
      <c r="E63" s="156"/>
      <c r="F63" s="159">
        <v>0</v>
      </c>
      <c r="G63" s="156"/>
      <c r="H63" s="156"/>
      <c r="I63" s="159">
        <v>0</v>
      </c>
      <c r="J63" s="156"/>
      <c r="K63" s="156"/>
      <c r="L63" s="159">
        <v>0</v>
      </c>
      <c r="M63" s="156"/>
      <c r="N63" s="156"/>
      <c r="O63" s="159">
        <v>0</v>
      </c>
      <c r="P63" s="156"/>
      <c r="Q63" s="156"/>
      <c r="R63" s="156"/>
      <c r="S63" s="156"/>
      <c r="T63" s="159">
        <v>0</v>
      </c>
      <c r="U63" s="156"/>
      <c r="V63" s="156"/>
      <c r="W63" s="159">
        <v>0</v>
      </c>
      <c r="X63" s="156"/>
      <c r="Y63" s="156"/>
      <c r="Z63" s="159">
        <v>0</v>
      </c>
      <c r="AA63" s="156"/>
      <c r="AB63" s="156"/>
      <c r="AC63" s="159">
        <v>0</v>
      </c>
      <c r="AD63" s="156"/>
      <c r="AE63" s="156"/>
      <c r="AF63" s="159">
        <v>0</v>
      </c>
      <c r="AG63" s="156"/>
      <c r="AH63" s="156"/>
      <c r="AI63" s="159">
        <v>0</v>
      </c>
      <c r="AJ63" s="156"/>
      <c r="AK63" s="156"/>
      <c r="AL63" s="157" t="s">
        <v>28</v>
      </c>
      <c r="AM63" s="156"/>
      <c r="AN63" s="156"/>
      <c r="AO63" s="157" t="s">
        <v>28</v>
      </c>
      <c r="AP63" s="156"/>
      <c r="AQ63" s="156"/>
      <c r="AR63" s="157" t="s">
        <v>28</v>
      </c>
      <c r="AS63" s="156"/>
      <c r="AT63" s="156"/>
      <c r="AU63" s="157" t="s">
        <v>28</v>
      </c>
      <c r="AV63" s="156"/>
      <c r="AW63" s="156"/>
      <c r="AX63" s="157" t="s">
        <v>28</v>
      </c>
      <c r="AY63" s="156"/>
      <c r="AZ63" s="156"/>
      <c r="BA63" s="156"/>
    </row>
    <row r="64" spans="1:53" ht="14.45" customHeight="1" x14ac:dyDescent="0.25">
      <c r="A64" s="158" t="s">
        <v>161</v>
      </c>
      <c r="B64" s="156"/>
      <c r="C64" s="159">
        <v>0</v>
      </c>
      <c r="D64" s="156"/>
      <c r="E64" s="156"/>
      <c r="F64" s="159">
        <v>0</v>
      </c>
      <c r="G64" s="156"/>
      <c r="H64" s="156"/>
      <c r="I64" s="159">
        <v>0</v>
      </c>
      <c r="J64" s="156"/>
      <c r="K64" s="156"/>
      <c r="L64" s="159">
        <v>0</v>
      </c>
      <c r="M64" s="156"/>
      <c r="N64" s="156"/>
      <c r="O64" s="159">
        <v>0</v>
      </c>
      <c r="P64" s="156"/>
      <c r="Q64" s="156"/>
      <c r="R64" s="156"/>
      <c r="S64" s="156"/>
      <c r="T64" s="159">
        <v>0</v>
      </c>
      <c r="U64" s="156"/>
      <c r="V64" s="156"/>
      <c r="W64" s="159">
        <v>0</v>
      </c>
      <c r="X64" s="156"/>
      <c r="Y64" s="156"/>
      <c r="Z64" s="159">
        <v>0</v>
      </c>
      <c r="AA64" s="156"/>
      <c r="AB64" s="156"/>
      <c r="AC64" s="159">
        <v>0</v>
      </c>
      <c r="AD64" s="156"/>
      <c r="AE64" s="156"/>
      <c r="AF64" s="159">
        <v>0</v>
      </c>
      <c r="AG64" s="156"/>
      <c r="AH64" s="156"/>
      <c r="AI64" s="159">
        <v>0</v>
      </c>
      <c r="AJ64" s="156"/>
      <c r="AK64" s="156"/>
      <c r="AL64" s="157" t="s">
        <v>28</v>
      </c>
      <c r="AM64" s="156"/>
      <c r="AN64" s="156"/>
      <c r="AO64" s="157" t="s">
        <v>28</v>
      </c>
      <c r="AP64" s="156"/>
      <c r="AQ64" s="156"/>
      <c r="AR64" s="157" t="s">
        <v>28</v>
      </c>
      <c r="AS64" s="156"/>
      <c r="AT64" s="156"/>
      <c r="AU64" s="157" t="s">
        <v>28</v>
      </c>
      <c r="AV64" s="156"/>
      <c r="AW64" s="156"/>
      <c r="AX64" s="157" t="s">
        <v>28</v>
      </c>
      <c r="AY64" s="156"/>
      <c r="AZ64" s="156"/>
      <c r="BA64" s="156"/>
    </row>
    <row r="65" spans="1:53" ht="14.45" customHeight="1" x14ac:dyDescent="0.25">
      <c r="A65" s="156"/>
      <c r="B65" s="156"/>
      <c r="C65" s="156"/>
      <c r="D65" s="156"/>
      <c r="E65" s="156"/>
      <c r="F65" s="156"/>
      <c r="G65" s="156"/>
      <c r="H65" s="156"/>
      <c r="I65" s="156"/>
      <c r="J65" s="156"/>
      <c r="K65" s="156"/>
      <c r="L65" s="156"/>
      <c r="M65" s="156"/>
      <c r="N65" s="156"/>
      <c r="O65" s="156"/>
      <c r="P65" s="156"/>
      <c r="Q65" s="156"/>
      <c r="R65" s="156"/>
      <c r="S65" s="156"/>
      <c r="T65" s="156"/>
      <c r="U65" s="156"/>
      <c r="V65" s="156"/>
      <c r="W65" s="156"/>
      <c r="X65" s="156"/>
      <c r="Y65" s="156"/>
      <c r="Z65" s="156"/>
      <c r="AA65" s="156"/>
      <c r="AB65" s="156"/>
      <c r="AC65" s="156"/>
      <c r="AD65" s="156"/>
      <c r="AE65" s="156"/>
      <c r="AF65" s="156"/>
      <c r="AG65" s="156"/>
      <c r="AH65" s="156"/>
      <c r="AI65" s="156"/>
      <c r="AJ65" s="156"/>
      <c r="AK65" s="156"/>
      <c r="AL65" s="156"/>
      <c r="AM65" s="156"/>
      <c r="AN65" s="156"/>
      <c r="AO65" s="156"/>
      <c r="AP65" s="156"/>
      <c r="AQ65" s="156"/>
      <c r="AR65" s="156"/>
      <c r="AS65" s="156"/>
      <c r="AT65" s="156"/>
      <c r="AU65" s="156"/>
      <c r="AV65" s="156"/>
      <c r="AW65" s="156"/>
      <c r="AX65" s="156"/>
      <c r="AY65" s="156"/>
      <c r="AZ65" s="156"/>
      <c r="BA65" s="156"/>
    </row>
    <row r="66" spans="1:53" ht="14.45" customHeight="1" x14ac:dyDescent="0.25">
      <c r="A66" s="163" t="s">
        <v>52</v>
      </c>
      <c r="B66" s="156"/>
      <c r="C66" s="156"/>
      <c r="D66" s="156"/>
      <c r="E66" s="156"/>
      <c r="F66" s="156"/>
      <c r="G66" s="156"/>
      <c r="H66" s="156"/>
      <c r="I66" s="156"/>
      <c r="J66" s="156"/>
      <c r="K66" s="156"/>
      <c r="L66" s="156"/>
      <c r="M66" s="156"/>
      <c r="N66" s="156"/>
      <c r="O66" s="156"/>
      <c r="P66" s="156"/>
      <c r="Q66" s="156"/>
      <c r="R66" s="156"/>
      <c r="S66" s="156"/>
      <c r="T66" s="156"/>
      <c r="U66" s="156"/>
      <c r="V66" s="156"/>
      <c r="W66" s="156"/>
      <c r="X66" s="156"/>
      <c r="Y66" s="156"/>
      <c r="Z66" s="156"/>
      <c r="AA66" s="156"/>
      <c r="AB66" s="156"/>
      <c r="AC66" s="156"/>
      <c r="AD66" s="156"/>
      <c r="AE66" s="156"/>
      <c r="AF66" s="156"/>
      <c r="AG66" s="156"/>
      <c r="AH66" s="156"/>
      <c r="AI66" s="156"/>
      <c r="AJ66" s="156"/>
      <c r="AK66" s="156"/>
      <c r="AL66" s="156"/>
      <c r="AM66" s="156"/>
      <c r="AN66" s="156"/>
      <c r="AO66" s="156"/>
      <c r="AP66" s="156"/>
      <c r="AQ66" s="156"/>
      <c r="AR66" s="156"/>
      <c r="AS66" s="156"/>
      <c r="AT66" s="156"/>
      <c r="AU66" s="156"/>
      <c r="AV66" s="156"/>
      <c r="AW66" s="156"/>
      <c r="AX66" s="156"/>
      <c r="AY66" s="156"/>
      <c r="AZ66" s="156"/>
      <c r="BA66" s="156"/>
    </row>
    <row r="67" spans="1:53" ht="14.45" customHeight="1" x14ac:dyDescent="0.25">
      <c r="A67" s="158" t="s">
        <v>162</v>
      </c>
      <c r="B67" s="156"/>
      <c r="C67" s="159">
        <v>101338.92</v>
      </c>
      <c r="D67" s="156"/>
      <c r="E67" s="156"/>
      <c r="F67" s="159">
        <v>41760.269999999997</v>
      </c>
      <c r="G67" s="156"/>
      <c r="H67" s="156"/>
      <c r="I67" s="159">
        <v>26076.82</v>
      </c>
      <c r="J67" s="156"/>
      <c r="K67" s="156"/>
      <c r="L67" s="159">
        <v>26362.29</v>
      </c>
      <c r="M67" s="156"/>
      <c r="N67" s="156"/>
      <c r="O67" s="159">
        <v>22080.02</v>
      </c>
      <c r="P67" s="156"/>
      <c r="Q67" s="156"/>
      <c r="R67" s="156"/>
      <c r="S67" s="156"/>
      <c r="T67" s="159">
        <v>11927.42</v>
      </c>
      <c r="U67" s="156"/>
      <c r="V67" s="156"/>
      <c r="W67" s="159">
        <v>5477.88</v>
      </c>
      <c r="X67" s="156"/>
      <c r="Y67" s="156"/>
      <c r="Z67" s="159">
        <v>8612.67</v>
      </c>
      <c r="AA67" s="156"/>
      <c r="AB67" s="156"/>
      <c r="AC67" s="159">
        <v>2703.55</v>
      </c>
      <c r="AD67" s="156"/>
      <c r="AE67" s="156"/>
      <c r="AF67" s="159">
        <v>3241.44</v>
      </c>
      <c r="AG67" s="156"/>
      <c r="AH67" s="156"/>
      <c r="AI67" s="159">
        <v>22289.63</v>
      </c>
      <c r="AJ67" s="156"/>
      <c r="AK67" s="156"/>
      <c r="AL67" s="157" t="s">
        <v>28</v>
      </c>
      <c r="AM67" s="156"/>
      <c r="AN67" s="156"/>
      <c r="AO67" s="157" t="s">
        <v>28</v>
      </c>
      <c r="AP67" s="156"/>
      <c r="AQ67" s="156"/>
      <c r="AR67" s="157" t="s">
        <v>28</v>
      </c>
      <c r="AS67" s="156"/>
      <c r="AT67" s="156"/>
      <c r="AU67" s="157" t="s">
        <v>28</v>
      </c>
      <c r="AV67" s="156"/>
      <c r="AW67" s="156"/>
      <c r="AX67" s="157" t="s">
        <v>28</v>
      </c>
      <c r="AY67" s="156"/>
      <c r="AZ67" s="156"/>
      <c r="BA67" s="156"/>
    </row>
    <row r="68" spans="1:53" ht="14.45" customHeight="1" x14ac:dyDescent="0.25">
      <c r="A68" s="158" t="s">
        <v>163</v>
      </c>
      <c r="B68" s="156"/>
      <c r="C68" s="159">
        <v>415328.09</v>
      </c>
      <c r="D68" s="156"/>
      <c r="E68" s="156"/>
      <c r="F68" s="159">
        <v>335804.02</v>
      </c>
      <c r="G68" s="156"/>
      <c r="H68" s="156"/>
      <c r="I68" s="159">
        <v>319079.24</v>
      </c>
      <c r="J68" s="156"/>
      <c r="K68" s="156"/>
      <c r="L68" s="159">
        <v>233384.79</v>
      </c>
      <c r="M68" s="156"/>
      <c r="N68" s="156"/>
      <c r="O68" s="159">
        <v>7625.36</v>
      </c>
      <c r="P68" s="156"/>
      <c r="Q68" s="156"/>
      <c r="R68" s="156"/>
      <c r="S68" s="156"/>
      <c r="T68" s="159">
        <v>42896.35</v>
      </c>
      <c r="U68" s="156"/>
      <c r="V68" s="156"/>
      <c r="W68" s="159">
        <v>681513.64</v>
      </c>
      <c r="X68" s="156"/>
      <c r="Y68" s="156"/>
      <c r="Z68" s="159">
        <v>83793.67</v>
      </c>
      <c r="AA68" s="156"/>
      <c r="AB68" s="156"/>
      <c r="AC68" s="159">
        <v>192712.53</v>
      </c>
      <c r="AD68" s="156"/>
      <c r="AE68" s="156"/>
      <c r="AF68" s="159">
        <v>439197.53</v>
      </c>
      <c r="AG68" s="156"/>
      <c r="AH68" s="156"/>
      <c r="AI68" s="159">
        <v>2677.53</v>
      </c>
      <c r="AJ68" s="156"/>
      <c r="AK68" s="156"/>
      <c r="AL68" s="157" t="s">
        <v>28</v>
      </c>
      <c r="AM68" s="156"/>
      <c r="AN68" s="156"/>
      <c r="AO68" s="157" t="s">
        <v>28</v>
      </c>
      <c r="AP68" s="156"/>
      <c r="AQ68" s="156"/>
      <c r="AR68" s="157" t="s">
        <v>28</v>
      </c>
      <c r="AS68" s="156"/>
      <c r="AT68" s="156"/>
      <c r="AU68" s="157" t="s">
        <v>28</v>
      </c>
      <c r="AV68" s="156"/>
      <c r="AW68" s="156"/>
      <c r="AX68" s="157" t="s">
        <v>28</v>
      </c>
      <c r="AY68" s="156"/>
      <c r="AZ68" s="156"/>
      <c r="BA68" s="156"/>
    </row>
    <row r="69" spans="1:53" ht="14.45" customHeight="1" x14ac:dyDescent="0.25">
      <c r="A69" s="158" t="s">
        <v>164</v>
      </c>
      <c r="B69" s="156"/>
      <c r="C69" s="159">
        <v>0</v>
      </c>
      <c r="D69" s="156"/>
      <c r="E69" s="156"/>
      <c r="F69" s="159">
        <v>0</v>
      </c>
      <c r="G69" s="156"/>
      <c r="H69" s="156"/>
      <c r="I69" s="159">
        <v>0</v>
      </c>
      <c r="J69" s="156"/>
      <c r="K69" s="156"/>
      <c r="L69" s="159">
        <v>0</v>
      </c>
      <c r="M69" s="156"/>
      <c r="N69" s="156"/>
      <c r="O69" s="159">
        <v>0</v>
      </c>
      <c r="P69" s="156"/>
      <c r="Q69" s="156"/>
      <c r="R69" s="156"/>
      <c r="S69" s="156"/>
      <c r="T69" s="159">
        <v>0</v>
      </c>
      <c r="U69" s="156"/>
      <c r="V69" s="156"/>
      <c r="W69" s="159">
        <v>0</v>
      </c>
      <c r="X69" s="156"/>
      <c r="Y69" s="156"/>
      <c r="Z69" s="159">
        <v>0</v>
      </c>
      <c r="AA69" s="156"/>
      <c r="AB69" s="156"/>
      <c r="AC69" s="159">
        <v>0</v>
      </c>
      <c r="AD69" s="156"/>
      <c r="AE69" s="156"/>
      <c r="AF69" s="159">
        <v>0</v>
      </c>
      <c r="AG69" s="156"/>
      <c r="AH69" s="156"/>
      <c r="AI69" s="159">
        <v>0</v>
      </c>
      <c r="AJ69" s="156"/>
      <c r="AK69" s="156"/>
      <c r="AL69" s="157" t="s">
        <v>28</v>
      </c>
      <c r="AM69" s="156"/>
      <c r="AN69" s="156"/>
      <c r="AO69" s="157" t="s">
        <v>28</v>
      </c>
      <c r="AP69" s="156"/>
      <c r="AQ69" s="156"/>
      <c r="AR69" s="157" t="s">
        <v>28</v>
      </c>
      <c r="AS69" s="156"/>
      <c r="AT69" s="156"/>
      <c r="AU69" s="157" t="s">
        <v>28</v>
      </c>
      <c r="AV69" s="156"/>
      <c r="AW69" s="156"/>
      <c r="AX69" s="157" t="s">
        <v>28</v>
      </c>
      <c r="AY69" s="156"/>
      <c r="AZ69" s="156"/>
      <c r="BA69" s="156"/>
    </row>
    <row r="70" spans="1:53" ht="14.45" customHeight="1" x14ac:dyDescent="0.25">
      <c r="A70" s="156"/>
      <c r="B70" s="156"/>
      <c r="C70" s="156"/>
      <c r="D70" s="156"/>
      <c r="E70" s="156"/>
      <c r="F70" s="156"/>
      <c r="G70" s="156"/>
      <c r="H70" s="156"/>
      <c r="I70" s="156"/>
      <c r="J70" s="156"/>
      <c r="K70" s="156"/>
      <c r="L70" s="156"/>
      <c r="M70" s="156"/>
      <c r="N70" s="156"/>
      <c r="O70" s="156"/>
      <c r="P70" s="156"/>
      <c r="Q70" s="156"/>
      <c r="R70" s="156"/>
      <c r="S70" s="156"/>
      <c r="T70" s="156"/>
      <c r="U70" s="156"/>
      <c r="V70" s="156"/>
      <c r="W70" s="156"/>
      <c r="X70" s="156"/>
      <c r="Y70" s="156"/>
      <c r="Z70" s="156"/>
      <c r="AA70" s="156"/>
      <c r="AB70" s="156"/>
      <c r="AC70" s="156"/>
      <c r="AD70" s="156"/>
      <c r="AE70" s="156"/>
      <c r="AF70" s="156"/>
      <c r="AG70" s="156"/>
      <c r="AH70" s="156"/>
      <c r="AI70" s="156"/>
      <c r="AJ70" s="156"/>
      <c r="AK70" s="156"/>
      <c r="AL70" s="156"/>
      <c r="AM70" s="156"/>
      <c r="AN70" s="156"/>
      <c r="AO70" s="156"/>
      <c r="AP70" s="156"/>
      <c r="AQ70" s="156"/>
      <c r="AR70" s="156"/>
      <c r="AS70" s="156"/>
      <c r="AT70" s="156"/>
      <c r="AU70" s="156"/>
      <c r="AV70" s="156"/>
      <c r="AW70" s="156"/>
      <c r="AX70" s="156"/>
      <c r="AY70" s="156"/>
      <c r="AZ70" s="156"/>
      <c r="BA70" s="156"/>
    </row>
    <row r="71" spans="1:53" ht="14.45" customHeight="1" x14ac:dyDescent="0.25">
      <c r="A71" s="163" t="s">
        <v>53</v>
      </c>
      <c r="B71" s="156"/>
      <c r="C71" s="156"/>
      <c r="D71" s="156"/>
      <c r="E71" s="156"/>
      <c r="F71" s="156"/>
      <c r="G71" s="156"/>
      <c r="H71" s="156"/>
      <c r="I71" s="156"/>
      <c r="J71" s="156"/>
      <c r="K71" s="156"/>
      <c r="L71" s="156"/>
      <c r="M71" s="156"/>
      <c r="N71" s="156"/>
      <c r="O71" s="156"/>
      <c r="P71" s="156"/>
      <c r="Q71" s="156"/>
      <c r="R71" s="156"/>
      <c r="S71" s="156"/>
      <c r="T71" s="156"/>
      <c r="U71" s="156"/>
      <c r="V71" s="156"/>
      <c r="W71" s="156"/>
      <c r="X71" s="156"/>
      <c r="Y71" s="156"/>
      <c r="Z71" s="156"/>
      <c r="AA71" s="156"/>
      <c r="AB71" s="156"/>
      <c r="AC71" s="156"/>
      <c r="AD71" s="156"/>
      <c r="AE71" s="156"/>
      <c r="AF71" s="156"/>
      <c r="AG71" s="156"/>
      <c r="AH71" s="156"/>
      <c r="AI71" s="156"/>
      <c r="AJ71" s="156"/>
      <c r="AK71" s="156"/>
      <c r="AL71" s="156"/>
      <c r="AM71" s="156"/>
      <c r="AN71" s="156"/>
      <c r="AO71" s="156"/>
      <c r="AP71" s="156"/>
      <c r="AQ71" s="156"/>
      <c r="AR71" s="156"/>
      <c r="AS71" s="156"/>
      <c r="AT71" s="156"/>
      <c r="AU71" s="156"/>
      <c r="AV71" s="156"/>
      <c r="AW71" s="156"/>
      <c r="AX71" s="156"/>
      <c r="AY71" s="156"/>
      <c r="AZ71" s="156"/>
      <c r="BA71" s="156"/>
    </row>
    <row r="72" spans="1:53" ht="14.45" customHeight="1" x14ac:dyDescent="0.25">
      <c r="A72" s="158" t="s">
        <v>165</v>
      </c>
      <c r="B72" s="156"/>
      <c r="C72" s="159">
        <v>0</v>
      </c>
      <c r="D72" s="156"/>
      <c r="E72" s="156"/>
      <c r="F72" s="159">
        <v>0</v>
      </c>
      <c r="G72" s="156"/>
      <c r="H72" s="156"/>
      <c r="I72" s="159">
        <v>0</v>
      </c>
      <c r="J72" s="156"/>
      <c r="K72" s="156"/>
      <c r="L72" s="159">
        <v>0</v>
      </c>
      <c r="M72" s="156"/>
      <c r="N72" s="156"/>
      <c r="O72" s="159">
        <v>0</v>
      </c>
      <c r="P72" s="156"/>
      <c r="Q72" s="156"/>
      <c r="R72" s="156"/>
      <c r="S72" s="156"/>
      <c r="T72" s="159">
        <v>0</v>
      </c>
      <c r="U72" s="156"/>
      <c r="V72" s="156"/>
      <c r="W72" s="159">
        <v>0</v>
      </c>
      <c r="X72" s="156"/>
      <c r="Y72" s="156"/>
      <c r="Z72" s="159">
        <v>0</v>
      </c>
      <c r="AA72" s="156"/>
      <c r="AB72" s="156"/>
      <c r="AC72" s="159">
        <v>0</v>
      </c>
      <c r="AD72" s="156"/>
      <c r="AE72" s="156"/>
      <c r="AF72" s="159">
        <v>0</v>
      </c>
      <c r="AG72" s="156"/>
      <c r="AH72" s="156"/>
      <c r="AI72" s="159">
        <v>0</v>
      </c>
      <c r="AJ72" s="156"/>
      <c r="AK72" s="156"/>
      <c r="AL72" s="157" t="s">
        <v>28</v>
      </c>
      <c r="AM72" s="156"/>
      <c r="AN72" s="156"/>
      <c r="AO72" s="157" t="s">
        <v>28</v>
      </c>
      <c r="AP72" s="156"/>
      <c r="AQ72" s="156"/>
      <c r="AR72" s="157" t="s">
        <v>28</v>
      </c>
      <c r="AS72" s="156"/>
      <c r="AT72" s="156"/>
      <c r="AU72" s="157" t="s">
        <v>28</v>
      </c>
      <c r="AV72" s="156"/>
      <c r="AW72" s="156"/>
      <c r="AX72" s="157" t="s">
        <v>28</v>
      </c>
      <c r="AY72" s="156"/>
      <c r="AZ72" s="156"/>
      <c r="BA72" s="156"/>
    </row>
    <row r="73" spans="1:53" ht="27.6" customHeight="1" x14ac:dyDescent="0.25">
      <c r="A73" s="158" t="s">
        <v>166</v>
      </c>
      <c r="B73" s="156"/>
      <c r="C73" s="157" t="s">
        <v>28</v>
      </c>
      <c r="D73" s="156"/>
      <c r="E73" s="156"/>
      <c r="F73" s="157" t="s">
        <v>28</v>
      </c>
      <c r="G73" s="156"/>
      <c r="H73" s="156"/>
      <c r="I73" s="157" t="s">
        <v>28</v>
      </c>
      <c r="J73" s="156"/>
      <c r="K73" s="156"/>
      <c r="L73" s="157" t="s">
        <v>28</v>
      </c>
      <c r="M73" s="156"/>
      <c r="N73" s="156"/>
      <c r="O73" s="157" t="s">
        <v>28</v>
      </c>
      <c r="P73" s="156"/>
      <c r="Q73" s="156"/>
      <c r="R73" s="156"/>
      <c r="S73" s="156"/>
      <c r="T73" s="157" t="s">
        <v>28</v>
      </c>
      <c r="U73" s="156"/>
      <c r="V73" s="156"/>
      <c r="W73" s="157" t="s">
        <v>28</v>
      </c>
      <c r="X73" s="156"/>
      <c r="Y73" s="156"/>
      <c r="Z73" s="157" t="s">
        <v>28</v>
      </c>
      <c r="AA73" s="156"/>
      <c r="AB73" s="156"/>
      <c r="AC73" s="157" t="s">
        <v>28</v>
      </c>
      <c r="AD73" s="156"/>
      <c r="AE73" s="156"/>
      <c r="AF73" s="157" t="s">
        <v>28</v>
      </c>
      <c r="AG73" s="156"/>
      <c r="AH73" s="156"/>
      <c r="AI73" s="157" t="s">
        <v>28</v>
      </c>
      <c r="AJ73" s="156"/>
      <c r="AK73" s="156"/>
      <c r="AL73" s="157" t="s">
        <v>28</v>
      </c>
      <c r="AM73" s="156"/>
      <c r="AN73" s="156"/>
      <c r="AO73" s="157" t="s">
        <v>28</v>
      </c>
      <c r="AP73" s="156"/>
      <c r="AQ73" s="156"/>
      <c r="AR73" s="157" t="s">
        <v>28</v>
      </c>
      <c r="AS73" s="156"/>
      <c r="AT73" s="156"/>
      <c r="AU73" s="157" t="s">
        <v>28</v>
      </c>
      <c r="AV73" s="156"/>
      <c r="AW73" s="156"/>
      <c r="AX73" s="157" t="s">
        <v>28</v>
      </c>
      <c r="AY73" s="156"/>
      <c r="AZ73" s="156"/>
      <c r="BA73" s="156"/>
    </row>
    <row r="74" spans="1:53" ht="14.45" customHeight="1" x14ac:dyDescent="0.25">
      <c r="A74" s="158" t="s">
        <v>167</v>
      </c>
      <c r="B74" s="156"/>
      <c r="C74" s="159">
        <v>0</v>
      </c>
      <c r="D74" s="156"/>
      <c r="E74" s="156"/>
      <c r="F74" s="159">
        <v>0</v>
      </c>
      <c r="G74" s="156"/>
      <c r="H74" s="156"/>
      <c r="I74" s="159">
        <v>0</v>
      </c>
      <c r="J74" s="156"/>
      <c r="K74" s="156"/>
      <c r="L74" s="159">
        <v>0</v>
      </c>
      <c r="M74" s="156"/>
      <c r="N74" s="156"/>
      <c r="O74" s="159">
        <v>0</v>
      </c>
      <c r="P74" s="156"/>
      <c r="Q74" s="156"/>
      <c r="R74" s="156"/>
      <c r="S74" s="156"/>
      <c r="T74" s="159">
        <v>0</v>
      </c>
      <c r="U74" s="156"/>
      <c r="V74" s="156"/>
      <c r="W74" s="159">
        <v>0</v>
      </c>
      <c r="X74" s="156"/>
      <c r="Y74" s="156"/>
      <c r="Z74" s="159">
        <v>0</v>
      </c>
      <c r="AA74" s="156"/>
      <c r="AB74" s="156"/>
      <c r="AC74" s="159">
        <v>0</v>
      </c>
      <c r="AD74" s="156"/>
      <c r="AE74" s="156"/>
      <c r="AF74" s="159">
        <v>0</v>
      </c>
      <c r="AG74" s="156"/>
      <c r="AH74" s="156"/>
      <c r="AI74" s="159">
        <v>0</v>
      </c>
      <c r="AJ74" s="156"/>
      <c r="AK74" s="156"/>
      <c r="AL74" s="157" t="s">
        <v>28</v>
      </c>
      <c r="AM74" s="156"/>
      <c r="AN74" s="156"/>
      <c r="AO74" s="157" t="s">
        <v>28</v>
      </c>
      <c r="AP74" s="156"/>
      <c r="AQ74" s="156"/>
      <c r="AR74" s="157" t="s">
        <v>28</v>
      </c>
      <c r="AS74" s="156"/>
      <c r="AT74" s="156"/>
      <c r="AU74" s="157" t="s">
        <v>28</v>
      </c>
      <c r="AV74" s="156"/>
      <c r="AW74" s="156"/>
      <c r="AX74" s="157" t="s">
        <v>28</v>
      </c>
      <c r="AY74" s="156"/>
      <c r="AZ74" s="156"/>
      <c r="BA74" s="156"/>
    </row>
    <row r="75" spans="1:53" ht="14.45" customHeight="1" x14ac:dyDescent="0.25">
      <c r="A75" s="156"/>
      <c r="B75" s="156"/>
      <c r="C75" s="156"/>
      <c r="D75" s="156"/>
      <c r="E75" s="156"/>
      <c r="F75" s="156"/>
      <c r="G75" s="156"/>
      <c r="H75" s="156"/>
      <c r="I75" s="156"/>
      <c r="J75" s="156"/>
      <c r="K75" s="156"/>
      <c r="L75" s="156"/>
      <c r="M75" s="156"/>
      <c r="N75" s="156"/>
      <c r="O75" s="156"/>
      <c r="P75" s="156"/>
      <c r="Q75" s="156"/>
      <c r="R75" s="156"/>
      <c r="S75" s="156"/>
      <c r="T75" s="156"/>
      <c r="U75" s="156"/>
      <c r="V75" s="156"/>
      <c r="W75" s="156"/>
      <c r="X75" s="156"/>
      <c r="Y75" s="156"/>
      <c r="Z75" s="156"/>
      <c r="AA75" s="156"/>
      <c r="AB75" s="156"/>
      <c r="AC75" s="156"/>
      <c r="AD75" s="156"/>
      <c r="AE75" s="156"/>
      <c r="AF75" s="156"/>
      <c r="AG75" s="156"/>
      <c r="AH75" s="156"/>
      <c r="AI75" s="156"/>
      <c r="AJ75" s="156"/>
      <c r="AK75" s="156"/>
      <c r="AL75" s="156"/>
      <c r="AM75" s="156"/>
      <c r="AN75" s="156"/>
      <c r="AO75" s="156"/>
      <c r="AP75" s="156"/>
      <c r="AQ75" s="156"/>
      <c r="AR75" s="156"/>
      <c r="AS75" s="156"/>
      <c r="AT75" s="156"/>
      <c r="AU75" s="156"/>
      <c r="AV75" s="156"/>
      <c r="AW75" s="156"/>
      <c r="AX75" s="156"/>
      <c r="AY75" s="156"/>
      <c r="AZ75" s="156"/>
      <c r="BA75" s="156"/>
    </row>
    <row r="76" spans="1:53" ht="14.45" customHeight="1" x14ac:dyDescent="0.25">
      <c r="A76" s="163" t="s">
        <v>59</v>
      </c>
      <c r="B76" s="156"/>
      <c r="C76" s="156"/>
      <c r="D76" s="156"/>
      <c r="E76" s="156"/>
      <c r="F76" s="156"/>
      <c r="G76" s="156"/>
      <c r="H76" s="156"/>
      <c r="I76" s="156"/>
      <c r="J76" s="156"/>
      <c r="K76" s="156"/>
      <c r="L76" s="156"/>
      <c r="M76" s="156"/>
      <c r="N76" s="156"/>
      <c r="O76" s="156"/>
      <c r="P76" s="156"/>
      <c r="Q76" s="156"/>
      <c r="R76" s="156"/>
      <c r="S76" s="156"/>
      <c r="T76" s="156"/>
      <c r="U76" s="156"/>
      <c r="V76" s="156"/>
      <c r="W76" s="156"/>
      <c r="X76" s="156"/>
      <c r="Y76" s="156"/>
      <c r="Z76" s="156"/>
      <c r="AA76" s="156"/>
      <c r="AB76" s="156"/>
      <c r="AC76" s="156"/>
      <c r="AD76" s="156"/>
      <c r="AE76" s="156"/>
      <c r="AF76" s="156"/>
      <c r="AG76" s="156"/>
      <c r="AH76" s="156"/>
      <c r="AI76" s="156"/>
      <c r="AJ76" s="156"/>
      <c r="AK76" s="156"/>
      <c r="AL76" s="156"/>
      <c r="AM76" s="156"/>
      <c r="AN76" s="156"/>
      <c r="AO76" s="156"/>
      <c r="AP76" s="156"/>
      <c r="AQ76" s="156"/>
      <c r="AR76" s="156"/>
      <c r="AS76" s="156"/>
      <c r="AT76" s="156"/>
      <c r="AU76" s="156"/>
      <c r="AV76" s="156"/>
      <c r="AW76" s="156"/>
      <c r="AX76" s="156"/>
      <c r="AY76" s="156"/>
      <c r="AZ76" s="156"/>
      <c r="BA76" s="156"/>
    </row>
    <row r="77" spans="1:53" ht="14.45" customHeight="1" x14ac:dyDescent="0.25">
      <c r="A77" s="158" t="s">
        <v>168</v>
      </c>
      <c r="B77" s="156"/>
      <c r="C77" s="157" t="s">
        <v>28</v>
      </c>
      <c r="D77" s="156"/>
      <c r="E77" s="156"/>
      <c r="F77" s="157" t="s">
        <v>28</v>
      </c>
      <c r="G77" s="156"/>
      <c r="H77" s="156"/>
      <c r="I77" s="157" t="s">
        <v>28</v>
      </c>
      <c r="J77" s="156"/>
      <c r="K77" s="156"/>
      <c r="L77" s="157" t="s">
        <v>28</v>
      </c>
      <c r="M77" s="156"/>
      <c r="N77" s="156"/>
      <c r="O77" s="157" t="s">
        <v>28</v>
      </c>
      <c r="P77" s="156"/>
      <c r="Q77" s="156"/>
      <c r="R77" s="156"/>
      <c r="S77" s="156"/>
      <c r="T77" s="157" t="s">
        <v>28</v>
      </c>
      <c r="U77" s="156"/>
      <c r="V77" s="156"/>
      <c r="W77" s="157" t="s">
        <v>28</v>
      </c>
      <c r="X77" s="156"/>
      <c r="Y77" s="156"/>
      <c r="Z77" s="157" t="s">
        <v>28</v>
      </c>
      <c r="AA77" s="156"/>
      <c r="AB77" s="156"/>
      <c r="AC77" s="157" t="s">
        <v>28</v>
      </c>
      <c r="AD77" s="156"/>
      <c r="AE77" s="156"/>
      <c r="AF77" s="157" t="s">
        <v>28</v>
      </c>
      <c r="AG77" s="156"/>
      <c r="AH77" s="156"/>
      <c r="AI77" s="157" t="s">
        <v>28</v>
      </c>
      <c r="AJ77" s="156"/>
      <c r="AK77" s="156"/>
      <c r="AL77" s="157" t="s">
        <v>28</v>
      </c>
      <c r="AM77" s="156"/>
      <c r="AN77" s="156"/>
      <c r="AO77" s="157" t="s">
        <v>28</v>
      </c>
      <c r="AP77" s="156"/>
      <c r="AQ77" s="156"/>
      <c r="AR77" s="157" t="s">
        <v>28</v>
      </c>
      <c r="AS77" s="156"/>
      <c r="AT77" s="156"/>
      <c r="AU77" s="157" t="s">
        <v>28</v>
      </c>
      <c r="AV77" s="156"/>
      <c r="AW77" s="156"/>
      <c r="AX77" s="157" t="s">
        <v>28</v>
      </c>
      <c r="AY77" s="156"/>
      <c r="AZ77" s="156"/>
      <c r="BA77" s="156"/>
    </row>
    <row r="78" spans="1:53" ht="14.45" customHeight="1" x14ac:dyDescent="0.25">
      <c r="A78" s="158" t="s">
        <v>169</v>
      </c>
      <c r="B78" s="156"/>
      <c r="C78" s="159">
        <v>0</v>
      </c>
      <c r="D78" s="156"/>
      <c r="E78" s="156"/>
      <c r="F78" s="159">
        <v>0</v>
      </c>
      <c r="G78" s="156"/>
      <c r="H78" s="156"/>
      <c r="I78" s="159">
        <v>0</v>
      </c>
      <c r="J78" s="156"/>
      <c r="K78" s="156"/>
      <c r="L78" s="159">
        <v>0</v>
      </c>
      <c r="M78" s="156"/>
      <c r="N78" s="156"/>
      <c r="O78" s="159">
        <v>0</v>
      </c>
      <c r="P78" s="156"/>
      <c r="Q78" s="156"/>
      <c r="R78" s="156"/>
      <c r="S78" s="156"/>
      <c r="T78" s="159">
        <v>0</v>
      </c>
      <c r="U78" s="156"/>
      <c r="V78" s="156"/>
      <c r="W78" s="159">
        <v>0</v>
      </c>
      <c r="X78" s="156"/>
      <c r="Y78" s="156"/>
      <c r="Z78" s="159">
        <v>0</v>
      </c>
      <c r="AA78" s="156"/>
      <c r="AB78" s="156"/>
      <c r="AC78" s="159">
        <v>0</v>
      </c>
      <c r="AD78" s="156"/>
      <c r="AE78" s="156"/>
      <c r="AF78" s="159">
        <v>0</v>
      </c>
      <c r="AG78" s="156"/>
      <c r="AH78" s="156"/>
      <c r="AI78" s="159">
        <v>0</v>
      </c>
      <c r="AJ78" s="156"/>
      <c r="AK78" s="156"/>
      <c r="AL78" s="157" t="s">
        <v>28</v>
      </c>
      <c r="AM78" s="156"/>
      <c r="AN78" s="156"/>
      <c r="AO78" s="157" t="s">
        <v>28</v>
      </c>
      <c r="AP78" s="156"/>
      <c r="AQ78" s="156"/>
      <c r="AR78" s="157" t="s">
        <v>28</v>
      </c>
      <c r="AS78" s="156"/>
      <c r="AT78" s="156"/>
      <c r="AU78" s="157" t="s">
        <v>28</v>
      </c>
      <c r="AV78" s="156"/>
      <c r="AW78" s="156"/>
      <c r="AX78" s="157" t="s">
        <v>28</v>
      </c>
      <c r="AY78" s="156"/>
      <c r="AZ78" s="156"/>
      <c r="BA78" s="156"/>
    </row>
    <row r="79" spans="1:53" ht="14.45" customHeight="1" x14ac:dyDescent="0.25">
      <c r="A79" s="158" t="s">
        <v>170</v>
      </c>
      <c r="B79" s="156"/>
      <c r="C79" s="159">
        <v>0</v>
      </c>
      <c r="D79" s="156"/>
      <c r="E79" s="156"/>
      <c r="F79" s="159">
        <v>0</v>
      </c>
      <c r="G79" s="156"/>
      <c r="H79" s="156"/>
      <c r="I79" s="159">
        <v>0</v>
      </c>
      <c r="J79" s="156"/>
      <c r="K79" s="156"/>
      <c r="L79" s="159">
        <v>0</v>
      </c>
      <c r="M79" s="156"/>
      <c r="N79" s="156"/>
      <c r="O79" s="159">
        <v>0</v>
      </c>
      <c r="P79" s="156"/>
      <c r="Q79" s="156"/>
      <c r="R79" s="156"/>
      <c r="S79" s="156"/>
      <c r="T79" s="159">
        <v>0</v>
      </c>
      <c r="U79" s="156"/>
      <c r="V79" s="156"/>
      <c r="W79" s="159">
        <v>0</v>
      </c>
      <c r="X79" s="156"/>
      <c r="Y79" s="156"/>
      <c r="Z79" s="159">
        <v>0</v>
      </c>
      <c r="AA79" s="156"/>
      <c r="AB79" s="156"/>
      <c r="AC79" s="159">
        <v>0</v>
      </c>
      <c r="AD79" s="156"/>
      <c r="AE79" s="156"/>
      <c r="AF79" s="159">
        <v>0</v>
      </c>
      <c r="AG79" s="156"/>
      <c r="AH79" s="156"/>
      <c r="AI79" s="159">
        <v>0</v>
      </c>
      <c r="AJ79" s="156"/>
      <c r="AK79" s="156"/>
      <c r="AL79" s="157" t="s">
        <v>28</v>
      </c>
      <c r="AM79" s="156"/>
      <c r="AN79" s="156"/>
      <c r="AO79" s="157" t="s">
        <v>28</v>
      </c>
      <c r="AP79" s="156"/>
      <c r="AQ79" s="156"/>
      <c r="AR79" s="157" t="s">
        <v>28</v>
      </c>
      <c r="AS79" s="156"/>
      <c r="AT79" s="156"/>
      <c r="AU79" s="157" t="s">
        <v>28</v>
      </c>
      <c r="AV79" s="156"/>
      <c r="AW79" s="156"/>
      <c r="AX79" s="157" t="s">
        <v>28</v>
      </c>
      <c r="AY79" s="156"/>
      <c r="AZ79" s="156"/>
      <c r="BA79" s="156"/>
    </row>
    <row r="80" spans="1:53" ht="14.45" customHeight="1" x14ac:dyDescent="0.25">
      <c r="A80" s="158" t="s">
        <v>171</v>
      </c>
      <c r="B80" s="156"/>
      <c r="C80" s="157" t="s">
        <v>28</v>
      </c>
      <c r="D80" s="156"/>
      <c r="E80" s="156"/>
      <c r="F80" s="157" t="s">
        <v>28</v>
      </c>
      <c r="G80" s="156"/>
      <c r="H80" s="156"/>
      <c r="I80" s="157" t="s">
        <v>28</v>
      </c>
      <c r="J80" s="156"/>
      <c r="K80" s="156"/>
      <c r="L80" s="157" t="s">
        <v>28</v>
      </c>
      <c r="M80" s="156"/>
      <c r="N80" s="156"/>
      <c r="O80" s="157" t="s">
        <v>28</v>
      </c>
      <c r="P80" s="156"/>
      <c r="Q80" s="156"/>
      <c r="R80" s="156"/>
      <c r="S80" s="156"/>
      <c r="T80" s="157" t="s">
        <v>28</v>
      </c>
      <c r="U80" s="156"/>
      <c r="V80" s="156"/>
      <c r="W80" s="157" t="s">
        <v>28</v>
      </c>
      <c r="X80" s="156"/>
      <c r="Y80" s="156"/>
      <c r="Z80" s="157" t="s">
        <v>28</v>
      </c>
      <c r="AA80" s="156"/>
      <c r="AB80" s="156"/>
      <c r="AC80" s="157" t="s">
        <v>28</v>
      </c>
      <c r="AD80" s="156"/>
      <c r="AE80" s="156"/>
      <c r="AF80" s="157" t="s">
        <v>28</v>
      </c>
      <c r="AG80" s="156"/>
      <c r="AH80" s="156"/>
      <c r="AI80" s="157" t="s">
        <v>28</v>
      </c>
      <c r="AJ80" s="156"/>
      <c r="AK80" s="156"/>
      <c r="AL80" s="157" t="s">
        <v>28</v>
      </c>
      <c r="AM80" s="156"/>
      <c r="AN80" s="156"/>
      <c r="AO80" s="157" t="s">
        <v>28</v>
      </c>
      <c r="AP80" s="156"/>
      <c r="AQ80" s="156"/>
      <c r="AR80" s="157" t="s">
        <v>28</v>
      </c>
      <c r="AS80" s="156"/>
      <c r="AT80" s="156"/>
      <c r="AU80" s="157" t="s">
        <v>28</v>
      </c>
      <c r="AV80" s="156"/>
      <c r="AW80" s="156"/>
      <c r="AX80" s="157" t="s">
        <v>28</v>
      </c>
      <c r="AY80" s="156"/>
      <c r="AZ80" s="156"/>
      <c r="BA80" s="156"/>
    </row>
    <row r="81" spans="1:53" ht="14.45" customHeight="1" x14ac:dyDescent="0.25">
      <c r="A81" s="158" t="s">
        <v>172</v>
      </c>
      <c r="B81" s="156"/>
      <c r="C81" s="157" t="s">
        <v>28</v>
      </c>
      <c r="D81" s="156"/>
      <c r="E81" s="156"/>
      <c r="F81" s="157" t="s">
        <v>28</v>
      </c>
      <c r="G81" s="156"/>
      <c r="H81" s="156"/>
      <c r="I81" s="157" t="s">
        <v>28</v>
      </c>
      <c r="J81" s="156"/>
      <c r="K81" s="156"/>
      <c r="L81" s="157" t="s">
        <v>28</v>
      </c>
      <c r="M81" s="156"/>
      <c r="N81" s="156"/>
      <c r="O81" s="157" t="s">
        <v>28</v>
      </c>
      <c r="P81" s="156"/>
      <c r="Q81" s="156"/>
      <c r="R81" s="156"/>
      <c r="S81" s="156"/>
      <c r="T81" s="157" t="s">
        <v>28</v>
      </c>
      <c r="U81" s="156"/>
      <c r="V81" s="156"/>
      <c r="W81" s="157" t="s">
        <v>28</v>
      </c>
      <c r="X81" s="156"/>
      <c r="Y81" s="156"/>
      <c r="Z81" s="157" t="s">
        <v>28</v>
      </c>
      <c r="AA81" s="156"/>
      <c r="AB81" s="156"/>
      <c r="AC81" s="157" t="s">
        <v>28</v>
      </c>
      <c r="AD81" s="156"/>
      <c r="AE81" s="156"/>
      <c r="AF81" s="157" t="s">
        <v>28</v>
      </c>
      <c r="AG81" s="156"/>
      <c r="AH81" s="156"/>
      <c r="AI81" s="157" t="s">
        <v>28</v>
      </c>
      <c r="AJ81" s="156"/>
      <c r="AK81" s="156"/>
      <c r="AL81" s="157" t="s">
        <v>28</v>
      </c>
      <c r="AM81" s="156"/>
      <c r="AN81" s="156"/>
      <c r="AO81" s="157" t="s">
        <v>28</v>
      </c>
      <c r="AP81" s="156"/>
      <c r="AQ81" s="156"/>
      <c r="AR81" s="157" t="s">
        <v>28</v>
      </c>
      <c r="AS81" s="156"/>
      <c r="AT81" s="156"/>
      <c r="AU81" s="157" t="s">
        <v>28</v>
      </c>
      <c r="AV81" s="156"/>
      <c r="AW81" s="156"/>
      <c r="AX81" s="157" t="s">
        <v>28</v>
      </c>
      <c r="AY81" s="156"/>
      <c r="AZ81" s="156"/>
      <c r="BA81" s="156"/>
    </row>
    <row r="82" spans="1:53" ht="14.45" customHeight="1" x14ac:dyDescent="0.25">
      <c r="A82" s="158" t="s">
        <v>173</v>
      </c>
      <c r="B82" s="156"/>
      <c r="C82" s="157" t="s">
        <v>28</v>
      </c>
      <c r="D82" s="156"/>
      <c r="E82" s="156"/>
      <c r="F82" s="157" t="s">
        <v>28</v>
      </c>
      <c r="G82" s="156"/>
      <c r="H82" s="156"/>
      <c r="I82" s="157" t="s">
        <v>28</v>
      </c>
      <c r="J82" s="156"/>
      <c r="K82" s="156"/>
      <c r="L82" s="157" t="s">
        <v>28</v>
      </c>
      <c r="M82" s="156"/>
      <c r="N82" s="156"/>
      <c r="O82" s="157" t="s">
        <v>28</v>
      </c>
      <c r="P82" s="156"/>
      <c r="Q82" s="156"/>
      <c r="R82" s="156"/>
      <c r="S82" s="156"/>
      <c r="T82" s="157" t="s">
        <v>28</v>
      </c>
      <c r="U82" s="156"/>
      <c r="V82" s="156"/>
      <c r="W82" s="157" t="s">
        <v>28</v>
      </c>
      <c r="X82" s="156"/>
      <c r="Y82" s="156"/>
      <c r="Z82" s="157" t="s">
        <v>28</v>
      </c>
      <c r="AA82" s="156"/>
      <c r="AB82" s="156"/>
      <c r="AC82" s="157" t="s">
        <v>28</v>
      </c>
      <c r="AD82" s="156"/>
      <c r="AE82" s="156"/>
      <c r="AF82" s="157" t="s">
        <v>28</v>
      </c>
      <c r="AG82" s="156"/>
      <c r="AH82" s="156"/>
      <c r="AI82" s="157" t="s">
        <v>28</v>
      </c>
      <c r="AJ82" s="156"/>
      <c r="AK82" s="156"/>
      <c r="AL82" s="157" t="s">
        <v>28</v>
      </c>
      <c r="AM82" s="156"/>
      <c r="AN82" s="156"/>
      <c r="AO82" s="157" t="s">
        <v>28</v>
      </c>
      <c r="AP82" s="156"/>
      <c r="AQ82" s="156"/>
      <c r="AR82" s="157" t="s">
        <v>28</v>
      </c>
      <c r="AS82" s="156"/>
      <c r="AT82" s="156"/>
      <c r="AU82" s="157" t="s">
        <v>28</v>
      </c>
      <c r="AV82" s="156"/>
      <c r="AW82" s="156"/>
      <c r="AX82" s="157" t="s">
        <v>28</v>
      </c>
      <c r="AY82" s="156"/>
      <c r="AZ82" s="156"/>
      <c r="BA82" s="156"/>
    </row>
    <row r="83" spans="1:53" ht="14.45" customHeight="1" x14ac:dyDescent="0.25">
      <c r="A83" s="156"/>
      <c r="B83" s="156"/>
      <c r="C83" s="156"/>
      <c r="D83" s="156"/>
      <c r="E83" s="156"/>
      <c r="F83" s="156"/>
      <c r="G83" s="156"/>
      <c r="H83" s="156"/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  <c r="AB83" s="156"/>
      <c r="AC83" s="156"/>
      <c r="AD83" s="156"/>
      <c r="AE83" s="156"/>
      <c r="AF83" s="156"/>
      <c r="AG83" s="156"/>
      <c r="AH83" s="156"/>
      <c r="AI83" s="156"/>
      <c r="AJ83" s="156"/>
      <c r="AK83" s="156"/>
      <c r="AL83" s="156"/>
      <c r="AM83" s="156"/>
      <c r="AN83" s="156"/>
      <c r="AO83" s="156"/>
      <c r="AP83" s="156"/>
      <c r="AQ83" s="156"/>
      <c r="AR83" s="156"/>
      <c r="AS83" s="156"/>
      <c r="AT83" s="156"/>
      <c r="AU83" s="156"/>
      <c r="AV83" s="156"/>
      <c r="AW83" s="156"/>
      <c r="AX83" s="156"/>
      <c r="AY83" s="156"/>
      <c r="AZ83" s="156"/>
      <c r="BA83" s="156"/>
    </row>
    <row r="84" spans="1:53" ht="14.45" customHeight="1" x14ac:dyDescent="0.25">
      <c r="A84" s="163" t="s">
        <v>79</v>
      </c>
      <c r="B84" s="156"/>
      <c r="C84" s="156"/>
      <c r="D84" s="156"/>
      <c r="E84" s="156"/>
      <c r="F84" s="156"/>
      <c r="G84" s="156"/>
      <c r="H84" s="156"/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  <c r="AB84" s="156"/>
      <c r="AC84" s="156"/>
      <c r="AD84" s="156"/>
      <c r="AE84" s="156"/>
      <c r="AF84" s="156"/>
      <c r="AG84" s="156"/>
      <c r="AH84" s="156"/>
      <c r="AI84" s="156"/>
      <c r="AJ84" s="156"/>
      <c r="AK84" s="156"/>
      <c r="AL84" s="156"/>
      <c r="AM84" s="156"/>
      <c r="AN84" s="156"/>
      <c r="AO84" s="156"/>
      <c r="AP84" s="156"/>
      <c r="AQ84" s="156"/>
      <c r="AR84" s="156"/>
      <c r="AS84" s="156"/>
      <c r="AT84" s="156"/>
      <c r="AU84" s="156"/>
      <c r="AV84" s="156"/>
      <c r="AW84" s="156"/>
      <c r="AX84" s="156"/>
      <c r="AY84" s="156"/>
      <c r="AZ84" s="156"/>
      <c r="BA84" s="156"/>
    </row>
    <row r="85" spans="1:53" ht="14.45" customHeight="1" x14ac:dyDescent="0.25">
      <c r="A85" s="158" t="s">
        <v>174</v>
      </c>
      <c r="B85" s="156"/>
      <c r="C85" s="157" t="s">
        <v>28</v>
      </c>
      <c r="D85" s="156"/>
      <c r="E85" s="156"/>
      <c r="F85" s="157" t="s">
        <v>28</v>
      </c>
      <c r="G85" s="156"/>
      <c r="H85" s="156"/>
      <c r="I85" s="157" t="s">
        <v>28</v>
      </c>
      <c r="J85" s="156"/>
      <c r="K85" s="156"/>
      <c r="L85" s="157" t="s">
        <v>28</v>
      </c>
      <c r="M85" s="156"/>
      <c r="N85" s="156"/>
      <c r="O85" s="157" t="s">
        <v>28</v>
      </c>
      <c r="P85" s="156"/>
      <c r="Q85" s="156"/>
      <c r="R85" s="156"/>
      <c r="S85" s="156"/>
      <c r="T85" s="157" t="s">
        <v>28</v>
      </c>
      <c r="U85" s="156"/>
      <c r="V85" s="156"/>
      <c r="W85" s="157" t="s">
        <v>28</v>
      </c>
      <c r="X85" s="156"/>
      <c r="Y85" s="156"/>
      <c r="Z85" s="157" t="s">
        <v>28</v>
      </c>
      <c r="AA85" s="156"/>
      <c r="AB85" s="156"/>
      <c r="AC85" s="157" t="s">
        <v>28</v>
      </c>
      <c r="AD85" s="156"/>
      <c r="AE85" s="156"/>
      <c r="AF85" s="157" t="s">
        <v>28</v>
      </c>
      <c r="AG85" s="156"/>
      <c r="AH85" s="156"/>
      <c r="AI85" s="157" t="s">
        <v>28</v>
      </c>
      <c r="AJ85" s="156"/>
      <c r="AK85" s="156"/>
      <c r="AL85" s="157" t="s">
        <v>28</v>
      </c>
      <c r="AM85" s="156"/>
      <c r="AN85" s="156"/>
      <c r="AO85" s="157" t="s">
        <v>28</v>
      </c>
      <c r="AP85" s="156"/>
      <c r="AQ85" s="156"/>
      <c r="AR85" s="157" t="s">
        <v>28</v>
      </c>
      <c r="AS85" s="156"/>
      <c r="AT85" s="156"/>
      <c r="AU85" s="157" t="s">
        <v>28</v>
      </c>
      <c r="AV85" s="156"/>
      <c r="AW85" s="156"/>
      <c r="AX85" s="157" t="s">
        <v>28</v>
      </c>
      <c r="AY85" s="156"/>
      <c r="AZ85" s="156"/>
      <c r="BA85" s="156"/>
    </row>
    <row r="86" spans="1:53" ht="14.45" customHeight="1" x14ac:dyDescent="0.25">
      <c r="A86" s="158" t="s">
        <v>175</v>
      </c>
      <c r="B86" s="156"/>
      <c r="C86" s="159">
        <v>649576.34</v>
      </c>
      <c r="D86" s="156"/>
      <c r="E86" s="156"/>
      <c r="F86" s="159">
        <v>156024.34</v>
      </c>
      <c r="G86" s="156"/>
      <c r="H86" s="156"/>
      <c r="I86" s="159">
        <v>145506.68</v>
      </c>
      <c r="J86" s="156"/>
      <c r="K86" s="156"/>
      <c r="L86" s="159">
        <v>109374.05</v>
      </c>
      <c r="M86" s="156"/>
      <c r="N86" s="156"/>
      <c r="O86" s="159">
        <v>199053.28</v>
      </c>
      <c r="P86" s="156"/>
      <c r="Q86" s="156"/>
      <c r="R86" s="156"/>
      <c r="S86" s="156"/>
      <c r="T86" s="159">
        <v>151853.45000000001</v>
      </c>
      <c r="U86" s="156"/>
      <c r="V86" s="156"/>
      <c r="W86" s="159">
        <v>131840.44</v>
      </c>
      <c r="X86" s="156"/>
      <c r="Y86" s="156"/>
      <c r="Z86" s="159">
        <v>157527</v>
      </c>
      <c r="AA86" s="156"/>
      <c r="AB86" s="156"/>
      <c r="AC86" s="159">
        <v>131718.26</v>
      </c>
      <c r="AD86" s="156"/>
      <c r="AE86" s="156"/>
      <c r="AF86" s="159">
        <v>115010.31</v>
      </c>
      <c r="AG86" s="156"/>
      <c r="AH86" s="156"/>
      <c r="AI86" s="159">
        <v>114063.93</v>
      </c>
      <c r="AJ86" s="156"/>
      <c r="AK86" s="156"/>
      <c r="AL86" s="157" t="s">
        <v>28</v>
      </c>
      <c r="AM86" s="156"/>
      <c r="AN86" s="156"/>
      <c r="AO86" s="157" t="s">
        <v>28</v>
      </c>
      <c r="AP86" s="156"/>
      <c r="AQ86" s="156"/>
      <c r="AR86" s="157" t="s">
        <v>28</v>
      </c>
      <c r="AS86" s="156"/>
      <c r="AT86" s="156"/>
      <c r="AU86" s="157" t="s">
        <v>28</v>
      </c>
      <c r="AV86" s="156"/>
      <c r="AW86" s="156"/>
      <c r="AX86" s="157" t="s">
        <v>28</v>
      </c>
      <c r="AY86" s="156"/>
      <c r="AZ86" s="156"/>
      <c r="BA86" s="156"/>
    </row>
    <row r="87" spans="1:53" ht="14.45" customHeight="1" x14ac:dyDescent="0.25">
      <c r="A87" s="158" t="s">
        <v>176</v>
      </c>
      <c r="B87" s="156"/>
      <c r="C87" s="159">
        <v>0</v>
      </c>
      <c r="D87" s="156"/>
      <c r="E87" s="156"/>
      <c r="F87" s="159">
        <v>0</v>
      </c>
      <c r="G87" s="156"/>
      <c r="H87" s="156"/>
      <c r="I87" s="159">
        <v>0</v>
      </c>
      <c r="J87" s="156"/>
      <c r="K87" s="156"/>
      <c r="L87" s="159">
        <v>0</v>
      </c>
      <c r="M87" s="156"/>
      <c r="N87" s="156"/>
      <c r="O87" s="159">
        <v>0</v>
      </c>
      <c r="P87" s="156"/>
      <c r="Q87" s="156"/>
      <c r="R87" s="156"/>
      <c r="S87" s="156"/>
      <c r="T87" s="159">
        <v>0</v>
      </c>
      <c r="U87" s="156"/>
      <c r="V87" s="156"/>
      <c r="W87" s="159">
        <v>0</v>
      </c>
      <c r="X87" s="156"/>
      <c r="Y87" s="156"/>
      <c r="Z87" s="159">
        <v>0</v>
      </c>
      <c r="AA87" s="156"/>
      <c r="AB87" s="156"/>
      <c r="AC87" s="159">
        <v>0</v>
      </c>
      <c r="AD87" s="156"/>
      <c r="AE87" s="156"/>
      <c r="AF87" s="159">
        <v>0</v>
      </c>
      <c r="AG87" s="156"/>
      <c r="AH87" s="156"/>
      <c r="AI87" s="159">
        <v>0</v>
      </c>
      <c r="AJ87" s="156"/>
      <c r="AK87" s="156"/>
      <c r="AL87" s="157" t="s">
        <v>28</v>
      </c>
      <c r="AM87" s="156"/>
      <c r="AN87" s="156"/>
      <c r="AO87" s="157" t="s">
        <v>28</v>
      </c>
      <c r="AP87" s="156"/>
      <c r="AQ87" s="156"/>
      <c r="AR87" s="157" t="s">
        <v>28</v>
      </c>
      <c r="AS87" s="156"/>
      <c r="AT87" s="156"/>
      <c r="AU87" s="157" t="s">
        <v>28</v>
      </c>
      <c r="AV87" s="156"/>
      <c r="AW87" s="156"/>
      <c r="AX87" s="157" t="s">
        <v>28</v>
      </c>
      <c r="AY87" s="156"/>
      <c r="AZ87" s="156"/>
      <c r="BA87" s="156"/>
    </row>
    <row r="88" spans="1:53" ht="14.45" customHeight="1" x14ac:dyDescent="0.25">
      <c r="A88" s="156"/>
      <c r="B88" s="156"/>
      <c r="C88" s="156"/>
      <c r="D88" s="156"/>
      <c r="E88" s="156"/>
      <c r="F88" s="156"/>
      <c r="G88" s="156"/>
      <c r="H88" s="156"/>
      <c r="I88" s="156"/>
      <c r="J88" s="156"/>
      <c r="K88" s="156"/>
      <c r="L88" s="156"/>
      <c r="M88" s="156"/>
      <c r="N88" s="156"/>
      <c r="O88" s="156"/>
      <c r="P88" s="156"/>
      <c r="Q88" s="156"/>
      <c r="R88" s="156"/>
      <c r="S88" s="156"/>
      <c r="T88" s="156"/>
      <c r="U88" s="156"/>
      <c r="V88" s="156"/>
      <c r="W88" s="156"/>
      <c r="X88" s="156"/>
      <c r="Y88" s="156"/>
      <c r="Z88" s="156"/>
      <c r="AA88" s="156"/>
      <c r="AB88" s="156"/>
      <c r="AC88" s="156"/>
      <c r="AD88" s="156"/>
      <c r="AE88" s="156"/>
      <c r="AF88" s="156"/>
      <c r="AG88" s="156"/>
      <c r="AH88" s="156"/>
      <c r="AI88" s="156"/>
      <c r="AJ88" s="156"/>
      <c r="AK88" s="156"/>
      <c r="AL88" s="156"/>
      <c r="AM88" s="156"/>
      <c r="AN88" s="156"/>
      <c r="AO88" s="156"/>
      <c r="AP88" s="156"/>
      <c r="AQ88" s="156"/>
      <c r="AR88" s="156"/>
      <c r="AS88" s="156"/>
      <c r="AT88" s="156"/>
      <c r="AU88" s="156"/>
      <c r="AV88" s="156"/>
      <c r="AW88" s="156"/>
      <c r="AX88" s="156"/>
      <c r="AY88" s="156"/>
      <c r="AZ88" s="156"/>
      <c r="BA88" s="156"/>
    </row>
    <row r="89" spans="1:53" ht="14.45" customHeight="1" x14ac:dyDescent="0.25">
      <c r="A89" s="163" t="s">
        <v>83</v>
      </c>
      <c r="B89" s="156"/>
      <c r="C89" s="156"/>
      <c r="D89" s="156"/>
      <c r="E89" s="156"/>
      <c r="F89" s="156"/>
      <c r="G89" s="156"/>
      <c r="H89" s="156"/>
      <c r="I89" s="156"/>
      <c r="J89" s="156"/>
      <c r="K89" s="156"/>
      <c r="L89" s="156"/>
      <c r="M89" s="156"/>
      <c r="N89" s="156"/>
      <c r="O89" s="156"/>
      <c r="P89" s="156"/>
      <c r="Q89" s="156"/>
      <c r="R89" s="156"/>
      <c r="S89" s="156"/>
      <c r="T89" s="156"/>
      <c r="U89" s="156"/>
      <c r="V89" s="156"/>
      <c r="W89" s="156"/>
      <c r="X89" s="156"/>
      <c r="Y89" s="156"/>
      <c r="Z89" s="156"/>
      <c r="AA89" s="156"/>
      <c r="AB89" s="156"/>
      <c r="AC89" s="156"/>
      <c r="AD89" s="156"/>
      <c r="AE89" s="156"/>
      <c r="AF89" s="156"/>
      <c r="AG89" s="156"/>
      <c r="AH89" s="156"/>
      <c r="AI89" s="156"/>
      <c r="AJ89" s="156"/>
      <c r="AK89" s="156"/>
      <c r="AL89" s="156"/>
      <c r="AM89" s="156"/>
      <c r="AN89" s="156"/>
      <c r="AO89" s="156"/>
      <c r="AP89" s="156"/>
      <c r="AQ89" s="156"/>
      <c r="AR89" s="156"/>
      <c r="AS89" s="156"/>
      <c r="AT89" s="156"/>
      <c r="AU89" s="156"/>
      <c r="AV89" s="156"/>
      <c r="AW89" s="156"/>
      <c r="AX89" s="156"/>
      <c r="AY89" s="156"/>
      <c r="AZ89" s="156"/>
      <c r="BA89" s="156"/>
    </row>
    <row r="90" spans="1:53" ht="14.45" customHeight="1" x14ac:dyDescent="0.25">
      <c r="A90" s="158" t="s">
        <v>153</v>
      </c>
      <c r="B90" s="156"/>
      <c r="C90" s="159">
        <v>3515.58</v>
      </c>
      <c r="D90" s="156"/>
      <c r="E90" s="156"/>
      <c r="F90" s="159">
        <v>3244.92</v>
      </c>
      <c r="G90" s="156"/>
      <c r="H90" s="156"/>
      <c r="I90" s="159">
        <v>3374.96</v>
      </c>
      <c r="J90" s="156"/>
      <c r="K90" s="156"/>
      <c r="L90" s="159">
        <v>333.29</v>
      </c>
      <c r="M90" s="156"/>
      <c r="N90" s="156"/>
      <c r="O90" s="159">
        <v>2784.55</v>
      </c>
      <c r="P90" s="156"/>
      <c r="Q90" s="156"/>
      <c r="R90" s="156"/>
      <c r="S90" s="156"/>
      <c r="T90" s="159">
        <v>1530.98</v>
      </c>
      <c r="U90" s="156"/>
      <c r="V90" s="156"/>
      <c r="W90" s="159">
        <v>0</v>
      </c>
      <c r="X90" s="156"/>
      <c r="Y90" s="156"/>
      <c r="Z90" s="159">
        <v>1233.3900000000001</v>
      </c>
      <c r="AA90" s="156"/>
      <c r="AB90" s="156"/>
      <c r="AC90" s="159">
        <v>2397.08</v>
      </c>
      <c r="AD90" s="156"/>
      <c r="AE90" s="156"/>
      <c r="AF90" s="159">
        <v>0</v>
      </c>
      <c r="AG90" s="156"/>
      <c r="AH90" s="156"/>
      <c r="AI90" s="159">
        <v>0</v>
      </c>
      <c r="AJ90" s="156"/>
      <c r="AK90" s="156"/>
      <c r="AL90" s="157" t="s">
        <v>28</v>
      </c>
      <c r="AM90" s="156"/>
      <c r="AN90" s="156"/>
      <c r="AO90" s="157" t="s">
        <v>28</v>
      </c>
      <c r="AP90" s="156"/>
      <c r="AQ90" s="156"/>
      <c r="AR90" s="157" t="s">
        <v>28</v>
      </c>
      <c r="AS90" s="156"/>
      <c r="AT90" s="156"/>
      <c r="AU90" s="157" t="s">
        <v>28</v>
      </c>
      <c r="AV90" s="156"/>
      <c r="AW90" s="156"/>
      <c r="AX90" s="157" t="s">
        <v>28</v>
      </c>
      <c r="AY90" s="156"/>
      <c r="AZ90" s="156"/>
      <c r="BA90" s="156"/>
    </row>
    <row r="91" spans="1:53" ht="14.45" customHeight="1" x14ac:dyDescent="0.25">
      <c r="A91" s="158" t="s">
        <v>177</v>
      </c>
      <c r="B91" s="156"/>
      <c r="C91" s="159">
        <v>397342.45</v>
      </c>
      <c r="D91" s="156"/>
      <c r="E91" s="156"/>
      <c r="F91" s="159">
        <v>294533.96000000002</v>
      </c>
      <c r="G91" s="156"/>
      <c r="H91" s="156"/>
      <c r="I91" s="159">
        <v>288037.55</v>
      </c>
      <c r="J91" s="156"/>
      <c r="K91" s="156"/>
      <c r="L91" s="159">
        <v>279777.82</v>
      </c>
      <c r="M91" s="156"/>
      <c r="N91" s="156"/>
      <c r="O91" s="159">
        <v>235451.9</v>
      </c>
      <c r="P91" s="156"/>
      <c r="Q91" s="156"/>
      <c r="R91" s="156"/>
      <c r="S91" s="156"/>
      <c r="T91" s="159">
        <v>0</v>
      </c>
      <c r="U91" s="156"/>
      <c r="V91" s="156"/>
      <c r="W91" s="159">
        <v>219259.45</v>
      </c>
      <c r="X91" s="156"/>
      <c r="Y91" s="156"/>
      <c r="Z91" s="159">
        <v>203933.69</v>
      </c>
      <c r="AA91" s="156"/>
      <c r="AB91" s="156"/>
      <c r="AC91" s="159">
        <v>29295.4</v>
      </c>
      <c r="AD91" s="156"/>
      <c r="AE91" s="156"/>
      <c r="AF91" s="159">
        <v>0</v>
      </c>
      <c r="AG91" s="156"/>
      <c r="AH91" s="156"/>
      <c r="AI91" s="159">
        <v>0</v>
      </c>
      <c r="AJ91" s="156"/>
      <c r="AK91" s="156"/>
      <c r="AL91" s="157" t="s">
        <v>28</v>
      </c>
      <c r="AM91" s="156"/>
      <c r="AN91" s="156"/>
      <c r="AO91" s="157" t="s">
        <v>28</v>
      </c>
      <c r="AP91" s="156"/>
      <c r="AQ91" s="156"/>
      <c r="AR91" s="157" t="s">
        <v>28</v>
      </c>
      <c r="AS91" s="156"/>
      <c r="AT91" s="156"/>
      <c r="AU91" s="157" t="s">
        <v>28</v>
      </c>
      <c r="AV91" s="156"/>
      <c r="AW91" s="156"/>
      <c r="AX91" s="157" t="s">
        <v>28</v>
      </c>
      <c r="AY91" s="156"/>
      <c r="AZ91" s="156"/>
      <c r="BA91" s="156"/>
    </row>
    <row r="92" spans="1:53" ht="14.45" customHeight="1" x14ac:dyDescent="0.25">
      <c r="A92" s="158" t="s">
        <v>178</v>
      </c>
      <c r="B92" s="156"/>
      <c r="C92" s="159">
        <v>95800.68</v>
      </c>
      <c r="D92" s="156"/>
      <c r="E92" s="156"/>
      <c r="F92" s="159">
        <v>108924.13</v>
      </c>
      <c r="G92" s="156"/>
      <c r="H92" s="156"/>
      <c r="I92" s="159">
        <v>126646.64</v>
      </c>
      <c r="J92" s="156"/>
      <c r="K92" s="156"/>
      <c r="L92" s="159">
        <v>94185.3</v>
      </c>
      <c r="M92" s="156"/>
      <c r="N92" s="156"/>
      <c r="O92" s="159">
        <v>79885.789999999994</v>
      </c>
      <c r="P92" s="156"/>
      <c r="Q92" s="156"/>
      <c r="R92" s="156"/>
      <c r="S92" s="156"/>
      <c r="T92" s="159">
        <v>0</v>
      </c>
      <c r="U92" s="156"/>
      <c r="V92" s="156"/>
      <c r="W92" s="159">
        <v>2872.28</v>
      </c>
      <c r="X92" s="156"/>
      <c r="Y92" s="156"/>
      <c r="Z92" s="159">
        <v>39026.94</v>
      </c>
      <c r="AA92" s="156"/>
      <c r="AB92" s="156"/>
      <c r="AC92" s="159">
        <v>0</v>
      </c>
      <c r="AD92" s="156"/>
      <c r="AE92" s="156"/>
      <c r="AF92" s="159">
        <v>12.7</v>
      </c>
      <c r="AG92" s="156"/>
      <c r="AH92" s="156"/>
      <c r="AI92" s="159">
        <v>6649.28</v>
      </c>
      <c r="AJ92" s="156"/>
      <c r="AK92" s="156"/>
      <c r="AL92" s="157" t="s">
        <v>28</v>
      </c>
      <c r="AM92" s="156"/>
      <c r="AN92" s="156"/>
      <c r="AO92" s="157" t="s">
        <v>28</v>
      </c>
      <c r="AP92" s="156"/>
      <c r="AQ92" s="156"/>
      <c r="AR92" s="157" t="s">
        <v>28</v>
      </c>
      <c r="AS92" s="156"/>
      <c r="AT92" s="156"/>
      <c r="AU92" s="157" t="s">
        <v>28</v>
      </c>
      <c r="AV92" s="156"/>
      <c r="AW92" s="156"/>
      <c r="AX92" s="157" t="s">
        <v>28</v>
      </c>
      <c r="AY92" s="156"/>
      <c r="AZ92" s="156"/>
      <c r="BA92" s="156"/>
    </row>
    <row r="93" spans="1:53" ht="14.45" customHeight="1" x14ac:dyDescent="0.25">
      <c r="A93" s="156"/>
      <c r="B93" s="156"/>
      <c r="C93" s="156"/>
      <c r="D93" s="156"/>
      <c r="E93" s="156"/>
      <c r="F93" s="156"/>
      <c r="G93" s="156"/>
      <c r="H93" s="156"/>
      <c r="I93" s="156"/>
      <c r="J93" s="156"/>
      <c r="K93" s="156"/>
      <c r="L93" s="156"/>
      <c r="M93" s="156"/>
      <c r="N93" s="156"/>
      <c r="O93" s="156"/>
      <c r="P93" s="156"/>
      <c r="Q93" s="156"/>
      <c r="R93" s="156"/>
      <c r="S93" s="156"/>
      <c r="T93" s="156"/>
      <c r="U93" s="156"/>
      <c r="V93" s="156"/>
      <c r="W93" s="156"/>
      <c r="X93" s="156"/>
      <c r="Y93" s="156"/>
      <c r="Z93" s="156"/>
      <c r="AA93" s="156"/>
      <c r="AB93" s="156"/>
      <c r="AC93" s="156"/>
      <c r="AD93" s="156"/>
      <c r="AE93" s="156"/>
      <c r="AF93" s="156"/>
      <c r="AG93" s="156"/>
      <c r="AH93" s="156"/>
      <c r="AI93" s="156"/>
      <c r="AJ93" s="156"/>
      <c r="AK93" s="156"/>
      <c r="AL93" s="156"/>
      <c r="AM93" s="156"/>
      <c r="AN93" s="156"/>
      <c r="AO93" s="156"/>
      <c r="AP93" s="156"/>
      <c r="AQ93" s="156"/>
      <c r="AR93" s="156"/>
      <c r="AS93" s="156"/>
      <c r="AT93" s="156"/>
      <c r="AU93" s="156"/>
      <c r="AV93" s="156"/>
      <c r="AW93" s="156"/>
      <c r="AX93" s="156"/>
      <c r="AY93" s="156"/>
      <c r="AZ93" s="156"/>
      <c r="BA93" s="156"/>
    </row>
    <row r="94" spans="1:53" ht="14.45" customHeight="1" x14ac:dyDescent="0.25">
      <c r="A94" s="163" t="s">
        <v>179</v>
      </c>
      <c r="B94" s="156"/>
      <c r="C94" s="156"/>
      <c r="D94" s="156"/>
      <c r="E94" s="156"/>
      <c r="F94" s="156"/>
      <c r="G94" s="156"/>
      <c r="H94" s="156"/>
      <c r="I94" s="156"/>
      <c r="J94" s="156"/>
      <c r="K94" s="156"/>
      <c r="L94" s="156"/>
      <c r="M94" s="156"/>
      <c r="N94" s="156"/>
      <c r="O94" s="156"/>
      <c r="P94" s="156"/>
      <c r="Q94" s="156"/>
      <c r="R94" s="156"/>
      <c r="S94" s="156"/>
      <c r="T94" s="156"/>
      <c r="U94" s="156"/>
      <c r="V94" s="156"/>
      <c r="W94" s="156"/>
      <c r="X94" s="156"/>
      <c r="Y94" s="156"/>
      <c r="Z94" s="156"/>
      <c r="AA94" s="156"/>
      <c r="AB94" s="156"/>
      <c r="AC94" s="156"/>
      <c r="AD94" s="156"/>
      <c r="AE94" s="156"/>
      <c r="AF94" s="156"/>
      <c r="AG94" s="156"/>
      <c r="AH94" s="156"/>
      <c r="AI94" s="156"/>
      <c r="AJ94" s="156"/>
      <c r="AK94" s="156"/>
      <c r="AL94" s="156"/>
      <c r="AM94" s="156"/>
      <c r="AN94" s="156"/>
      <c r="AO94" s="156"/>
      <c r="AP94" s="156"/>
      <c r="AQ94" s="156"/>
      <c r="AR94" s="156"/>
      <c r="AS94" s="156"/>
      <c r="AT94" s="156"/>
      <c r="AU94" s="156"/>
      <c r="AV94" s="156"/>
      <c r="AW94" s="156"/>
      <c r="AX94" s="156"/>
      <c r="AY94" s="156"/>
      <c r="AZ94" s="156"/>
      <c r="BA94" s="156"/>
    </row>
    <row r="95" spans="1:53" ht="14.45" customHeight="1" x14ac:dyDescent="0.25">
      <c r="A95" s="158" t="s">
        <v>180</v>
      </c>
      <c r="B95" s="156"/>
      <c r="C95" s="159">
        <v>0</v>
      </c>
      <c r="D95" s="156"/>
      <c r="E95" s="156"/>
      <c r="F95" s="159">
        <v>0</v>
      </c>
      <c r="G95" s="156"/>
      <c r="H95" s="156"/>
      <c r="I95" s="159">
        <v>0</v>
      </c>
      <c r="J95" s="156"/>
      <c r="K95" s="156"/>
      <c r="L95" s="159">
        <v>0</v>
      </c>
      <c r="M95" s="156"/>
      <c r="N95" s="156"/>
      <c r="O95" s="159">
        <v>0</v>
      </c>
      <c r="P95" s="156"/>
      <c r="Q95" s="156"/>
      <c r="R95" s="156"/>
      <c r="S95" s="156"/>
      <c r="T95" s="159">
        <v>0</v>
      </c>
      <c r="U95" s="156"/>
      <c r="V95" s="156"/>
      <c r="W95" s="159">
        <v>0</v>
      </c>
      <c r="X95" s="156"/>
      <c r="Y95" s="156"/>
      <c r="Z95" s="159">
        <v>0</v>
      </c>
      <c r="AA95" s="156"/>
      <c r="AB95" s="156"/>
      <c r="AC95" s="159">
        <v>0</v>
      </c>
      <c r="AD95" s="156"/>
      <c r="AE95" s="156"/>
      <c r="AF95" s="159">
        <v>1014.94</v>
      </c>
      <c r="AG95" s="156"/>
      <c r="AH95" s="156"/>
      <c r="AI95" s="159">
        <v>0</v>
      </c>
      <c r="AJ95" s="156"/>
      <c r="AK95" s="156"/>
      <c r="AL95" s="157" t="s">
        <v>28</v>
      </c>
      <c r="AM95" s="156"/>
      <c r="AN95" s="156"/>
      <c r="AO95" s="157" t="s">
        <v>28</v>
      </c>
      <c r="AP95" s="156"/>
      <c r="AQ95" s="156"/>
      <c r="AR95" s="157" t="s">
        <v>28</v>
      </c>
      <c r="AS95" s="156"/>
      <c r="AT95" s="156"/>
      <c r="AU95" s="157" t="s">
        <v>28</v>
      </c>
      <c r="AV95" s="156"/>
      <c r="AW95" s="156"/>
      <c r="AX95" s="157" t="s">
        <v>28</v>
      </c>
      <c r="AY95" s="156"/>
      <c r="AZ95" s="156"/>
      <c r="BA95" s="156"/>
    </row>
    <row r="96" spans="1:53" ht="27.6" customHeight="1" x14ac:dyDescent="0.25">
      <c r="A96" s="158" t="s">
        <v>181</v>
      </c>
      <c r="B96" s="156"/>
      <c r="C96" s="159">
        <v>0</v>
      </c>
      <c r="D96" s="156"/>
      <c r="E96" s="156"/>
      <c r="F96" s="159">
        <v>0</v>
      </c>
      <c r="G96" s="156"/>
      <c r="H96" s="156"/>
      <c r="I96" s="159">
        <v>0</v>
      </c>
      <c r="J96" s="156"/>
      <c r="K96" s="156"/>
      <c r="L96" s="159">
        <v>0</v>
      </c>
      <c r="M96" s="156"/>
      <c r="N96" s="156"/>
      <c r="O96" s="159">
        <v>0</v>
      </c>
      <c r="P96" s="156"/>
      <c r="Q96" s="156"/>
      <c r="R96" s="156"/>
      <c r="S96" s="156"/>
      <c r="T96" s="159">
        <v>0</v>
      </c>
      <c r="U96" s="156"/>
      <c r="V96" s="156"/>
      <c r="W96" s="159">
        <v>0</v>
      </c>
      <c r="X96" s="156"/>
      <c r="Y96" s="156"/>
      <c r="Z96" s="159">
        <v>0</v>
      </c>
      <c r="AA96" s="156"/>
      <c r="AB96" s="156"/>
      <c r="AC96" s="159">
        <v>0</v>
      </c>
      <c r="AD96" s="156"/>
      <c r="AE96" s="156"/>
      <c r="AF96" s="159">
        <v>1014.94</v>
      </c>
      <c r="AG96" s="156"/>
      <c r="AH96" s="156"/>
      <c r="AI96" s="159">
        <v>0</v>
      </c>
      <c r="AJ96" s="156"/>
      <c r="AK96" s="156"/>
      <c r="AL96" s="157" t="s">
        <v>28</v>
      </c>
      <c r="AM96" s="156"/>
      <c r="AN96" s="156"/>
      <c r="AO96" s="157" t="s">
        <v>28</v>
      </c>
      <c r="AP96" s="156"/>
      <c r="AQ96" s="156"/>
      <c r="AR96" s="157" t="s">
        <v>28</v>
      </c>
      <c r="AS96" s="156"/>
      <c r="AT96" s="156"/>
      <c r="AU96" s="157" t="s">
        <v>28</v>
      </c>
      <c r="AV96" s="156"/>
      <c r="AW96" s="156"/>
      <c r="AX96" s="157" t="s">
        <v>28</v>
      </c>
      <c r="AY96" s="156"/>
      <c r="AZ96" s="156"/>
      <c r="BA96" s="156"/>
    </row>
    <row r="97" spans="1:53" ht="14.45" customHeight="1" x14ac:dyDescent="0.25">
      <c r="A97" s="158" t="s">
        <v>182</v>
      </c>
      <c r="B97" s="156"/>
      <c r="C97" s="159">
        <v>0</v>
      </c>
      <c r="D97" s="156"/>
      <c r="E97" s="156"/>
      <c r="F97" s="159">
        <v>0</v>
      </c>
      <c r="G97" s="156"/>
      <c r="H97" s="156"/>
      <c r="I97" s="159">
        <v>0</v>
      </c>
      <c r="J97" s="156"/>
      <c r="K97" s="156"/>
      <c r="L97" s="159">
        <v>0</v>
      </c>
      <c r="M97" s="156"/>
      <c r="N97" s="156"/>
      <c r="O97" s="159">
        <v>0</v>
      </c>
      <c r="P97" s="156"/>
      <c r="Q97" s="156"/>
      <c r="R97" s="156"/>
      <c r="S97" s="156"/>
      <c r="T97" s="159">
        <v>0</v>
      </c>
      <c r="U97" s="156"/>
      <c r="V97" s="156"/>
      <c r="W97" s="159">
        <v>0</v>
      </c>
      <c r="X97" s="156"/>
      <c r="Y97" s="156"/>
      <c r="Z97" s="159">
        <v>0</v>
      </c>
      <c r="AA97" s="156"/>
      <c r="AB97" s="156"/>
      <c r="AC97" s="159">
        <v>0</v>
      </c>
      <c r="AD97" s="156"/>
      <c r="AE97" s="156"/>
      <c r="AF97" s="159">
        <v>0</v>
      </c>
      <c r="AG97" s="156"/>
      <c r="AH97" s="156"/>
      <c r="AI97" s="159">
        <v>0</v>
      </c>
      <c r="AJ97" s="156"/>
      <c r="AK97" s="156"/>
      <c r="AL97" s="157" t="s">
        <v>28</v>
      </c>
      <c r="AM97" s="156"/>
      <c r="AN97" s="156"/>
      <c r="AO97" s="157" t="s">
        <v>28</v>
      </c>
      <c r="AP97" s="156"/>
      <c r="AQ97" s="156"/>
      <c r="AR97" s="157" t="s">
        <v>28</v>
      </c>
      <c r="AS97" s="156"/>
      <c r="AT97" s="156"/>
      <c r="AU97" s="157" t="s">
        <v>28</v>
      </c>
      <c r="AV97" s="156"/>
      <c r="AW97" s="156"/>
      <c r="AX97" s="157" t="s">
        <v>28</v>
      </c>
      <c r="AY97" s="156"/>
      <c r="AZ97" s="156"/>
      <c r="BA97" s="156"/>
    </row>
    <row r="98" spans="1:53" ht="14.45" customHeight="1" x14ac:dyDescent="0.25">
      <c r="A98" s="158" t="s">
        <v>183</v>
      </c>
      <c r="B98" s="156"/>
      <c r="C98" s="157" t="s">
        <v>28</v>
      </c>
      <c r="D98" s="156"/>
      <c r="E98" s="156"/>
      <c r="F98" s="157" t="s">
        <v>28</v>
      </c>
      <c r="G98" s="156"/>
      <c r="H98" s="156"/>
      <c r="I98" s="157" t="s">
        <v>28</v>
      </c>
      <c r="J98" s="156"/>
      <c r="K98" s="156"/>
      <c r="L98" s="157" t="s">
        <v>28</v>
      </c>
      <c r="M98" s="156"/>
      <c r="N98" s="156"/>
      <c r="O98" s="157" t="s">
        <v>28</v>
      </c>
      <c r="P98" s="156"/>
      <c r="Q98" s="156"/>
      <c r="R98" s="156"/>
      <c r="S98" s="156"/>
      <c r="T98" s="157" t="s">
        <v>28</v>
      </c>
      <c r="U98" s="156"/>
      <c r="V98" s="156"/>
      <c r="W98" s="157" t="s">
        <v>28</v>
      </c>
      <c r="X98" s="156"/>
      <c r="Y98" s="156"/>
      <c r="Z98" s="157" t="s">
        <v>28</v>
      </c>
      <c r="AA98" s="156"/>
      <c r="AB98" s="156"/>
      <c r="AC98" s="157" t="s">
        <v>28</v>
      </c>
      <c r="AD98" s="156"/>
      <c r="AE98" s="156"/>
      <c r="AF98" s="157" t="s">
        <v>28</v>
      </c>
      <c r="AG98" s="156"/>
      <c r="AH98" s="156"/>
      <c r="AI98" s="157" t="s">
        <v>28</v>
      </c>
      <c r="AJ98" s="156"/>
      <c r="AK98" s="156"/>
      <c r="AL98" s="157" t="s">
        <v>28</v>
      </c>
      <c r="AM98" s="156"/>
      <c r="AN98" s="156"/>
      <c r="AO98" s="157" t="s">
        <v>28</v>
      </c>
      <c r="AP98" s="156"/>
      <c r="AQ98" s="156"/>
      <c r="AR98" s="157" t="s">
        <v>28</v>
      </c>
      <c r="AS98" s="156"/>
      <c r="AT98" s="156"/>
      <c r="AU98" s="157" t="s">
        <v>28</v>
      </c>
      <c r="AV98" s="156"/>
      <c r="AW98" s="156"/>
      <c r="AX98" s="157" t="s">
        <v>28</v>
      </c>
      <c r="AY98" s="156"/>
      <c r="AZ98" s="156"/>
      <c r="BA98" s="156"/>
    </row>
    <row r="99" spans="1:53" ht="27.6" customHeight="1" x14ac:dyDescent="0.25">
      <c r="A99" s="158" t="s">
        <v>184</v>
      </c>
      <c r="B99" s="156"/>
      <c r="C99" s="157" t="s">
        <v>28</v>
      </c>
      <c r="D99" s="156"/>
      <c r="E99" s="156"/>
      <c r="F99" s="157" t="s">
        <v>28</v>
      </c>
      <c r="G99" s="156"/>
      <c r="H99" s="156"/>
      <c r="I99" s="157" t="s">
        <v>28</v>
      </c>
      <c r="J99" s="156"/>
      <c r="K99" s="156"/>
      <c r="L99" s="157" t="s">
        <v>28</v>
      </c>
      <c r="M99" s="156"/>
      <c r="N99" s="156"/>
      <c r="O99" s="157" t="s">
        <v>28</v>
      </c>
      <c r="P99" s="156"/>
      <c r="Q99" s="156"/>
      <c r="R99" s="156"/>
      <c r="S99" s="156"/>
      <c r="T99" s="157" t="s">
        <v>28</v>
      </c>
      <c r="U99" s="156"/>
      <c r="V99" s="156"/>
      <c r="W99" s="157" t="s">
        <v>28</v>
      </c>
      <c r="X99" s="156"/>
      <c r="Y99" s="156"/>
      <c r="Z99" s="157" t="s">
        <v>28</v>
      </c>
      <c r="AA99" s="156"/>
      <c r="AB99" s="156"/>
      <c r="AC99" s="157" t="s">
        <v>28</v>
      </c>
      <c r="AD99" s="156"/>
      <c r="AE99" s="156"/>
      <c r="AF99" s="157" t="s">
        <v>28</v>
      </c>
      <c r="AG99" s="156"/>
      <c r="AH99" s="156"/>
      <c r="AI99" s="157" t="s">
        <v>28</v>
      </c>
      <c r="AJ99" s="156"/>
      <c r="AK99" s="156"/>
      <c r="AL99" s="157" t="s">
        <v>28</v>
      </c>
      <c r="AM99" s="156"/>
      <c r="AN99" s="156"/>
      <c r="AO99" s="157" t="s">
        <v>28</v>
      </c>
      <c r="AP99" s="156"/>
      <c r="AQ99" s="156"/>
      <c r="AR99" s="157" t="s">
        <v>28</v>
      </c>
      <c r="AS99" s="156"/>
      <c r="AT99" s="156"/>
      <c r="AU99" s="157" t="s">
        <v>28</v>
      </c>
      <c r="AV99" s="156"/>
      <c r="AW99" s="156"/>
      <c r="AX99" s="157" t="s">
        <v>28</v>
      </c>
      <c r="AY99" s="156"/>
      <c r="AZ99" s="156"/>
      <c r="BA99" s="156"/>
    </row>
    <row r="100" spans="1:53" ht="14.45" customHeight="1" x14ac:dyDescent="0.25">
      <c r="A100" s="158" t="s">
        <v>185</v>
      </c>
      <c r="B100" s="156"/>
      <c r="C100" s="157" t="s">
        <v>28</v>
      </c>
      <c r="D100" s="156"/>
      <c r="E100" s="156"/>
      <c r="F100" s="157" t="s">
        <v>28</v>
      </c>
      <c r="G100" s="156"/>
      <c r="H100" s="156"/>
      <c r="I100" s="157" t="s">
        <v>28</v>
      </c>
      <c r="J100" s="156"/>
      <c r="K100" s="156"/>
      <c r="L100" s="157" t="s">
        <v>28</v>
      </c>
      <c r="M100" s="156"/>
      <c r="N100" s="156"/>
      <c r="O100" s="157" t="s">
        <v>28</v>
      </c>
      <c r="P100" s="156"/>
      <c r="Q100" s="156"/>
      <c r="R100" s="156"/>
      <c r="S100" s="156"/>
      <c r="T100" s="157" t="s">
        <v>28</v>
      </c>
      <c r="U100" s="156"/>
      <c r="V100" s="156"/>
      <c r="W100" s="157" t="s">
        <v>28</v>
      </c>
      <c r="X100" s="156"/>
      <c r="Y100" s="156"/>
      <c r="Z100" s="157" t="s">
        <v>28</v>
      </c>
      <c r="AA100" s="156"/>
      <c r="AB100" s="156"/>
      <c r="AC100" s="157" t="s">
        <v>28</v>
      </c>
      <c r="AD100" s="156"/>
      <c r="AE100" s="156"/>
      <c r="AF100" s="157" t="s">
        <v>28</v>
      </c>
      <c r="AG100" s="156"/>
      <c r="AH100" s="156"/>
      <c r="AI100" s="157" t="s">
        <v>28</v>
      </c>
      <c r="AJ100" s="156"/>
      <c r="AK100" s="156"/>
      <c r="AL100" s="157" t="s">
        <v>28</v>
      </c>
      <c r="AM100" s="156"/>
      <c r="AN100" s="156"/>
      <c r="AO100" s="157" t="s">
        <v>28</v>
      </c>
      <c r="AP100" s="156"/>
      <c r="AQ100" s="156"/>
      <c r="AR100" s="157" t="s">
        <v>28</v>
      </c>
      <c r="AS100" s="156"/>
      <c r="AT100" s="156"/>
      <c r="AU100" s="157" t="s">
        <v>28</v>
      </c>
      <c r="AV100" s="156"/>
      <c r="AW100" s="156"/>
      <c r="AX100" s="157" t="s">
        <v>28</v>
      </c>
      <c r="AY100" s="156"/>
      <c r="AZ100" s="156"/>
      <c r="BA100" s="156"/>
    </row>
    <row r="101" spans="1:53" ht="14.45" customHeight="1" x14ac:dyDescent="0.25">
      <c r="A101" s="158" t="s">
        <v>186</v>
      </c>
      <c r="B101" s="156"/>
      <c r="C101" s="157" t="s">
        <v>28</v>
      </c>
      <c r="D101" s="156"/>
      <c r="E101" s="156"/>
      <c r="F101" s="157" t="s">
        <v>28</v>
      </c>
      <c r="G101" s="156"/>
      <c r="H101" s="156"/>
      <c r="I101" s="157" t="s">
        <v>28</v>
      </c>
      <c r="J101" s="156"/>
      <c r="K101" s="156"/>
      <c r="L101" s="157" t="s">
        <v>28</v>
      </c>
      <c r="M101" s="156"/>
      <c r="N101" s="156"/>
      <c r="O101" s="157" t="s">
        <v>28</v>
      </c>
      <c r="P101" s="156"/>
      <c r="Q101" s="156"/>
      <c r="R101" s="156"/>
      <c r="S101" s="156"/>
      <c r="T101" s="157" t="s">
        <v>28</v>
      </c>
      <c r="U101" s="156"/>
      <c r="V101" s="156"/>
      <c r="W101" s="157" t="s">
        <v>28</v>
      </c>
      <c r="X101" s="156"/>
      <c r="Y101" s="156"/>
      <c r="Z101" s="157" t="s">
        <v>28</v>
      </c>
      <c r="AA101" s="156"/>
      <c r="AB101" s="156"/>
      <c r="AC101" s="157" t="s">
        <v>28</v>
      </c>
      <c r="AD101" s="156"/>
      <c r="AE101" s="156"/>
      <c r="AF101" s="157" t="s">
        <v>28</v>
      </c>
      <c r="AG101" s="156"/>
      <c r="AH101" s="156"/>
      <c r="AI101" s="157" t="s">
        <v>28</v>
      </c>
      <c r="AJ101" s="156"/>
      <c r="AK101" s="156"/>
      <c r="AL101" s="157" t="s">
        <v>28</v>
      </c>
      <c r="AM101" s="156"/>
      <c r="AN101" s="156"/>
      <c r="AO101" s="157" t="s">
        <v>28</v>
      </c>
      <c r="AP101" s="156"/>
      <c r="AQ101" s="156"/>
      <c r="AR101" s="157" t="s">
        <v>28</v>
      </c>
      <c r="AS101" s="156"/>
      <c r="AT101" s="156"/>
      <c r="AU101" s="157" t="s">
        <v>28</v>
      </c>
      <c r="AV101" s="156"/>
      <c r="AW101" s="156"/>
      <c r="AX101" s="157" t="s">
        <v>28</v>
      </c>
      <c r="AY101" s="156"/>
      <c r="AZ101" s="156"/>
      <c r="BA101" s="156"/>
    </row>
    <row r="102" spans="1:53" ht="14.45" customHeight="1" x14ac:dyDescent="0.25">
      <c r="A102" s="158" t="s">
        <v>187</v>
      </c>
      <c r="B102" s="156"/>
      <c r="C102" s="157" t="s">
        <v>28</v>
      </c>
      <c r="D102" s="156"/>
      <c r="E102" s="156"/>
      <c r="F102" s="157" t="s">
        <v>28</v>
      </c>
      <c r="G102" s="156"/>
      <c r="H102" s="156"/>
      <c r="I102" s="157" t="s">
        <v>28</v>
      </c>
      <c r="J102" s="156"/>
      <c r="K102" s="156"/>
      <c r="L102" s="157" t="s">
        <v>28</v>
      </c>
      <c r="M102" s="156"/>
      <c r="N102" s="156"/>
      <c r="O102" s="157" t="s">
        <v>28</v>
      </c>
      <c r="P102" s="156"/>
      <c r="Q102" s="156"/>
      <c r="R102" s="156"/>
      <c r="S102" s="156"/>
      <c r="T102" s="157" t="s">
        <v>28</v>
      </c>
      <c r="U102" s="156"/>
      <c r="V102" s="156"/>
      <c r="W102" s="157" t="s">
        <v>28</v>
      </c>
      <c r="X102" s="156"/>
      <c r="Y102" s="156"/>
      <c r="Z102" s="157" t="s">
        <v>28</v>
      </c>
      <c r="AA102" s="156"/>
      <c r="AB102" s="156"/>
      <c r="AC102" s="157" t="s">
        <v>28</v>
      </c>
      <c r="AD102" s="156"/>
      <c r="AE102" s="156"/>
      <c r="AF102" s="157" t="s">
        <v>28</v>
      </c>
      <c r="AG102" s="156"/>
      <c r="AH102" s="156"/>
      <c r="AI102" s="157" t="s">
        <v>28</v>
      </c>
      <c r="AJ102" s="156"/>
      <c r="AK102" s="156"/>
      <c r="AL102" s="157" t="s">
        <v>28</v>
      </c>
      <c r="AM102" s="156"/>
      <c r="AN102" s="156"/>
      <c r="AO102" s="157" t="s">
        <v>28</v>
      </c>
      <c r="AP102" s="156"/>
      <c r="AQ102" s="156"/>
      <c r="AR102" s="157" t="s">
        <v>28</v>
      </c>
      <c r="AS102" s="156"/>
      <c r="AT102" s="156"/>
      <c r="AU102" s="157" t="s">
        <v>28</v>
      </c>
      <c r="AV102" s="156"/>
      <c r="AW102" s="156"/>
      <c r="AX102" s="157" t="s">
        <v>28</v>
      </c>
      <c r="AY102" s="156"/>
      <c r="AZ102" s="156"/>
      <c r="BA102" s="156"/>
    </row>
    <row r="103" spans="1:53" ht="27.6" customHeight="1" x14ac:dyDescent="0.25">
      <c r="A103" s="158" t="s">
        <v>188</v>
      </c>
      <c r="B103" s="156"/>
      <c r="C103" s="159">
        <v>3295134.64</v>
      </c>
      <c r="D103" s="156"/>
      <c r="E103" s="156"/>
      <c r="F103" s="159">
        <v>1432912.79</v>
      </c>
      <c r="G103" s="156"/>
      <c r="H103" s="156"/>
      <c r="I103" s="159">
        <v>1801352.47</v>
      </c>
      <c r="J103" s="156"/>
      <c r="K103" s="156"/>
      <c r="L103" s="159">
        <v>1617841.14</v>
      </c>
      <c r="M103" s="156"/>
      <c r="N103" s="156"/>
      <c r="O103" s="159">
        <v>1583132.79</v>
      </c>
      <c r="P103" s="156"/>
      <c r="Q103" s="156"/>
      <c r="R103" s="156"/>
      <c r="S103" s="156"/>
      <c r="T103" s="159">
        <v>1451760.02</v>
      </c>
      <c r="U103" s="156"/>
      <c r="V103" s="156"/>
      <c r="W103" s="159">
        <v>1130375.71</v>
      </c>
      <c r="X103" s="156"/>
      <c r="Y103" s="156"/>
      <c r="Z103" s="159">
        <v>1300928.82</v>
      </c>
      <c r="AA103" s="156"/>
      <c r="AB103" s="156"/>
      <c r="AC103" s="159">
        <v>627759.48</v>
      </c>
      <c r="AD103" s="156"/>
      <c r="AE103" s="156"/>
      <c r="AF103" s="159">
        <v>2379765.0699999998</v>
      </c>
      <c r="AG103" s="156"/>
      <c r="AH103" s="156"/>
      <c r="AI103" s="159">
        <v>2621029.29</v>
      </c>
      <c r="AJ103" s="156"/>
      <c r="AK103" s="156"/>
      <c r="AL103" s="157" t="s">
        <v>28</v>
      </c>
      <c r="AM103" s="156"/>
      <c r="AN103" s="156"/>
      <c r="AO103" s="157" t="s">
        <v>28</v>
      </c>
      <c r="AP103" s="156"/>
      <c r="AQ103" s="156"/>
      <c r="AR103" s="157" t="s">
        <v>28</v>
      </c>
      <c r="AS103" s="156"/>
      <c r="AT103" s="156"/>
      <c r="AU103" s="157" t="s">
        <v>28</v>
      </c>
      <c r="AV103" s="156"/>
      <c r="AW103" s="156"/>
      <c r="AX103" s="157" t="s">
        <v>28</v>
      </c>
      <c r="AY103" s="156"/>
      <c r="AZ103" s="156"/>
      <c r="BA103" s="156"/>
    </row>
    <row r="104" spans="1:53" ht="27.6" customHeight="1" x14ac:dyDescent="0.25">
      <c r="A104" s="158" t="s">
        <v>189</v>
      </c>
      <c r="B104" s="156"/>
      <c r="C104" s="159">
        <v>6170.31</v>
      </c>
      <c r="D104" s="156"/>
      <c r="E104" s="156"/>
      <c r="F104" s="159">
        <v>4075.99</v>
      </c>
      <c r="G104" s="156"/>
      <c r="H104" s="156"/>
      <c r="I104" s="159">
        <v>15485.92</v>
      </c>
      <c r="J104" s="156"/>
      <c r="K104" s="156"/>
      <c r="L104" s="159">
        <v>329.77</v>
      </c>
      <c r="M104" s="156"/>
      <c r="N104" s="156"/>
      <c r="O104" s="159">
        <v>0</v>
      </c>
      <c r="P104" s="156"/>
      <c r="Q104" s="156"/>
      <c r="R104" s="156"/>
      <c r="S104" s="156"/>
      <c r="T104" s="159">
        <v>29865.08</v>
      </c>
      <c r="U104" s="156"/>
      <c r="V104" s="156"/>
      <c r="W104" s="159">
        <v>0</v>
      </c>
      <c r="X104" s="156"/>
      <c r="Y104" s="156"/>
      <c r="Z104" s="159">
        <v>0</v>
      </c>
      <c r="AA104" s="156"/>
      <c r="AB104" s="156"/>
      <c r="AC104" s="159">
        <v>0</v>
      </c>
      <c r="AD104" s="156"/>
      <c r="AE104" s="156"/>
      <c r="AF104" s="159">
        <v>0</v>
      </c>
      <c r="AG104" s="156"/>
      <c r="AH104" s="156"/>
      <c r="AI104" s="159">
        <v>0</v>
      </c>
      <c r="AJ104" s="156"/>
      <c r="AK104" s="156"/>
      <c r="AL104" s="157" t="s">
        <v>28</v>
      </c>
      <c r="AM104" s="156"/>
      <c r="AN104" s="156"/>
      <c r="AO104" s="157" t="s">
        <v>28</v>
      </c>
      <c r="AP104" s="156"/>
      <c r="AQ104" s="156"/>
      <c r="AR104" s="157" t="s">
        <v>28</v>
      </c>
      <c r="AS104" s="156"/>
      <c r="AT104" s="156"/>
      <c r="AU104" s="157" t="s">
        <v>28</v>
      </c>
      <c r="AV104" s="156"/>
      <c r="AW104" s="156"/>
      <c r="AX104" s="157" t="s">
        <v>28</v>
      </c>
      <c r="AY104" s="156"/>
      <c r="AZ104" s="156"/>
      <c r="BA104" s="156"/>
    </row>
    <row r="105" spans="1:53" ht="27.6" customHeight="1" x14ac:dyDescent="0.25">
      <c r="A105" s="158" t="s">
        <v>190</v>
      </c>
      <c r="B105" s="156"/>
      <c r="C105" s="159">
        <v>17478.849999999999</v>
      </c>
      <c r="D105" s="156"/>
      <c r="E105" s="156"/>
      <c r="F105" s="159">
        <v>28896.47</v>
      </c>
      <c r="G105" s="156"/>
      <c r="H105" s="156"/>
      <c r="I105" s="159">
        <v>21823.7</v>
      </c>
      <c r="J105" s="156"/>
      <c r="K105" s="156"/>
      <c r="L105" s="159">
        <v>17384.77</v>
      </c>
      <c r="M105" s="156"/>
      <c r="N105" s="156"/>
      <c r="O105" s="159">
        <v>24248.13</v>
      </c>
      <c r="P105" s="156"/>
      <c r="Q105" s="156"/>
      <c r="R105" s="156"/>
      <c r="S105" s="156"/>
      <c r="T105" s="159">
        <v>29897.19</v>
      </c>
      <c r="U105" s="156"/>
      <c r="V105" s="156"/>
      <c r="W105" s="159">
        <v>24567.57</v>
      </c>
      <c r="X105" s="156"/>
      <c r="Y105" s="156"/>
      <c r="Z105" s="159">
        <v>10836.77</v>
      </c>
      <c r="AA105" s="156"/>
      <c r="AB105" s="156"/>
      <c r="AC105" s="159">
        <v>16349.72</v>
      </c>
      <c r="AD105" s="156"/>
      <c r="AE105" s="156"/>
      <c r="AF105" s="159">
        <v>19837.810000000001</v>
      </c>
      <c r="AG105" s="156"/>
      <c r="AH105" s="156"/>
      <c r="AI105" s="159">
        <v>14711.29</v>
      </c>
      <c r="AJ105" s="156"/>
      <c r="AK105" s="156"/>
      <c r="AL105" s="157" t="s">
        <v>28</v>
      </c>
      <c r="AM105" s="156"/>
      <c r="AN105" s="156"/>
      <c r="AO105" s="157" t="s">
        <v>28</v>
      </c>
      <c r="AP105" s="156"/>
      <c r="AQ105" s="156"/>
      <c r="AR105" s="157" t="s">
        <v>28</v>
      </c>
      <c r="AS105" s="156"/>
      <c r="AT105" s="156"/>
      <c r="AU105" s="157" t="s">
        <v>28</v>
      </c>
      <c r="AV105" s="156"/>
      <c r="AW105" s="156"/>
      <c r="AX105" s="157" t="s">
        <v>28</v>
      </c>
      <c r="AY105" s="156"/>
      <c r="AZ105" s="156"/>
      <c r="BA105" s="156"/>
    </row>
    <row r="106" spans="1:53" ht="27.6" customHeight="1" x14ac:dyDescent="0.25">
      <c r="A106" s="158" t="s">
        <v>191</v>
      </c>
      <c r="B106" s="156"/>
      <c r="C106" s="159">
        <v>0</v>
      </c>
      <c r="D106" s="156"/>
      <c r="E106" s="156"/>
      <c r="F106" s="159">
        <v>0</v>
      </c>
      <c r="G106" s="156"/>
      <c r="H106" s="156"/>
      <c r="I106" s="159">
        <v>0</v>
      </c>
      <c r="J106" s="156"/>
      <c r="K106" s="156"/>
      <c r="L106" s="159">
        <v>0</v>
      </c>
      <c r="M106" s="156"/>
      <c r="N106" s="156"/>
      <c r="O106" s="159">
        <v>0</v>
      </c>
      <c r="P106" s="156"/>
      <c r="Q106" s="156"/>
      <c r="R106" s="156"/>
      <c r="S106" s="156"/>
      <c r="T106" s="159">
        <v>0</v>
      </c>
      <c r="U106" s="156"/>
      <c r="V106" s="156"/>
      <c r="W106" s="159">
        <v>0</v>
      </c>
      <c r="X106" s="156"/>
      <c r="Y106" s="156"/>
      <c r="Z106" s="159">
        <v>0</v>
      </c>
      <c r="AA106" s="156"/>
      <c r="AB106" s="156"/>
      <c r="AC106" s="159">
        <v>0</v>
      </c>
      <c r="AD106" s="156"/>
      <c r="AE106" s="156"/>
      <c r="AF106" s="159">
        <v>0</v>
      </c>
      <c r="AG106" s="156"/>
      <c r="AH106" s="156"/>
      <c r="AI106" s="159">
        <v>0</v>
      </c>
      <c r="AJ106" s="156"/>
      <c r="AK106" s="156"/>
      <c r="AL106" s="157" t="s">
        <v>28</v>
      </c>
      <c r="AM106" s="156"/>
      <c r="AN106" s="156"/>
      <c r="AO106" s="157" t="s">
        <v>28</v>
      </c>
      <c r="AP106" s="156"/>
      <c r="AQ106" s="156"/>
      <c r="AR106" s="157" t="s">
        <v>28</v>
      </c>
      <c r="AS106" s="156"/>
      <c r="AT106" s="156"/>
      <c r="AU106" s="157" t="s">
        <v>28</v>
      </c>
      <c r="AV106" s="156"/>
      <c r="AW106" s="156"/>
      <c r="AX106" s="157" t="s">
        <v>28</v>
      </c>
      <c r="AY106" s="156"/>
      <c r="AZ106" s="156"/>
      <c r="BA106" s="156"/>
    </row>
    <row r="107" spans="1:53" ht="14.45" customHeight="1" x14ac:dyDescent="0.25">
      <c r="A107" s="158" t="s">
        <v>192</v>
      </c>
      <c r="B107" s="156"/>
      <c r="C107" s="159">
        <v>0</v>
      </c>
      <c r="D107" s="156"/>
      <c r="E107" s="156"/>
      <c r="F107" s="159">
        <v>0</v>
      </c>
      <c r="G107" s="156"/>
      <c r="H107" s="156"/>
      <c r="I107" s="159">
        <v>0</v>
      </c>
      <c r="J107" s="156"/>
      <c r="K107" s="156"/>
      <c r="L107" s="159">
        <v>0</v>
      </c>
      <c r="M107" s="156"/>
      <c r="N107" s="156"/>
      <c r="O107" s="159">
        <v>0</v>
      </c>
      <c r="P107" s="156"/>
      <c r="Q107" s="156"/>
      <c r="R107" s="156"/>
      <c r="S107" s="156"/>
      <c r="T107" s="159">
        <v>0</v>
      </c>
      <c r="U107" s="156"/>
      <c r="V107" s="156"/>
      <c r="W107" s="159">
        <v>0</v>
      </c>
      <c r="X107" s="156"/>
      <c r="Y107" s="156"/>
      <c r="Z107" s="159">
        <v>0</v>
      </c>
      <c r="AA107" s="156"/>
      <c r="AB107" s="156"/>
      <c r="AC107" s="159">
        <v>0</v>
      </c>
      <c r="AD107" s="156"/>
      <c r="AE107" s="156"/>
      <c r="AF107" s="159">
        <v>0</v>
      </c>
      <c r="AG107" s="156"/>
      <c r="AH107" s="156"/>
      <c r="AI107" s="159">
        <v>0</v>
      </c>
      <c r="AJ107" s="156"/>
      <c r="AK107" s="156"/>
      <c r="AL107" s="157" t="s">
        <v>28</v>
      </c>
      <c r="AM107" s="156"/>
      <c r="AN107" s="156"/>
      <c r="AO107" s="157" t="s">
        <v>28</v>
      </c>
      <c r="AP107" s="156"/>
      <c r="AQ107" s="156"/>
      <c r="AR107" s="157" t="s">
        <v>28</v>
      </c>
      <c r="AS107" s="156"/>
      <c r="AT107" s="156"/>
      <c r="AU107" s="157" t="s">
        <v>28</v>
      </c>
      <c r="AV107" s="156"/>
      <c r="AW107" s="156"/>
      <c r="AX107" s="157" t="s">
        <v>28</v>
      </c>
      <c r="AY107" s="156"/>
      <c r="AZ107" s="156"/>
      <c r="BA107" s="156"/>
    </row>
    <row r="108" spans="1:53" ht="14.45" customHeight="1" x14ac:dyDescent="0.25">
      <c r="A108" s="158" t="s">
        <v>193</v>
      </c>
      <c r="B108" s="156"/>
      <c r="C108" s="159">
        <v>0</v>
      </c>
      <c r="D108" s="156"/>
      <c r="E108" s="156"/>
      <c r="F108" s="159">
        <v>0</v>
      </c>
      <c r="G108" s="156"/>
      <c r="H108" s="156"/>
      <c r="I108" s="159">
        <v>0</v>
      </c>
      <c r="J108" s="156"/>
      <c r="K108" s="156"/>
      <c r="L108" s="159">
        <v>0</v>
      </c>
      <c r="M108" s="156"/>
      <c r="N108" s="156"/>
      <c r="O108" s="159">
        <v>0</v>
      </c>
      <c r="P108" s="156"/>
      <c r="Q108" s="156"/>
      <c r="R108" s="156"/>
      <c r="S108" s="156"/>
      <c r="T108" s="159">
        <v>0</v>
      </c>
      <c r="U108" s="156"/>
      <c r="V108" s="156"/>
      <c r="W108" s="159">
        <v>0</v>
      </c>
      <c r="X108" s="156"/>
      <c r="Y108" s="156"/>
      <c r="Z108" s="159">
        <v>0</v>
      </c>
      <c r="AA108" s="156"/>
      <c r="AB108" s="156"/>
      <c r="AC108" s="159">
        <v>0</v>
      </c>
      <c r="AD108" s="156"/>
      <c r="AE108" s="156"/>
      <c r="AF108" s="159">
        <v>0</v>
      </c>
      <c r="AG108" s="156"/>
      <c r="AH108" s="156"/>
      <c r="AI108" s="159">
        <v>0</v>
      </c>
      <c r="AJ108" s="156"/>
      <c r="AK108" s="156"/>
      <c r="AL108" s="157" t="s">
        <v>28</v>
      </c>
      <c r="AM108" s="156"/>
      <c r="AN108" s="156"/>
      <c r="AO108" s="157" t="s">
        <v>28</v>
      </c>
      <c r="AP108" s="156"/>
      <c r="AQ108" s="156"/>
      <c r="AR108" s="157" t="s">
        <v>28</v>
      </c>
      <c r="AS108" s="156"/>
      <c r="AT108" s="156"/>
      <c r="AU108" s="157" t="s">
        <v>28</v>
      </c>
      <c r="AV108" s="156"/>
      <c r="AW108" s="156"/>
      <c r="AX108" s="157" t="s">
        <v>28</v>
      </c>
      <c r="AY108" s="156"/>
      <c r="AZ108" s="156"/>
      <c r="BA108" s="156"/>
    </row>
    <row r="109" spans="1:53" ht="14.45" customHeight="1" x14ac:dyDescent="0.25">
      <c r="A109" s="158" t="s">
        <v>194</v>
      </c>
      <c r="B109" s="156"/>
      <c r="C109" s="157" t="s">
        <v>28</v>
      </c>
      <c r="D109" s="156"/>
      <c r="E109" s="156"/>
      <c r="F109" s="157" t="s">
        <v>28</v>
      </c>
      <c r="G109" s="156"/>
      <c r="H109" s="156"/>
      <c r="I109" s="157" t="s">
        <v>28</v>
      </c>
      <c r="J109" s="156"/>
      <c r="K109" s="156"/>
      <c r="L109" s="157" t="s">
        <v>28</v>
      </c>
      <c r="M109" s="156"/>
      <c r="N109" s="156"/>
      <c r="O109" s="157" t="s">
        <v>28</v>
      </c>
      <c r="P109" s="156"/>
      <c r="Q109" s="156"/>
      <c r="R109" s="156"/>
      <c r="S109" s="156"/>
      <c r="T109" s="157" t="s">
        <v>28</v>
      </c>
      <c r="U109" s="156"/>
      <c r="V109" s="156"/>
      <c r="W109" s="157" t="s">
        <v>28</v>
      </c>
      <c r="X109" s="156"/>
      <c r="Y109" s="156"/>
      <c r="Z109" s="157" t="s">
        <v>28</v>
      </c>
      <c r="AA109" s="156"/>
      <c r="AB109" s="156"/>
      <c r="AC109" s="157" t="s">
        <v>28</v>
      </c>
      <c r="AD109" s="156"/>
      <c r="AE109" s="156"/>
      <c r="AF109" s="157" t="s">
        <v>28</v>
      </c>
      <c r="AG109" s="156"/>
      <c r="AH109" s="156"/>
      <c r="AI109" s="157" t="s">
        <v>28</v>
      </c>
      <c r="AJ109" s="156"/>
      <c r="AK109" s="156"/>
      <c r="AL109" s="157" t="s">
        <v>28</v>
      </c>
      <c r="AM109" s="156"/>
      <c r="AN109" s="156"/>
      <c r="AO109" s="157" t="s">
        <v>28</v>
      </c>
      <c r="AP109" s="156"/>
      <c r="AQ109" s="156"/>
      <c r="AR109" s="157" t="s">
        <v>28</v>
      </c>
      <c r="AS109" s="156"/>
      <c r="AT109" s="156"/>
      <c r="AU109" s="157" t="s">
        <v>28</v>
      </c>
      <c r="AV109" s="156"/>
      <c r="AW109" s="156"/>
      <c r="AX109" s="157" t="s">
        <v>28</v>
      </c>
      <c r="AY109" s="156"/>
      <c r="AZ109" s="156"/>
      <c r="BA109" s="156"/>
    </row>
    <row r="110" spans="1:53" ht="14.45" customHeight="1" x14ac:dyDescent="0.25">
      <c r="A110" s="158" t="s">
        <v>195</v>
      </c>
      <c r="B110" s="156"/>
      <c r="C110" s="157" t="s">
        <v>28</v>
      </c>
      <c r="D110" s="156"/>
      <c r="E110" s="156"/>
      <c r="F110" s="157" t="s">
        <v>28</v>
      </c>
      <c r="G110" s="156"/>
      <c r="H110" s="156"/>
      <c r="I110" s="157" t="s">
        <v>28</v>
      </c>
      <c r="J110" s="156"/>
      <c r="K110" s="156"/>
      <c r="L110" s="157" t="s">
        <v>28</v>
      </c>
      <c r="M110" s="156"/>
      <c r="N110" s="156"/>
      <c r="O110" s="157" t="s">
        <v>28</v>
      </c>
      <c r="P110" s="156"/>
      <c r="Q110" s="156"/>
      <c r="R110" s="156"/>
      <c r="S110" s="156"/>
      <c r="T110" s="157" t="s">
        <v>28</v>
      </c>
      <c r="U110" s="156"/>
      <c r="V110" s="156"/>
      <c r="W110" s="157" t="s">
        <v>28</v>
      </c>
      <c r="X110" s="156"/>
      <c r="Y110" s="156"/>
      <c r="Z110" s="157" t="s">
        <v>28</v>
      </c>
      <c r="AA110" s="156"/>
      <c r="AB110" s="156"/>
      <c r="AC110" s="157" t="s">
        <v>28</v>
      </c>
      <c r="AD110" s="156"/>
      <c r="AE110" s="156"/>
      <c r="AF110" s="157" t="s">
        <v>28</v>
      </c>
      <c r="AG110" s="156"/>
      <c r="AH110" s="156"/>
      <c r="AI110" s="157" t="s">
        <v>28</v>
      </c>
      <c r="AJ110" s="156"/>
      <c r="AK110" s="156"/>
      <c r="AL110" s="157" t="s">
        <v>28</v>
      </c>
      <c r="AM110" s="156"/>
      <c r="AN110" s="156"/>
      <c r="AO110" s="157" t="s">
        <v>28</v>
      </c>
      <c r="AP110" s="156"/>
      <c r="AQ110" s="156"/>
      <c r="AR110" s="157" t="s">
        <v>28</v>
      </c>
      <c r="AS110" s="156"/>
      <c r="AT110" s="156"/>
      <c r="AU110" s="157" t="s">
        <v>28</v>
      </c>
      <c r="AV110" s="156"/>
      <c r="AW110" s="156"/>
      <c r="AX110" s="157" t="s">
        <v>28</v>
      </c>
      <c r="AY110" s="156"/>
      <c r="AZ110" s="156"/>
      <c r="BA110" s="156"/>
    </row>
    <row r="111" spans="1:53" ht="14.45" customHeight="1" x14ac:dyDescent="0.25">
      <c r="A111" s="156"/>
      <c r="B111" s="156"/>
      <c r="C111" s="156"/>
      <c r="D111" s="156"/>
      <c r="E111" s="156"/>
      <c r="F111" s="156"/>
      <c r="G111" s="156"/>
      <c r="H111" s="156"/>
      <c r="I111" s="156"/>
      <c r="J111" s="156"/>
      <c r="K111" s="156"/>
      <c r="L111" s="156"/>
      <c r="M111" s="156"/>
      <c r="N111" s="156"/>
      <c r="O111" s="156"/>
      <c r="P111" s="156"/>
      <c r="Q111" s="156"/>
      <c r="R111" s="156"/>
      <c r="S111" s="156"/>
      <c r="T111" s="156"/>
      <c r="U111" s="156"/>
      <c r="V111" s="156"/>
      <c r="W111" s="156"/>
      <c r="X111" s="156"/>
      <c r="Y111" s="156"/>
      <c r="Z111" s="156"/>
      <c r="AA111" s="156"/>
      <c r="AB111" s="156"/>
      <c r="AC111" s="156"/>
      <c r="AD111" s="156"/>
      <c r="AE111" s="156"/>
      <c r="AF111" s="156"/>
      <c r="AG111" s="156"/>
      <c r="AH111" s="156"/>
      <c r="AI111" s="156"/>
      <c r="AJ111" s="156"/>
      <c r="AK111" s="156"/>
      <c r="AL111" s="156"/>
      <c r="AM111" s="156"/>
      <c r="AN111" s="156"/>
      <c r="AO111" s="156"/>
      <c r="AP111" s="156"/>
      <c r="AQ111" s="156"/>
      <c r="AR111" s="156"/>
      <c r="AS111" s="156"/>
      <c r="AT111" s="156"/>
      <c r="AU111" s="156"/>
      <c r="AV111" s="156"/>
      <c r="AW111" s="156"/>
      <c r="AX111" s="156"/>
      <c r="AY111" s="156"/>
      <c r="AZ111" s="156"/>
      <c r="BA111" s="156"/>
    </row>
    <row r="112" spans="1:53" ht="14.45" customHeight="1" x14ac:dyDescent="0.25">
      <c r="A112" s="164" t="s">
        <v>91</v>
      </c>
      <c r="B112" s="156"/>
      <c r="C112" s="162"/>
      <c r="D112" s="156"/>
      <c r="E112" s="156"/>
      <c r="F112" s="162"/>
      <c r="G112" s="156"/>
      <c r="H112" s="156"/>
      <c r="I112" s="162"/>
      <c r="J112" s="156"/>
      <c r="K112" s="156"/>
      <c r="L112" s="162"/>
      <c r="M112" s="156"/>
      <c r="N112" s="156"/>
      <c r="O112" s="162"/>
      <c r="P112" s="156"/>
      <c r="Q112" s="156"/>
      <c r="R112" s="156"/>
      <c r="S112" s="156"/>
      <c r="T112" s="162"/>
      <c r="U112" s="156"/>
      <c r="V112" s="156"/>
      <c r="W112" s="162"/>
      <c r="X112" s="156"/>
      <c r="Y112" s="156"/>
      <c r="Z112" s="162"/>
      <c r="AA112" s="156"/>
      <c r="AB112" s="156"/>
      <c r="AC112" s="162"/>
      <c r="AD112" s="156"/>
      <c r="AE112" s="156"/>
      <c r="AF112" s="162"/>
      <c r="AG112" s="156"/>
      <c r="AH112" s="156"/>
      <c r="AI112" s="162"/>
      <c r="AJ112" s="156"/>
      <c r="AK112" s="156"/>
      <c r="AL112" s="162"/>
      <c r="AM112" s="156"/>
      <c r="AN112" s="156"/>
      <c r="AO112" s="162"/>
      <c r="AP112" s="156"/>
      <c r="AQ112" s="156"/>
      <c r="AR112" s="162"/>
      <c r="AS112" s="156"/>
      <c r="AT112" s="156"/>
      <c r="AU112" s="162"/>
      <c r="AV112" s="156"/>
      <c r="AW112" s="156"/>
      <c r="AX112" s="162"/>
      <c r="AY112" s="156"/>
      <c r="AZ112" s="156"/>
      <c r="BA112" s="156"/>
    </row>
    <row r="113" spans="1:53" ht="14.45" customHeight="1" x14ac:dyDescent="0.25">
      <c r="A113" s="163" t="s">
        <v>93</v>
      </c>
      <c r="B113" s="156"/>
      <c r="C113" s="156"/>
      <c r="D113" s="156"/>
      <c r="E113" s="156"/>
      <c r="F113" s="156"/>
      <c r="G113" s="156"/>
      <c r="H113" s="156"/>
      <c r="I113" s="156"/>
      <c r="J113" s="156"/>
      <c r="K113" s="156"/>
      <c r="L113" s="156"/>
      <c r="M113" s="156"/>
      <c r="N113" s="156"/>
      <c r="O113" s="156"/>
      <c r="P113" s="156"/>
      <c r="Q113" s="156"/>
      <c r="R113" s="156"/>
      <c r="S113" s="156"/>
      <c r="T113" s="156"/>
      <c r="U113" s="156"/>
      <c r="V113" s="156"/>
      <c r="W113" s="156"/>
      <c r="X113" s="156"/>
      <c r="Y113" s="156"/>
      <c r="Z113" s="156"/>
      <c r="AA113" s="156"/>
      <c r="AB113" s="156"/>
      <c r="AC113" s="156"/>
      <c r="AD113" s="156"/>
      <c r="AE113" s="156"/>
      <c r="AF113" s="156"/>
      <c r="AG113" s="156"/>
      <c r="AH113" s="156"/>
      <c r="AI113" s="156"/>
      <c r="AJ113" s="156"/>
      <c r="AK113" s="156"/>
      <c r="AL113" s="156"/>
      <c r="AM113" s="156"/>
      <c r="AN113" s="156"/>
      <c r="AO113" s="156"/>
      <c r="AP113" s="156"/>
      <c r="AQ113" s="156"/>
      <c r="AR113" s="156"/>
      <c r="AS113" s="156"/>
      <c r="AT113" s="156"/>
      <c r="AU113" s="156"/>
      <c r="AV113" s="156"/>
      <c r="AW113" s="156"/>
      <c r="AX113" s="156"/>
      <c r="AY113" s="156"/>
      <c r="AZ113" s="156"/>
      <c r="BA113" s="156"/>
    </row>
    <row r="114" spans="1:53" ht="14.45" customHeight="1" x14ac:dyDescent="0.25">
      <c r="A114" s="158" t="s">
        <v>196</v>
      </c>
      <c r="B114" s="156"/>
      <c r="C114" s="159">
        <v>0</v>
      </c>
      <c r="D114" s="156"/>
      <c r="E114" s="156"/>
      <c r="F114" s="159">
        <v>0</v>
      </c>
      <c r="G114" s="156"/>
      <c r="H114" s="156"/>
      <c r="I114" s="159">
        <v>0</v>
      </c>
      <c r="J114" s="156"/>
      <c r="K114" s="156"/>
      <c r="L114" s="159">
        <v>0</v>
      </c>
      <c r="M114" s="156"/>
      <c r="N114" s="156"/>
      <c r="O114" s="159">
        <v>0</v>
      </c>
      <c r="P114" s="156"/>
      <c r="Q114" s="156"/>
      <c r="R114" s="156"/>
      <c r="S114" s="156"/>
      <c r="T114" s="159">
        <v>0</v>
      </c>
      <c r="U114" s="156"/>
      <c r="V114" s="156"/>
      <c r="W114" s="159">
        <v>0</v>
      </c>
      <c r="X114" s="156"/>
      <c r="Y114" s="156"/>
      <c r="Z114" s="159">
        <v>0</v>
      </c>
      <c r="AA114" s="156"/>
      <c r="AB114" s="156"/>
      <c r="AC114" s="159">
        <v>0</v>
      </c>
      <c r="AD114" s="156"/>
      <c r="AE114" s="156"/>
      <c r="AF114" s="159">
        <v>0</v>
      </c>
      <c r="AG114" s="156"/>
      <c r="AH114" s="156"/>
      <c r="AI114" s="159">
        <v>0</v>
      </c>
      <c r="AJ114" s="156"/>
      <c r="AK114" s="156"/>
      <c r="AL114" s="157" t="s">
        <v>28</v>
      </c>
      <c r="AM114" s="156"/>
      <c r="AN114" s="156"/>
      <c r="AO114" s="157" t="s">
        <v>28</v>
      </c>
      <c r="AP114" s="156"/>
      <c r="AQ114" s="156"/>
      <c r="AR114" s="157" t="s">
        <v>28</v>
      </c>
      <c r="AS114" s="156"/>
      <c r="AT114" s="156"/>
      <c r="AU114" s="157" t="s">
        <v>28</v>
      </c>
      <c r="AV114" s="156"/>
      <c r="AW114" s="156"/>
      <c r="AX114" s="157" t="s">
        <v>28</v>
      </c>
      <c r="AY114" s="156"/>
      <c r="AZ114" s="156"/>
      <c r="BA114" s="156"/>
    </row>
    <row r="115" spans="1:53" ht="14.45" customHeight="1" x14ac:dyDescent="0.25">
      <c r="A115" s="158" t="s">
        <v>197</v>
      </c>
      <c r="B115" s="156"/>
      <c r="C115" s="159">
        <v>0</v>
      </c>
      <c r="D115" s="156"/>
      <c r="E115" s="156"/>
      <c r="F115" s="159">
        <v>0</v>
      </c>
      <c r="G115" s="156"/>
      <c r="H115" s="156"/>
      <c r="I115" s="159">
        <v>0</v>
      </c>
      <c r="J115" s="156"/>
      <c r="K115" s="156"/>
      <c r="L115" s="159">
        <v>0</v>
      </c>
      <c r="M115" s="156"/>
      <c r="N115" s="156"/>
      <c r="O115" s="159">
        <v>0</v>
      </c>
      <c r="P115" s="156"/>
      <c r="Q115" s="156"/>
      <c r="R115" s="156"/>
      <c r="S115" s="156"/>
      <c r="T115" s="159">
        <v>0</v>
      </c>
      <c r="U115" s="156"/>
      <c r="V115" s="156"/>
      <c r="W115" s="159">
        <v>0</v>
      </c>
      <c r="X115" s="156"/>
      <c r="Y115" s="156"/>
      <c r="Z115" s="159">
        <v>0</v>
      </c>
      <c r="AA115" s="156"/>
      <c r="AB115" s="156"/>
      <c r="AC115" s="159">
        <v>0</v>
      </c>
      <c r="AD115" s="156"/>
      <c r="AE115" s="156"/>
      <c r="AF115" s="159">
        <v>0</v>
      </c>
      <c r="AG115" s="156"/>
      <c r="AH115" s="156"/>
      <c r="AI115" s="159">
        <v>0</v>
      </c>
      <c r="AJ115" s="156"/>
      <c r="AK115" s="156"/>
      <c r="AL115" s="157" t="s">
        <v>28</v>
      </c>
      <c r="AM115" s="156"/>
      <c r="AN115" s="156"/>
      <c r="AO115" s="157" t="s">
        <v>28</v>
      </c>
      <c r="AP115" s="156"/>
      <c r="AQ115" s="156"/>
      <c r="AR115" s="157" t="s">
        <v>28</v>
      </c>
      <c r="AS115" s="156"/>
      <c r="AT115" s="156"/>
      <c r="AU115" s="157" t="s">
        <v>28</v>
      </c>
      <c r="AV115" s="156"/>
      <c r="AW115" s="156"/>
      <c r="AX115" s="157" t="s">
        <v>28</v>
      </c>
      <c r="AY115" s="156"/>
      <c r="AZ115" s="156"/>
      <c r="BA115" s="156"/>
    </row>
    <row r="116" spans="1:53" ht="14.45" customHeight="1" x14ac:dyDescent="0.25">
      <c r="A116" s="158" t="s">
        <v>198</v>
      </c>
      <c r="B116" s="156"/>
      <c r="C116" s="159">
        <v>0</v>
      </c>
      <c r="D116" s="156"/>
      <c r="E116" s="156"/>
      <c r="F116" s="159">
        <v>0</v>
      </c>
      <c r="G116" s="156"/>
      <c r="H116" s="156"/>
      <c r="I116" s="159">
        <v>0</v>
      </c>
      <c r="J116" s="156"/>
      <c r="K116" s="156"/>
      <c r="L116" s="159">
        <v>0</v>
      </c>
      <c r="M116" s="156"/>
      <c r="N116" s="156"/>
      <c r="O116" s="159">
        <v>0</v>
      </c>
      <c r="P116" s="156"/>
      <c r="Q116" s="156"/>
      <c r="R116" s="156"/>
      <c r="S116" s="156"/>
      <c r="T116" s="159">
        <v>0</v>
      </c>
      <c r="U116" s="156"/>
      <c r="V116" s="156"/>
      <c r="W116" s="159">
        <v>0</v>
      </c>
      <c r="X116" s="156"/>
      <c r="Y116" s="156"/>
      <c r="Z116" s="159">
        <v>0</v>
      </c>
      <c r="AA116" s="156"/>
      <c r="AB116" s="156"/>
      <c r="AC116" s="159">
        <v>0</v>
      </c>
      <c r="AD116" s="156"/>
      <c r="AE116" s="156"/>
      <c r="AF116" s="159">
        <v>0</v>
      </c>
      <c r="AG116" s="156"/>
      <c r="AH116" s="156"/>
      <c r="AI116" s="159">
        <v>0</v>
      </c>
      <c r="AJ116" s="156"/>
      <c r="AK116" s="156"/>
      <c r="AL116" s="157" t="s">
        <v>28</v>
      </c>
      <c r="AM116" s="156"/>
      <c r="AN116" s="156"/>
      <c r="AO116" s="157" t="s">
        <v>28</v>
      </c>
      <c r="AP116" s="156"/>
      <c r="AQ116" s="156"/>
      <c r="AR116" s="157" t="s">
        <v>28</v>
      </c>
      <c r="AS116" s="156"/>
      <c r="AT116" s="156"/>
      <c r="AU116" s="157" t="s">
        <v>28</v>
      </c>
      <c r="AV116" s="156"/>
      <c r="AW116" s="156"/>
      <c r="AX116" s="157" t="s">
        <v>28</v>
      </c>
      <c r="AY116" s="156"/>
      <c r="AZ116" s="156"/>
      <c r="BA116" s="156"/>
    </row>
    <row r="117" spans="1:53" ht="14.45" customHeight="1" x14ac:dyDescent="0.25">
      <c r="A117" s="158" t="s">
        <v>199</v>
      </c>
      <c r="B117" s="156"/>
      <c r="C117" s="159">
        <v>0</v>
      </c>
      <c r="D117" s="156"/>
      <c r="E117" s="156"/>
      <c r="F117" s="159">
        <v>0</v>
      </c>
      <c r="G117" s="156"/>
      <c r="H117" s="156"/>
      <c r="I117" s="159">
        <v>0</v>
      </c>
      <c r="J117" s="156"/>
      <c r="K117" s="156"/>
      <c r="L117" s="159">
        <v>0</v>
      </c>
      <c r="M117" s="156"/>
      <c r="N117" s="156"/>
      <c r="O117" s="159">
        <v>0</v>
      </c>
      <c r="P117" s="156"/>
      <c r="Q117" s="156"/>
      <c r="R117" s="156"/>
      <c r="S117" s="156"/>
      <c r="T117" s="159">
        <v>0</v>
      </c>
      <c r="U117" s="156"/>
      <c r="V117" s="156"/>
      <c r="W117" s="159">
        <v>0</v>
      </c>
      <c r="X117" s="156"/>
      <c r="Y117" s="156"/>
      <c r="Z117" s="159">
        <v>0</v>
      </c>
      <c r="AA117" s="156"/>
      <c r="AB117" s="156"/>
      <c r="AC117" s="159">
        <v>0</v>
      </c>
      <c r="AD117" s="156"/>
      <c r="AE117" s="156"/>
      <c r="AF117" s="159">
        <v>0</v>
      </c>
      <c r="AG117" s="156"/>
      <c r="AH117" s="156"/>
      <c r="AI117" s="159">
        <v>0</v>
      </c>
      <c r="AJ117" s="156"/>
      <c r="AK117" s="156"/>
      <c r="AL117" s="157" t="s">
        <v>28</v>
      </c>
      <c r="AM117" s="156"/>
      <c r="AN117" s="156"/>
      <c r="AO117" s="157" t="s">
        <v>28</v>
      </c>
      <c r="AP117" s="156"/>
      <c r="AQ117" s="156"/>
      <c r="AR117" s="157" t="s">
        <v>28</v>
      </c>
      <c r="AS117" s="156"/>
      <c r="AT117" s="156"/>
      <c r="AU117" s="157" t="s">
        <v>28</v>
      </c>
      <c r="AV117" s="156"/>
      <c r="AW117" s="156"/>
      <c r="AX117" s="157" t="s">
        <v>28</v>
      </c>
      <c r="AY117" s="156"/>
      <c r="AZ117" s="156"/>
      <c r="BA117" s="156"/>
    </row>
    <row r="118" spans="1:53" ht="14.45" customHeight="1" x14ac:dyDescent="0.25">
      <c r="A118" s="158" t="s">
        <v>200</v>
      </c>
      <c r="B118" s="156"/>
      <c r="C118" s="159">
        <v>9791110.8900000006</v>
      </c>
      <c r="D118" s="156"/>
      <c r="E118" s="156"/>
      <c r="F118" s="159">
        <v>6055313.9699999997</v>
      </c>
      <c r="G118" s="156"/>
      <c r="H118" s="156"/>
      <c r="I118" s="159">
        <v>5712463.54</v>
      </c>
      <c r="J118" s="156"/>
      <c r="K118" s="156"/>
      <c r="L118" s="159">
        <v>5563102.9400000004</v>
      </c>
      <c r="M118" s="156"/>
      <c r="N118" s="156"/>
      <c r="O118" s="159">
        <v>5530345.9199999999</v>
      </c>
      <c r="P118" s="156"/>
      <c r="Q118" s="156"/>
      <c r="R118" s="156"/>
      <c r="S118" s="156"/>
      <c r="T118" s="159">
        <v>5557246.8799999999</v>
      </c>
      <c r="U118" s="156"/>
      <c r="V118" s="156"/>
      <c r="W118" s="159">
        <v>5360288.9000000004</v>
      </c>
      <c r="X118" s="156"/>
      <c r="Y118" s="156"/>
      <c r="Z118" s="159">
        <v>5159943.7</v>
      </c>
      <c r="AA118" s="156"/>
      <c r="AB118" s="156"/>
      <c r="AC118" s="159">
        <v>7779027.9900000002</v>
      </c>
      <c r="AD118" s="156"/>
      <c r="AE118" s="156"/>
      <c r="AF118" s="159">
        <v>8457119.2780000009</v>
      </c>
      <c r="AG118" s="156"/>
      <c r="AH118" s="156"/>
      <c r="AI118" s="159">
        <v>9076413.8200000003</v>
      </c>
      <c r="AJ118" s="156"/>
      <c r="AK118" s="156"/>
      <c r="AL118" s="157" t="s">
        <v>28</v>
      </c>
      <c r="AM118" s="156"/>
      <c r="AN118" s="156"/>
      <c r="AO118" s="157" t="s">
        <v>28</v>
      </c>
      <c r="AP118" s="156"/>
      <c r="AQ118" s="156"/>
      <c r="AR118" s="157" t="s">
        <v>28</v>
      </c>
      <c r="AS118" s="156"/>
      <c r="AT118" s="156"/>
      <c r="AU118" s="157" t="s">
        <v>28</v>
      </c>
      <c r="AV118" s="156"/>
      <c r="AW118" s="156"/>
      <c r="AX118" s="157" t="s">
        <v>28</v>
      </c>
      <c r="AY118" s="156"/>
      <c r="AZ118" s="156"/>
      <c r="BA118" s="156"/>
    </row>
    <row r="119" spans="1:53" ht="14.45" customHeight="1" x14ac:dyDescent="0.25">
      <c r="A119" s="156"/>
      <c r="B119" s="156"/>
      <c r="C119" s="156"/>
      <c r="D119" s="156"/>
      <c r="E119" s="156"/>
      <c r="F119" s="156"/>
      <c r="G119" s="156"/>
      <c r="H119" s="156"/>
      <c r="I119" s="156"/>
      <c r="J119" s="156"/>
      <c r="K119" s="156"/>
      <c r="L119" s="156"/>
      <c r="M119" s="156"/>
      <c r="N119" s="156"/>
      <c r="O119" s="156"/>
      <c r="P119" s="156"/>
      <c r="Q119" s="156"/>
      <c r="R119" s="156"/>
      <c r="S119" s="156"/>
      <c r="T119" s="156"/>
      <c r="U119" s="156"/>
      <c r="V119" s="156"/>
      <c r="W119" s="156"/>
      <c r="X119" s="156"/>
      <c r="Y119" s="156"/>
      <c r="Z119" s="156"/>
      <c r="AA119" s="156"/>
      <c r="AB119" s="156"/>
      <c r="AC119" s="156"/>
      <c r="AD119" s="156"/>
      <c r="AE119" s="156"/>
      <c r="AF119" s="156"/>
      <c r="AG119" s="156"/>
      <c r="AH119" s="156"/>
      <c r="AI119" s="156"/>
      <c r="AJ119" s="156"/>
      <c r="AK119" s="156"/>
      <c r="AL119" s="156"/>
      <c r="AM119" s="156"/>
      <c r="AN119" s="156"/>
      <c r="AO119" s="156"/>
      <c r="AP119" s="156"/>
      <c r="AQ119" s="156"/>
      <c r="AR119" s="156"/>
      <c r="AS119" s="156"/>
      <c r="AT119" s="156"/>
      <c r="AU119" s="156"/>
      <c r="AV119" s="156"/>
      <c r="AW119" s="156"/>
      <c r="AX119" s="156"/>
      <c r="AY119" s="156"/>
      <c r="AZ119" s="156"/>
      <c r="BA119" s="156"/>
    </row>
    <row r="120" spans="1:53" ht="27.6" customHeight="1" x14ac:dyDescent="0.25">
      <c r="A120" s="163" t="s">
        <v>201</v>
      </c>
      <c r="B120" s="156"/>
      <c r="C120" s="156"/>
      <c r="D120" s="156"/>
      <c r="E120" s="156"/>
      <c r="F120" s="156"/>
      <c r="G120" s="156"/>
      <c r="H120" s="156"/>
      <c r="I120" s="156"/>
      <c r="J120" s="156"/>
      <c r="K120" s="156"/>
      <c r="L120" s="156"/>
      <c r="M120" s="156"/>
      <c r="N120" s="156"/>
      <c r="O120" s="156"/>
      <c r="P120" s="156"/>
      <c r="Q120" s="156"/>
      <c r="R120" s="156"/>
      <c r="S120" s="156"/>
      <c r="T120" s="156"/>
      <c r="U120" s="156"/>
      <c r="V120" s="156"/>
      <c r="W120" s="156"/>
      <c r="X120" s="156"/>
      <c r="Y120" s="156"/>
      <c r="Z120" s="156"/>
      <c r="AA120" s="156"/>
      <c r="AB120" s="156"/>
      <c r="AC120" s="156"/>
      <c r="AD120" s="156"/>
      <c r="AE120" s="156"/>
      <c r="AF120" s="156"/>
      <c r="AG120" s="156"/>
      <c r="AH120" s="156"/>
      <c r="AI120" s="156"/>
      <c r="AJ120" s="156"/>
      <c r="AK120" s="156"/>
      <c r="AL120" s="156"/>
      <c r="AM120" s="156"/>
      <c r="AN120" s="156"/>
      <c r="AO120" s="156"/>
      <c r="AP120" s="156"/>
      <c r="AQ120" s="156"/>
      <c r="AR120" s="156"/>
      <c r="AS120" s="156"/>
      <c r="AT120" s="156"/>
      <c r="AU120" s="156"/>
      <c r="AV120" s="156"/>
      <c r="AW120" s="156"/>
      <c r="AX120" s="156"/>
      <c r="AY120" s="156"/>
      <c r="AZ120" s="156"/>
      <c r="BA120" s="156"/>
    </row>
    <row r="121" spans="1:53" ht="14.45" customHeight="1" x14ac:dyDescent="0.25">
      <c r="A121" s="158" t="s">
        <v>202</v>
      </c>
      <c r="B121" s="156"/>
      <c r="C121" s="159">
        <v>0</v>
      </c>
      <c r="D121" s="156"/>
      <c r="E121" s="156"/>
      <c r="F121" s="159">
        <v>0</v>
      </c>
      <c r="G121" s="156"/>
      <c r="H121" s="156"/>
      <c r="I121" s="159">
        <v>0</v>
      </c>
      <c r="J121" s="156"/>
      <c r="K121" s="156"/>
      <c r="L121" s="159">
        <v>0</v>
      </c>
      <c r="M121" s="156"/>
      <c r="N121" s="156"/>
      <c r="O121" s="159">
        <v>0</v>
      </c>
      <c r="P121" s="156"/>
      <c r="Q121" s="156"/>
      <c r="R121" s="156"/>
      <c r="S121" s="156"/>
      <c r="T121" s="159">
        <v>0</v>
      </c>
      <c r="U121" s="156"/>
      <c r="V121" s="156"/>
      <c r="W121" s="159">
        <v>0</v>
      </c>
      <c r="X121" s="156"/>
      <c r="Y121" s="156"/>
      <c r="Z121" s="159">
        <v>0</v>
      </c>
      <c r="AA121" s="156"/>
      <c r="AB121" s="156"/>
      <c r="AC121" s="159">
        <v>0</v>
      </c>
      <c r="AD121" s="156"/>
      <c r="AE121" s="156"/>
      <c r="AF121" s="159">
        <v>0</v>
      </c>
      <c r="AG121" s="156"/>
      <c r="AH121" s="156"/>
      <c r="AI121" s="159">
        <v>0</v>
      </c>
      <c r="AJ121" s="156"/>
      <c r="AK121" s="156"/>
      <c r="AL121" s="157" t="s">
        <v>28</v>
      </c>
      <c r="AM121" s="156"/>
      <c r="AN121" s="156"/>
      <c r="AO121" s="157" t="s">
        <v>28</v>
      </c>
      <c r="AP121" s="156"/>
      <c r="AQ121" s="156"/>
      <c r="AR121" s="157" t="s">
        <v>28</v>
      </c>
      <c r="AS121" s="156"/>
      <c r="AT121" s="156"/>
      <c r="AU121" s="157" t="s">
        <v>28</v>
      </c>
      <c r="AV121" s="156"/>
      <c r="AW121" s="156"/>
      <c r="AX121" s="157" t="s">
        <v>28</v>
      </c>
      <c r="AY121" s="156"/>
      <c r="AZ121" s="156"/>
      <c r="BA121" s="156"/>
    </row>
    <row r="122" spans="1:53" ht="14.45" customHeight="1" x14ac:dyDescent="0.25">
      <c r="A122" s="158" t="s">
        <v>203</v>
      </c>
      <c r="B122" s="156"/>
      <c r="C122" s="159">
        <v>0</v>
      </c>
      <c r="D122" s="156"/>
      <c r="E122" s="156"/>
      <c r="F122" s="159">
        <v>0</v>
      </c>
      <c r="G122" s="156"/>
      <c r="H122" s="156"/>
      <c r="I122" s="159">
        <v>0</v>
      </c>
      <c r="J122" s="156"/>
      <c r="K122" s="156"/>
      <c r="L122" s="159">
        <v>0</v>
      </c>
      <c r="M122" s="156"/>
      <c r="N122" s="156"/>
      <c r="O122" s="159">
        <v>0</v>
      </c>
      <c r="P122" s="156"/>
      <c r="Q122" s="156"/>
      <c r="R122" s="156"/>
      <c r="S122" s="156"/>
      <c r="T122" s="159">
        <v>0</v>
      </c>
      <c r="U122" s="156"/>
      <c r="V122" s="156"/>
      <c r="W122" s="159">
        <v>0</v>
      </c>
      <c r="X122" s="156"/>
      <c r="Y122" s="156"/>
      <c r="Z122" s="159">
        <v>0</v>
      </c>
      <c r="AA122" s="156"/>
      <c r="AB122" s="156"/>
      <c r="AC122" s="159">
        <v>0</v>
      </c>
      <c r="AD122" s="156"/>
      <c r="AE122" s="156"/>
      <c r="AF122" s="159">
        <v>0</v>
      </c>
      <c r="AG122" s="156"/>
      <c r="AH122" s="156"/>
      <c r="AI122" s="159">
        <v>0</v>
      </c>
      <c r="AJ122" s="156"/>
      <c r="AK122" s="156"/>
      <c r="AL122" s="157" t="s">
        <v>28</v>
      </c>
      <c r="AM122" s="156"/>
      <c r="AN122" s="156"/>
      <c r="AO122" s="157" t="s">
        <v>28</v>
      </c>
      <c r="AP122" s="156"/>
      <c r="AQ122" s="156"/>
      <c r="AR122" s="157" t="s">
        <v>28</v>
      </c>
      <c r="AS122" s="156"/>
      <c r="AT122" s="156"/>
      <c r="AU122" s="157" t="s">
        <v>28</v>
      </c>
      <c r="AV122" s="156"/>
      <c r="AW122" s="156"/>
      <c r="AX122" s="157" t="s">
        <v>28</v>
      </c>
      <c r="AY122" s="156"/>
      <c r="AZ122" s="156"/>
      <c r="BA122" s="156"/>
    </row>
    <row r="123" spans="1:53" ht="27.6" customHeight="1" x14ac:dyDescent="0.25">
      <c r="A123" s="158" t="s">
        <v>204</v>
      </c>
      <c r="B123" s="156"/>
      <c r="C123" s="159">
        <v>0</v>
      </c>
      <c r="D123" s="156"/>
      <c r="E123" s="156"/>
      <c r="F123" s="159">
        <v>0</v>
      </c>
      <c r="G123" s="156"/>
      <c r="H123" s="156"/>
      <c r="I123" s="159">
        <v>0</v>
      </c>
      <c r="J123" s="156"/>
      <c r="K123" s="156"/>
      <c r="L123" s="159">
        <v>0</v>
      </c>
      <c r="M123" s="156"/>
      <c r="N123" s="156"/>
      <c r="O123" s="159">
        <v>0</v>
      </c>
      <c r="P123" s="156"/>
      <c r="Q123" s="156"/>
      <c r="R123" s="156"/>
      <c r="S123" s="156"/>
      <c r="T123" s="159">
        <v>0</v>
      </c>
      <c r="U123" s="156"/>
      <c r="V123" s="156"/>
      <c r="W123" s="159">
        <v>0</v>
      </c>
      <c r="X123" s="156"/>
      <c r="Y123" s="156"/>
      <c r="Z123" s="159">
        <v>0</v>
      </c>
      <c r="AA123" s="156"/>
      <c r="AB123" s="156"/>
      <c r="AC123" s="159">
        <v>0</v>
      </c>
      <c r="AD123" s="156"/>
      <c r="AE123" s="156"/>
      <c r="AF123" s="159">
        <v>0</v>
      </c>
      <c r="AG123" s="156"/>
      <c r="AH123" s="156"/>
      <c r="AI123" s="159">
        <v>0</v>
      </c>
      <c r="AJ123" s="156"/>
      <c r="AK123" s="156"/>
      <c r="AL123" s="157" t="s">
        <v>28</v>
      </c>
      <c r="AM123" s="156"/>
      <c r="AN123" s="156"/>
      <c r="AO123" s="157" t="s">
        <v>28</v>
      </c>
      <c r="AP123" s="156"/>
      <c r="AQ123" s="156"/>
      <c r="AR123" s="157" t="s">
        <v>28</v>
      </c>
      <c r="AS123" s="156"/>
      <c r="AT123" s="156"/>
      <c r="AU123" s="157" t="s">
        <v>28</v>
      </c>
      <c r="AV123" s="156"/>
      <c r="AW123" s="156"/>
      <c r="AX123" s="157" t="s">
        <v>28</v>
      </c>
      <c r="AY123" s="156"/>
      <c r="AZ123" s="156"/>
      <c r="BA123" s="156"/>
    </row>
    <row r="124" spans="1:53" ht="14.45" customHeight="1" x14ac:dyDescent="0.25">
      <c r="A124" s="158" t="s">
        <v>203</v>
      </c>
      <c r="B124" s="156"/>
      <c r="C124" s="159">
        <v>0</v>
      </c>
      <c r="D124" s="156"/>
      <c r="E124" s="156"/>
      <c r="F124" s="159">
        <v>0</v>
      </c>
      <c r="G124" s="156"/>
      <c r="H124" s="156"/>
      <c r="I124" s="159">
        <v>0</v>
      </c>
      <c r="J124" s="156"/>
      <c r="K124" s="156"/>
      <c r="L124" s="159">
        <v>0</v>
      </c>
      <c r="M124" s="156"/>
      <c r="N124" s="156"/>
      <c r="O124" s="159">
        <v>0</v>
      </c>
      <c r="P124" s="156"/>
      <c r="Q124" s="156"/>
      <c r="R124" s="156"/>
      <c r="S124" s="156"/>
      <c r="T124" s="159">
        <v>0</v>
      </c>
      <c r="U124" s="156"/>
      <c r="V124" s="156"/>
      <c r="W124" s="159">
        <v>0</v>
      </c>
      <c r="X124" s="156"/>
      <c r="Y124" s="156"/>
      <c r="Z124" s="159">
        <v>0</v>
      </c>
      <c r="AA124" s="156"/>
      <c r="AB124" s="156"/>
      <c r="AC124" s="159">
        <v>0</v>
      </c>
      <c r="AD124" s="156"/>
      <c r="AE124" s="156"/>
      <c r="AF124" s="159">
        <v>0</v>
      </c>
      <c r="AG124" s="156"/>
      <c r="AH124" s="156"/>
      <c r="AI124" s="159">
        <v>0</v>
      </c>
      <c r="AJ124" s="156"/>
      <c r="AK124" s="156"/>
      <c r="AL124" s="157" t="s">
        <v>28</v>
      </c>
      <c r="AM124" s="156"/>
      <c r="AN124" s="156"/>
      <c r="AO124" s="157" t="s">
        <v>28</v>
      </c>
      <c r="AP124" s="156"/>
      <c r="AQ124" s="156"/>
      <c r="AR124" s="157" t="s">
        <v>28</v>
      </c>
      <c r="AS124" s="156"/>
      <c r="AT124" s="156"/>
      <c r="AU124" s="157" t="s">
        <v>28</v>
      </c>
      <c r="AV124" s="156"/>
      <c r="AW124" s="156"/>
      <c r="AX124" s="157" t="s">
        <v>28</v>
      </c>
      <c r="AY124" s="156"/>
      <c r="AZ124" s="156"/>
      <c r="BA124" s="156"/>
    </row>
    <row r="125" spans="1:53" ht="27.6" customHeight="1" x14ac:dyDescent="0.25">
      <c r="A125" s="158" t="s">
        <v>205</v>
      </c>
      <c r="B125" s="156"/>
      <c r="C125" s="159">
        <v>0</v>
      </c>
      <c r="D125" s="156"/>
      <c r="E125" s="156"/>
      <c r="F125" s="159">
        <v>0</v>
      </c>
      <c r="G125" s="156"/>
      <c r="H125" s="156"/>
      <c r="I125" s="159">
        <v>0</v>
      </c>
      <c r="J125" s="156"/>
      <c r="K125" s="156"/>
      <c r="L125" s="159">
        <v>0</v>
      </c>
      <c r="M125" s="156"/>
      <c r="N125" s="156"/>
      <c r="O125" s="159">
        <v>0</v>
      </c>
      <c r="P125" s="156"/>
      <c r="Q125" s="156"/>
      <c r="R125" s="156"/>
      <c r="S125" s="156"/>
      <c r="T125" s="159">
        <v>0</v>
      </c>
      <c r="U125" s="156"/>
      <c r="V125" s="156"/>
      <c r="W125" s="159">
        <v>0</v>
      </c>
      <c r="X125" s="156"/>
      <c r="Y125" s="156"/>
      <c r="Z125" s="159">
        <v>0</v>
      </c>
      <c r="AA125" s="156"/>
      <c r="AB125" s="156"/>
      <c r="AC125" s="159">
        <v>0</v>
      </c>
      <c r="AD125" s="156"/>
      <c r="AE125" s="156"/>
      <c r="AF125" s="159">
        <v>0</v>
      </c>
      <c r="AG125" s="156"/>
      <c r="AH125" s="156"/>
      <c r="AI125" s="159">
        <v>0</v>
      </c>
      <c r="AJ125" s="156"/>
      <c r="AK125" s="156"/>
      <c r="AL125" s="157" t="s">
        <v>28</v>
      </c>
      <c r="AM125" s="156"/>
      <c r="AN125" s="156"/>
      <c r="AO125" s="157" t="s">
        <v>28</v>
      </c>
      <c r="AP125" s="156"/>
      <c r="AQ125" s="156"/>
      <c r="AR125" s="157" t="s">
        <v>28</v>
      </c>
      <c r="AS125" s="156"/>
      <c r="AT125" s="156"/>
      <c r="AU125" s="157" t="s">
        <v>28</v>
      </c>
      <c r="AV125" s="156"/>
      <c r="AW125" s="156"/>
      <c r="AX125" s="157" t="s">
        <v>28</v>
      </c>
      <c r="AY125" s="156"/>
      <c r="AZ125" s="156"/>
      <c r="BA125" s="156"/>
    </row>
    <row r="126" spans="1:53" ht="14.45" customHeight="1" x14ac:dyDescent="0.25">
      <c r="A126" s="158" t="s">
        <v>203</v>
      </c>
      <c r="B126" s="156"/>
      <c r="C126" s="159">
        <v>0</v>
      </c>
      <c r="D126" s="156"/>
      <c r="E126" s="156"/>
      <c r="F126" s="159">
        <v>0</v>
      </c>
      <c r="G126" s="156"/>
      <c r="H126" s="156"/>
      <c r="I126" s="159">
        <v>0</v>
      </c>
      <c r="J126" s="156"/>
      <c r="K126" s="156"/>
      <c r="L126" s="159">
        <v>0</v>
      </c>
      <c r="M126" s="156"/>
      <c r="N126" s="156"/>
      <c r="O126" s="159">
        <v>0</v>
      </c>
      <c r="P126" s="156"/>
      <c r="Q126" s="156"/>
      <c r="R126" s="156"/>
      <c r="S126" s="156"/>
      <c r="T126" s="159">
        <v>0</v>
      </c>
      <c r="U126" s="156"/>
      <c r="V126" s="156"/>
      <c r="W126" s="159">
        <v>0</v>
      </c>
      <c r="X126" s="156"/>
      <c r="Y126" s="156"/>
      <c r="Z126" s="159">
        <v>0</v>
      </c>
      <c r="AA126" s="156"/>
      <c r="AB126" s="156"/>
      <c r="AC126" s="159">
        <v>0</v>
      </c>
      <c r="AD126" s="156"/>
      <c r="AE126" s="156"/>
      <c r="AF126" s="159">
        <v>0</v>
      </c>
      <c r="AG126" s="156"/>
      <c r="AH126" s="156"/>
      <c r="AI126" s="159">
        <v>0</v>
      </c>
      <c r="AJ126" s="156"/>
      <c r="AK126" s="156"/>
      <c r="AL126" s="157" t="s">
        <v>28</v>
      </c>
      <c r="AM126" s="156"/>
      <c r="AN126" s="156"/>
      <c r="AO126" s="157" t="s">
        <v>28</v>
      </c>
      <c r="AP126" s="156"/>
      <c r="AQ126" s="156"/>
      <c r="AR126" s="157" t="s">
        <v>28</v>
      </c>
      <c r="AS126" s="156"/>
      <c r="AT126" s="156"/>
      <c r="AU126" s="157" t="s">
        <v>28</v>
      </c>
      <c r="AV126" s="156"/>
      <c r="AW126" s="156"/>
      <c r="AX126" s="157" t="s">
        <v>28</v>
      </c>
      <c r="AY126" s="156"/>
      <c r="AZ126" s="156"/>
      <c r="BA126" s="156"/>
    </row>
    <row r="127" spans="1:53" ht="14.45" customHeight="1" x14ac:dyDescent="0.25">
      <c r="A127" s="156"/>
      <c r="B127" s="156"/>
      <c r="C127" s="156"/>
      <c r="D127" s="156"/>
      <c r="E127" s="156"/>
      <c r="F127" s="156"/>
      <c r="G127" s="156"/>
      <c r="H127" s="156"/>
      <c r="I127" s="156"/>
      <c r="J127" s="156"/>
      <c r="K127" s="156"/>
      <c r="L127" s="156"/>
      <c r="M127" s="156"/>
      <c r="N127" s="156"/>
      <c r="O127" s="156"/>
      <c r="P127" s="156"/>
      <c r="Q127" s="156"/>
      <c r="R127" s="156"/>
      <c r="S127" s="156"/>
      <c r="T127" s="156"/>
      <c r="U127" s="156"/>
      <c r="V127" s="156"/>
      <c r="W127" s="156"/>
      <c r="X127" s="156"/>
      <c r="Y127" s="156"/>
      <c r="Z127" s="156"/>
      <c r="AA127" s="156"/>
      <c r="AB127" s="156"/>
      <c r="AC127" s="156"/>
      <c r="AD127" s="156"/>
      <c r="AE127" s="156"/>
      <c r="AF127" s="156"/>
      <c r="AG127" s="156"/>
      <c r="AH127" s="156"/>
      <c r="AI127" s="156"/>
      <c r="AJ127" s="156"/>
      <c r="AK127" s="156"/>
      <c r="AL127" s="156"/>
      <c r="AM127" s="156"/>
      <c r="AN127" s="156"/>
      <c r="AO127" s="156"/>
      <c r="AP127" s="156"/>
      <c r="AQ127" s="156"/>
      <c r="AR127" s="156"/>
      <c r="AS127" s="156"/>
      <c r="AT127" s="156"/>
      <c r="AU127" s="156"/>
      <c r="AV127" s="156"/>
      <c r="AW127" s="156"/>
      <c r="AX127" s="156"/>
      <c r="AY127" s="156"/>
      <c r="AZ127" s="156"/>
      <c r="BA127" s="156"/>
    </row>
    <row r="128" spans="1:53" ht="27.6" customHeight="1" x14ac:dyDescent="0.25">
      <c r="A128" s="163" t="s">
        <v>98</v>
      </c>
      <c r="B128" s="156"/>
      <c r="C128" s="156"/>
      <c r="D128" s="156"/>
      <c r="E128" s="156"/>
      <c r="F128" s="156"/>
      <c r="G128" s="156"/>
      <c r="H128" s="156"/>
      <c r="I128" s="156"/>
      <c r="J128" s="156"/>
      <c r="K128" s="156"/>
      <c r="L128" s="156"/>
      <c r="M128" s="156"/>
      <c r="N128" s="156"/>
      <c r="O128" s="156"/>
      <c r="P128" s="156"/>
      <c r="Q128" s="156"/>
      <c r="R128" s="156"/>
      <c r="S128" s="156"/>
      <c r="T128" s="156"/>
      <c r="U128" s="156"/>
      <c r="V128" s="156"/>
      <c r="W128" s="156"/>
      <c r="X128" s="156"/>
      <c r="Y128" s="156"/>
      <c r="Z128" s="156"/>
      <c r="AA128" s="156"/>
      <c r="AB128" s="156"/>
      <c r="AC128" s="156"/>
      <c r="AD128" s="156"/>
      <c r="AE128" s="156"/>
      <c r="AF128" s="156"/>
      <c r="AG128" s="156"/>
      <c r="AH128" s="156"/>
      <c r="AI128" s="156"/>
      <c r="AJ128" s="156"/>
      <c r="AK128" s="156"/>
      <c r="AL128" s="156"/>
      <c r="AM128" s="156"/>
      <c r="AN128" s="156"/>
      <c r="AO128" s="156"/>
      <c r="AP128" s="156"/>
      <c r="AQ128" s="156"/>
      <c r="AR128" s="156"/>
      <c r="AS128" s="156"/>
      <c r="AT128" s="156"/>
      <c r="AU128" s="156"/>
      <c r="AV128" s="156"/>
      <c r="AW128" s="156"/>
      <c r="AX128" s="156"/>
      <c r="AY128" s="156"/>
      <c r="AZ128" s="156"/>
      <c r="BA128" s="156"/>
    </row>
    <row r="129" spans="1:53" ht="14.45" customHeight="1" x14ac:dyDescent="0.25">
      <c r="A129" s="158" t="s">
        <v>144</v>
      </c>
      <c r="B129" s="156"/>
      <c r="C129" s="159">
        <v>0</v>
      </c>
      <c r="D129" s="156"/>
      <c r="E129" s="156"/>
      <c r="F129" s="159">
        <v>0</v>
      </c>
      <c r="G129" s="156"/>
      <c r="H129" s="156"/>
      <c r="I129" s="159">
        <v>0</v>
      </c>
      <c r="J129" s="156"/>
      <c r="K129" s="156"/>
      <c r="L129" s="159">
        <v>0</v>
      </c>
      <c r="M129" s="156"/>
      <c r="N129" s="156"/>
      <c r="O129" s="159">
        <v>0</v>
      </c>
      <c r="P129" s="156"/>
      <c r="Q129" s="156"/>
      <c r="R129" s="156"/>
      <c r="S129" s="156"/>
      <c r="T129" s="159">
        <v>0</v>
      </c>
      <c r="U129" s="156"/>
      <c r="V129" s="156"/>
      <c r="W129" s="159">
        <v>0</v>
      </c>
      <c r="X129" s="156"/>
      <c r="Y129" s="156"/>
      <c r="Z129" s="159">
        <v>0</v>
      </c>
      <c r="AA129" s="156"/>
      <c r="AB129" s="156"/>
      <c r="AC129" s="159">
        <v>0</v>
      </c>
      <c r="AD129" s="156"/>
      <c r="AE129" s="156"/>
      <c r="AF129" s="159">
        <v>710502.1</v>
      </c>
      <c r="AG129" s="156"/>
      <c r="AH129" s="156"/>
      <c r="AI129" s="159">
        <v>904869.86</v>
      </c>
      <c r="AJ129" s="156"/>
      <c r="AK129" s="156"/>
      <c r="AL129" s="157" t="s">
        <v>28</v>
      </c>
      <c r="AM129" s="156"/>
      <c r="AN129" s="156"/>
      <c r="AO129" s="157" t="s">
        <v>28</v>
      </c>
      <c r="AP129" s="156"/>
      <c r="AQ129" s="156"/>
      <c r="AR129" s="157" t="s">
        <v>28</v>
      </c>
      <c r="AS129" s="156"/>
      <c r="AT129" s="156"/>
      <c r="AU129" s="157" t="s">
        <v>28</v>
      </c>
      <c r="AV129" s="156"/>
      <c r="AW129" s="156"/>
      <c r="AX129" s="157" t="s">
        <v>28</v>
      </c>
      <c r="AY129" s="156"/>
      <c r="AZ129" s="156"/>
      <c r="BA129" s="156"/>
    </row>
    <row r="130" spans="1:53" ht="14.45" customHeight="1" x14ac:dyDescent="0.25">
      <c r="A130" s="158" t="s">
        <v>143</v>
      </c>
      <c r="B130" s="156"/>
      <c r="C130" s="159">
        <v>2710165.39</v>
      </c>
      <c r="D130" s="156"/>
      <c r="E130" s="156"/>
      <c r="F130" s="159">
        <v>609858.78</v>
      </c>
      <c r="G130" s="156"/>
      <c r="H130" s="156"/>
      <c r="I130" s="159">
        <v>628677.81000000006</v>
      </c>
      <c r="J130" s="156"/>
      <c r="K130" s="156"/>
      <c r="L130" s="159">
        <v>653203.21</v>
      </c>
      <c r="M130" s="156"/>
      <c r="N130" s="156"/>
      <c r="O130" s="159">
        <v>670250.86</v>
      </c>
      <c r="P130" s="156"/>
      <c r="Q130" s="156"/>
      <c r="R130" s="156"/>
      <c r="S130" s="156"/>
      <c r="T130" s="159">
        <v>756460.99</v>
      </c>
      <c r="U130" s="156"/>
      <c r="V130" s="156"/>
      <c r="W130" s="159">
        <v>502240.61</v>
      </c>
      <c r="X130" s="156"/>
      <c r="Y130" s="156"/>
      <c r="Z130" s="159">
        <v>560527.94999999995</v>
      </c>
      <c r="AA130" s="156"/>
      <c r="AB130" s="156"/>
      <c r="AC130" s="159">
        <v>548360.34</v>
      </c>
      <c r="AD130" s="156"/>
      <c r="AE130" s="156"/>
      <c r="AF130" s="159">
        <v>0</v>
      </c>
      <c r="AG130" s="156"/>
      <c r="AH130" s="156"/>
      <c r="AI130" s="159">
        <v>0</v>
      </c>
      <c r="AJ130" s="156"/>
      <c r="AK130" s="156"/>
      <c r="AL130" s="157" t="s">
        <v>28</v>
      </c>
      <c r="AM130" s="156"/>
      <c r="AN130" s="156"/>
      <c r="AO130" s="157" t="s">
        <v>28</v>
      </c>
      <c r="AP130" s="156"/>
      <c r="AQ130" s="156"/>
      <c r="AR130" s="157" t="s">
        <v>28</v>
      </c>
      <c r="AS130" s="156"/>
      <c r="AT130" s="156"/>
      <c r="AU130" s="157" t="s">
        <v>28</v>
      </c>
      <c r="AV130" s="156"/>
      <c r="AW130" s="156"/>
      <c r="AX130" s="157" t="s">
        <v>28</v>
      </c>
      <c r="AY130" s="156"/>
      <c r="AZ130" s="156"/>
      <c r="BA130" s="156"/>
    </row>
    <row r="131" spans="1:53" ht="14.45" customHeight="1" x14ac:dyDescent="0.25">
      <c r="A131" s="158" t="s">
        <v>206</v>
      </c>
      <c r="B131" s="156"/>
      <c r="C131" s="159">
        <v>0</v>
      </c>
      <c r="D131" s="156"/>
      <c r="E131" s="156"/>
      <c r="F131" s="159">
        <v>0</v>
      </c>
      <c r="G131" s="156"/>
      <c r="H131" s="156"/>
      <c r="I131" s="159">
        <v>0</v>
      </c>
      <c r="J131" s="156"/>
      <c r="K131" s="156"/>
      <c r="L131" s="159">
        <v>0</v>
      </c>
      <c r="M131" s="156"/>
      <c r="N131" s="156"/>
      <c r="O131" s="159">
        <v>0</v>
      </c>
      <c r="P131" s="156"/>
      <c r="Q131" s="156"/>
      <c r="R131" s="156"/>
      <c r="S131" s="156"/>
      <c r="T131" s="159">
        <v>0</v>
      </c>
      <c r="U131" s="156"/>
      <c r="V131" s="156"/>
      <c r="W131" s="159">
        <v>0</v>
      </c>
      <c r="X131" s="156"/>
      <c r="Y131" s="156"/>
      <c r="Z131" s="159">
        <v>0</v>
      </c>
      <c r="AA131" s="156"/>
      <c r="AB131" s="156"/>
      <c r="AC131" s="159">
        <v>0</v>
      </c>
      <c r="AD131" s="156"/>
      <c r="AE131" s="156"/>
      <c r="AF131" s="159">
        <v>0</v>
      </c>
      <c r="AG131" s="156"/>
      <c r="AH131" s="156"/>
      <c r="AI131" s="159">
        <v>0</v>
      </c>
      <c r="AJ131" s="156"/>
      <c r="AK131" s="156"/>
      <c r="AL131" s="157" t="s">
        <v>28</v>
      </c>
      <c r="AM131" s="156"/>
      <c r="AN131" s="156"/>
      <c r="AO131" s="157" t="s">
        <v>28</v>
      </c>
      <c r="AP131" s="156"/>
      <c r="AQ131" s="156"/>
      <c r="AR131" s="157" t="s">
        <v>28</v>
      </c>
      <c r="AS131" s="156"/>
      <c r="AT131" s="156"/>
      <c r="AU131" s="157" t="s">
        <v>28</v>
      </c>
      <c r="AV131" s="156"/>
      <c r="AW131" s="156"/>
      <c r="AX131" s="157" t="s">
        <v>28</v>
      </c>
      <c r="AY131" s="156"/>
      <c r="AZ131" s="156"/>
      <c r="BA131" s="156"/>
    </row>
    <row r="132" spans="1:53" ht="14.45" customHeight="1" x14ac:dyDescent="0.25">
      <c r="A132" s="156"/>
      <c r="B132" s="156"/>
      <c r="C132" s="156"/>
      <c r="D132" s="156"/>
      <c r="E132" s="156"/>
      <c r="F132" s="156"/>
      <c r="G132" s="156"/>
      <c r="H132" s="156"/>
      <c r="I132" s="156"/>
      <c r="J132" s="156"/>
      <c r="K132" s="156"/>
      <c r="L132" s="156"/>
      <c r="M132" s="156"/>
      <c r="N132" s="156"/>
      <c r="O132" s="156"/>
      <c r="P132" s="156"/>
      <c r="Q132" s="156"/>
      <c r="R132" s="156"/>
      <c r="S132" s="156"/>
      <c r="T132" s="156"/>
      <c r="U132" s="156"/>
      <c r="V132" s="156"/>
      <c r="W132" s="156"/>
      <c r="X132" s="156"/>
      <c r="Y132" s="156"/>
      <c r="Z132" s="156"/>
      <c r="AA132" s="156"/>
      <c r="AB132" s="156"/>
      <c r="AC132" s="156"/>
      <c r="AD132" s="156"/>
      <c r="AE132" s="156"/>
      <c r="AF132" s="156"/>
      <c r="AG132" s="156"/>
      <c r="AH132" s="156"/>
      <c r="AI132" s="156"/>
      <c r="AJ132" s="156"/>
      <c r="AK132" s="156"/>
      <c r="AL132" s="156"/>
      <c r="AM132" s="156"/>
      <c r="AN132" s="156"/>
      <c r="AO132" s="156"/>
      <c r="AP132" s="156"/>
      <c r="AQ132" s="156"/>
      <c r="AR132" s="156"/>
      <c r="AS132" s="156"/>
      <c r="AT132" s="156"/>
      <c r="AU132" s="156"/>
      <c r="AV132" s="156"/>
      <c r="AW132" s="156"/>
      <c r="AX132" s="156"/>
      <c r="AY132" s="156"/>
      <c r="AZ132" s="156"/>
      <c r="BA132" s="156"/>
    </row>
    <row r="133" spans="1:53" ht="14.45" customHeight="1" x14ac:dyDescent="0.25">
      <c r="A133" s="163" t="s">
        <v>100</v>
      </c>
      <c r="B133" s="156"/>
      <c r="C133" s="156"/>
      <c r="D133" s="156"/>
      <c r="E133" s="156"/>
      <c r="F133" s="156"/>
      <c r="G133" s="156"/>
      <c r="H133" s="156"/>
      <c r="I133" s="156"/>
      <c r="J133" s="156"/>
      <c r="K133" s="156"/>
      <c r="L133" s="156"/>
      <c r="M133" s="156"/>
      <c r="N133" s="156"/>
      <c r="O133" s="156"/>
      <c r="P133" s="156"/>
      <c r="Q133" s="156"/>
      <c r="R133" s="156"/>
      <c r="S133" s="156"/>
      <c r="T133" s="156"/>
      <c r="U133" s="156"/>
      <c r="V133" s="156"/>
      <c r="W133" s="156"/>
      <c r="X133" s="156"/>
      <c r="Y133" s="156"/>
      <c r="Z133" s="156"/>
      <c r="AA133" s="156"/>
      <c r="AB133" s="156"/>
      <c r="AC133" s="156"/>
      <c r="AD133" s="156"/>
      <c r="AE133" s="156"/>
      <c r="AF133" s="156"/>
      <c r="AG133" s="156"/>
      <c r="AH133" s="156"/>
      <c r="AI133" s="156"/>
      <c r="AJ133" s="156"/>
      <c r="AK133" s="156"/>
      <c r="AL133" s="156"/>
      <c r="AM133" s="156"/>
      <c r="AN133" s="156"/>
      <c r="AO133" s="156"/>
      <c r="AP133" s="156"/>
      <c r="AQ133" s="156"/>
      <c r="AR133" s="156"/>
      <c r="AS133" s="156"/>
      <c r="AT133" s="156"/>
      <c r="AU133" s="156"/>
      <c r="AV133" s="156"/>
      <c r="AW133" s="156"/>
      <c r="AX133" s="156"/>
      <c r="AY133" s="156"/>
      <c r="AZ133" s="156"/>
      <c r="BA133" s="156"/>
    </row>
    <row r="134" spans="1:53" ht="14.45" customHeight="1" x14ac:dyDescent="0.25">
      <c r="A134" s="158" t="s">
        <v>207</v>
      </c>
      <c r="B134" s="156"/>
      <c r="C134" s="159">
        <v>1712830.82</v>
      </c>
      <c r="D134" s="156"/>
      <c r="E134" s="156"/>
      <c r="F134" s="159">
        <v>1542815.91</v>
      </c>
      <c r="G134" s="156"/>
      <c r="H134" s="156"/>
      <c r="I134" s="159">
        <v>1403591.67</v>
      </c>
      <c r="J134" s="156"/>
      <c r="K134" s="156"/>
      <c r="L134" s="159">
        <v>1321352.31</v>
      </c>
      <c r="M134" s="156"/>
      <c r="N134" s="156"/>
      <c r="O134" s="159">
        <v>1234722.29</v>
      </c>
      <c r="P134" s="156"/>
      <c r="Q134" s="156"/>
      <c r="R134" s="156"/>
      <c r="S134" s="156"/>
      <c r="T134" s="159">
        <v>1152473.02</v>
      </c>
      <c r="U134" s="156"/>
      <c r="V134" s="156"/>
      <c r="W134" s="159">
        <v>1072992</v>
      </c>
      <c r="X134" s="156"/>
      <c r="Y134" s="156"/>
      <c r="Z134" s="159">
        <v>1312665.77</v>
      </c>
      <c r="AA134" s="156"/>
      <c r="AB134" s="156"/>
      <c r="AC134" s="159">
        <v>1270035.45</v>
      </c>
      <c r="AD134" s="156"/>
      <c r="AE134" s="156"/>
      <c r="AF134" s="159">
        <v>1163722.6399999999</v>
      </c>
      <c r="AG134" s="156"/>
      <c r="AH134" s="156"/>
      <c r="AI134" s="159">
        <v>1156568.58</v>
      </c>
      <c r="AJ134" s="156"/>
      <c r="AK134" s="156"/>
      <c r="AL134" s="157" t="s">
        <v>28</v>
      </c>
      <c r="AM134" s="156"/>
      <c r="AN134" s="156"/>
      <c r="AO134" s="157" t="s">
        <v>28</v>
      </c>
      <c r="AP134" s="156"/>
      <c r="AQ134" s="156"/>
      <c r="AR134" s="157" t="s">
        <v>28</v>
      </c>
      <c r="AS134" s="156"/>
      <c r="AT134" s="156"/>
      <c r="AU134" s="157" t="s">
        <v>28</v>
      </c>
      <c r="AV134" s="156"/>
      <c r="AW134" s="156"/>
      <c r="AX134" s="157" t="s">
        <v>28</v>
      </c>
      <c r="AY134" s="156"/>
      <c r="AZ134" s="156"/>
      <c r="BA134" s="156"/>
    </row>
    <row r="135" spans="1:53" ht="14.45" customHeight="1" x14ac:dyDescent="0.25">
      <c r="A135" s="158" t="s">
        <v>208</v>
      </c>
      <c r="B135" s="156"/>
      <c r="C135" s="159">
        <v>0</v>
      </c>
      <c r="D135" s="156"/>
      <c r="E135" s="156"/>
      <c r="F135" s="159">
        <v>0</v>
      </c>
      <c r="G135" s="156"/>
      <c r="H135" s="156"/>
      <c r="I135" s="159">
        <v>0</v>
      </c>
      <c r="J135" s="156"/>
      <c r="K135" s="156"/>
      <c r="L135" s="159">
        <v>0</v>
      </c>
      <c r="M135" s="156"/>
      <c r="N135" s="156"/>
      <c r="O135" s="159">
        <v>0</v>
      </c>
      <c r="P135" s="156"/>
      <c r="Q135" s="156"/>
      <c r="R135" s="156"/>
      <c r="S135" s="156"/>
      <c r="T135" s="159">
        <v>0</v>
      </c>
      <c r="U135" s="156"/>
      <c r="V135" s="156"/>
      <c r="W135" s="159">
        <v>17645.62</v>
      </c>
      <c r="X135" s="156"/>
      <c r="Y135" s="156"/>
      <c r="Z135" s="159">
        <v>36520.29</v>
      </c>
      <c r="AA135" s="156"/>
      <c r="AB135" s="156"/>
      <c r="AC135" s="159">
        <v>0</v>
      </c>
      <c r="AD135" s="156"/>
      <c r="AE135" s="156"/>
      <c r="AF135" s="159">
        <v>0</v>
      </c>
      <c r="AG135" s="156"/>
      <c r="AH135" s="156"/>
      <c r="AI135" s="159">
        <v>0</v>
      </c>
      <c r="AJ135" s="156"/>
      <c r="AK135" s="156"/>
      <c r="AL135" s="157" t="s">
        <v>28</v>
      </c>
      <c r="AM135" s="156"/>
      <c r="AN135" s="156"/>
      <c r="AO135" s="157" t="s">
        <v>28</v>
      </c>
      <c r="AP135" s="156"/>
      <c r="AQ135" s="156"/>
      <c r="AR135" s="157" t="s">
        <v>28</v>
      </c>
      <c r="AS135" s="156"/>
      <c r="AT135" s="156"/>
      <c r="AU135" s="157" t="s">
        <v>28</v>
      </c>
      <c r="AV135" s="156"/>
      <c r="AW135" s="156"/>
      <c r="AX135" s="157" t="s">
        <v>28</v>
      </c>
      <c r="AY135" s="156"/>
      <c r="AZ135" s="156"/>
      <c r="BA135" s="156"/>
    </row>
    <row r="136" spans="1:53" ht="14.45" customHeight="1" x14ac:dyDescent="0.25">
      <c r="A136" s="158" t="s">
        <v>209</v>
      </c>
      <c r="B136" s="156"/>
      <c r="C136" s="159">
        <v>0</v>
      </c>
      <c r="D136" s="156"/>
      <c r="E136" s="156"/>
      <c r="F136" s="159">
        <v>0</v>
      </c>
      <c r="G136" s="156"/>
      <c r="H136" s="156"/>
      <c r="I136" s="159">
        <v>0</v>
      </c>
      <c r="J136" s="156"/>
      <c r="K136" s="156"/>
      <c r="L136" s="159">
        <v>0</v>
      </c>
      <c r="M136" s="156"/>
      <c r="N136" s="156"/>
      <c r="O136" s="159">
        <v>0</v>
      </c>
      <c r="P136" s="156"/>
      <c r="Q136" s="156"/>
      <c r="R136" s="156"/>
      <c r="S136" s="156"/>
      <c r="T136" s="159">
        <v>0</v>
      </c>
      <c r="U136" s="156"/>
      <c r="V136" s="156"/>
      <c r="W136" s="159">
        <v>0</v>
      </c>
      <c r="X136" s="156"/>
      <c r="Y136" s="156"/>
      <c r="Z136" s="159">
        <v>0</v>
      </c>
      <c r="AA136" s="156"/>
      <c r="AB136" s="156"/>
      <c r="AC136" s="159">
        <v>0</v>
      </c>
      <c r="AD136" s="156"/>
      <c r="AE136" s="156"/>
      <c r="AF136" s="159">
        <v>0</v>
      </c>
      <c r="AG136" s="156"/>
      <c r="AH136" s="156"/>
      <c r="AI136" s="159">
        <v>0</v>
      </c>
      <c r="AJ136" s="156"/>
      <c r="AK136" s="156"/>
      <c r="AL136" s="157" t="s">
        <v>28</v>
      </c>
      <c r="AM136" s="156"/>
      <c r="AN136" s="156"/>
      <c r="AO136" s="157" t="s">
        <v>28</v>
      </c>
      <c r="AP136" s="156"/>
      <c r="AQ136" s="156"/>
      <c r="AR136" s="157" t="s">
        <v>28</v>
      </c>
      <c r="AS136" s="156"/>
      <c r="AT136" s="156"/>
      <c r="AU136" s="157" t="s">
        <v>28</v>
      </c>
      <c r="AV136" s="156"/>
      <c r="AW136" s="156"/>
      <c r="AX136" s="157" t="s">
        <v>28</v>
      </c>
      <c r="AY136" s="156"/>
      <c r="AZ136" s="156"/>
      <c r="BA136" s="156"/>
    </row>
    <row r="137" spans="1:53" ht="14.45" customHeight="1" x14ac:dyDescent="0.25">
      <c r="A137" s="158" t="s">
        <v>210</v>
      </c>
      <c r="B137" s="156"/>
      <c r="C137" s="159">
        <v>0</v>
      </c>
      <c r="D137" s="156"/>
      <c r="E137" s="156"/>
      <c r="F137" s="159">
        <v>0</v>
      </c>
      <c r="G137" s="156"/>
      <c r="H137" s="156"/>
      <c r="I137" s="159">
        <v>0</v>
      </c>
      <c r="J137" s="156"/>
      <c r="K137" s="156"/>
      <c r="L137" s="159">
        <v>0</v>
      </c>
      <c r="M137" s="156"/>
      <c r="N137" s="156"/>
      <c r="O137" s="159">
        <v>0</v>
      </c>
      <c r="P137" s="156"/>
      <c r="Q137" s="156"/>
      <c r="R137" s="156"/>
      <c r="S137" s="156"/>
      <c r="T137" s="159">
        <v>0</v>
      </c>
      <c r="U137" s="156"/>
      <c r="V137" s="156"/>
      <c r="W137" s="159">
        <v>0</v>
      </c>
      <c r="X137" s="156"/>
      <c r="Y137" s="156"/>
      <c r="Z137" s="159">
        <v>0</v>
      </c>
      <c r="AA137" s="156"/>
      <c r="AB137" s="156"/>
      <c r="AC137" s="159">
        <v>0</v>
      </c>
      <c r="AD137" s="156"/>
      <c r="AE137" s="156"/>
      <c r="AF137" s="159">
        <v>0</v>
      </c>
      <c r="AG137" s="156"/>
      <c r="AH137" s="156"/>
      <c r="AI137" s="159">
        <v>0</v>
      </c>
      <c r="AJ137" s="156"/>
      <c r="AK137" s="156"/>
      <c r="AL137" s="157" t="s">
        <v>28</v>
      </c>
      <c r="AM137" s="156"/>
      <c r="AN137" s="156"/>
      <c r="AO137" s="157" t="s">
        <v>28</v>
      </c>
      <c r="AP137" s="156"/>
      <c r="AQ137" s="156"/>
      <c r="AR137" s="157" t="s">
        <v>28</v>
      </c>
      <c r="AS137" s="156"/>
      <c r="AT137" s="156"/>
      <c r="AU137" s="157" t="s">
        <v>28</v>
      </c>
      <c r="AV137" s="156"/>
      <c r="AW137" s="156"/>
      <c r="AX137" s="157" t="s">
        <v>28</v>
      </c>
      <c r="AY137" s="156"/>
      <c r="AZ137" s="156"/>
      <c r="BA137" s="156"/>
    </row>
    <row r="138" spans="1:53" ht="14.45" customHeight="1" x14ac:dyDescent="0.25">
      <c r="A138" s="158" t="s">
        <v>211</v>
      </c>
      <c r="B138" s="156"/>
      <c r="C138" s="159">
        <v>341335.08</v>
      </c>
      <c r="D138" s="156"/>
      <c r="E138" s="156"/>
      <c r="F138" s="159">
        <v>320338.63</v>
      </c>
      <c r="G138" s="156"/>
      <c r="H138" s="156"/>
      <c r="I138" s="159">
        <v>292854.33</v>
      </c>
      <c r="J138" s="156"/>
      <c r="K138" s="156"/>
      <c r="L138" s="159">
        <v>272188.90000000002</v>
      </c>
      <c r="M138" s="156"/>
      <c r="N138" s="156"/>
      <c r="O138" s="159">
        <v>262579.90899999999</v>
      </c>
      <c r="P138" s="156"/>
      <c r="Q138" s="156"/>
      <c r="R138" s="156"/>
      <c r="S138" s="156"/>
      <c r="T138" s="159">
        <v>248705.49</v>
      </c>
      <c r="U138" s="156"/>
      <c r="V138" s="156"/>
      <c r="W138" s="159">
        <v>230055.26</v>
      </c>
      <c r="X138" s="156"/>
      <c r="Y138" s="156"/>
      <c r="Z138" s="159">
        <v>278627.46000000002</v>
      </c>
      <c r="AA138" s="156"/>
      <c r="AB138" s="156"/>
      <c r="AC138" s="159">
        <v>266306.27</v>
      </c>
      <c r="AD138" s="156"/>
      <c r="AE138" s="156"/>
      <c r="AF138" s="159">
        <v>250331.67</v>
      </c>
      <c r="AG138" s="156"/>
      <c r="AH138" s="156"/>
      <c r="AI138" s="159">
        <v>250408.95999999999</v>
      </c>
      <c r="AJ138" s="156"/>
      <c r="AK138" s="156"/>
      <c r="AL138" s="157" t="s">
        <v>28</v>
      </c>
      <c r="AM138" s="156"/>
      <c r="AN138" s="156"/>
      <c r="AO138" s="157" t="s">
        <v>28</v>
      </c>
      <c r="AP138" s="156"/>
      <c r="AQ138" s="156"/>
      <c r="AR138" s="157" t="s">
        <v>28</v>
      </c>
      <c r="AS138" s="156"/>
      <c r="AT138" s="156"/>
      <c r="AU138" s="157" t="s">
        <v>28</v>
      </c>
      <c r="AV138" s="156"/>
      <c r="AW138" s="156"/>
      <c r="AX138" s="157" t="s">
        <v>28</v>
      </c>
      <c r="AY138" s="156"/>
      <c r="AZ138" s="156"/>
      <c r="BA138" s="156"/>
    </row>
    <row r="139" spans="1:53" ht="27.6" customHeight="1" x14ac:dyDescent="0.25">
      <c r="A139" s="158" t="s">
        <v>212</v>
      </c>
      <c r="B139" s="156"/>
      <c r="C139" s="159">
        <v>28979.27</v>
      </c>
      <c r="D139" s="156"/>
      <c r="E139" s="156"/>
      <c r="F139" s="159">
        <v>19668.43</v>
      </c>
      <c r="G139" s="156"/>
      <c r="H139" s="156"/>
      <c r="I139" s="159">
        <v>19116.560000000001</v>
      </c>
      <c r="J139" s="156"/>
      <c r="K139" s="156"/>
      <c r="L139" s="159">
        <v>15492.79</v>
      </c>
      <c r="M139" s="156"/>
      <c r="N139" s="156"/>
      <c r="O139" s="159">
        <v>15538.42</v>
      </c>
      <c r="P139" s="156"/>
      <c r="Q139" s="156"/>
      <c r="R139" s="156"/>
      <c r="S139" s="156"/>
      <c r="T139" s="159">
        <v>16322.4</v>
      </c>
      <c r="U139" s="156"/>
      <c r="V139" s="156"/>
      <c r="W139" s="159">
        <v>17646.64</v>
      </c>
      <c r="X139" s="156"/>
      <c r="Y139" s="156"/>
      <c r="Z139" s="159">
        <v>18929.28</v>
      </c>
      <c r="AA139" s="156"/>
      <c r="AB139" s="156"/>
      <c r="AC139" s="159">
        <v>20428.13</v>
      </c>
      <c r="AD139" s="156"/>
      <c r="AE139" s="156"/>
      <c r="AF139" s="159">
        <v>20324.57</v>
      </c>
      <c r="AG139" s="156"/>
      <c r="AH139" s="156"/>
      <c r="AI139" s="159">
        <v>20580.89</v>
      </c>
      <c r="AJ139" s="156"/>
      <c r="AK139" s="156"/>
      <c r="AL139" s="157" t="s">
        <v>28</v>
      </c>
      <c r="AM139" s="156"/>
      <c r="AN139" s="156"/>
      <c r="AO139" s="157" t="s">
        <v>28</v>
      </c>
      <c r="AP139" s="156"/>
      <c r="AQ139" s="156"/>
      <c r="AR139" s="157" t="s">
        <v>28</v>
      </c>
      <c r="AS139" s="156"/>
      <c r="AT139" s="156"/>
      <c r="AU139" s="157" t="s">
        <v>28</v>
      </c>
      <c r="AV139" s="156"/>
      <c r="AW139" s="156"/>
      <c r="AX139" s="157" t="s">
        <v>28</v>
      </c>
      <c r="AY139" s="156"/>
      <c r="AZ139" s="156"/>
      <c r="BA139" s="156"/>
    </row>
    <row r="140" spans="1:53" ht="14.45" customHeight="1" x14ac:dyDescent="0.25">
      <c r="A140" s="158" t="s">
        <v>213</v>
      </c>
      <c r="B140" s="156"/>
      <c r="C140" s="159">
        <v>0</v>
      </c>
      <c r="D140" s="156"/>
      <c r="E140" s="156"/>
      <c r="F140" s="159">
        <v>0</v>
      </c>
      <c r="G140" s="156"/>
      <c r="H140" s="156"/>
      <c r="I140" s="159">
        <v>0</v>
      </c>
      <c r="J140" s="156"/>
      <c r="K140" s="156"/>
      <c r="L140" s="159">
        <v>0</v>
      </c>
      <c r="M140" s="156"/>
      <c r="N140" s="156"/>
      <c r="O140" s="159">
        <v>0</v>
      </c>
      <c r="P140" s="156"/>
      <c r="Q140" s="156"/>
      <c r="R140" s="156"/>
      <c r="S140" s="156"/>
      <c r="T140" s="159">
        <v>0</v>
      </c>
      <c r="U140" s="156"/>
      <c r="V140" s="156"/>
      <c r="W140" s="159">
        <v>0</v>
      </c>
      <c r="X140" s="156"/>
      <c r="Y140" s="156"/>
      <c r="Z140" s="159">
        <v>0</v>
      </c>
      <c r="AA140" s="156"/>
      <c r="AB140" s="156"/>
      <c r="AC140" s="159">
        <v>0</v>
      </c>
      <c r="AD140" s="156"/>
      <c r="AE140" s="156"/>
      <c r="AF140" s="159">
        <v>3386.36</v>
      </c>
      <c r="AG140" s="156"/>
      <c r="AH140" s="156"/>
      <c r="AI140" s="159">
        <v>3140.9</v>
      </c>
      <c r="AJ140" s="156"/>
      <c r="AK140" s="156"/>
      <c r="AL140" s="157" t="s">
        <v>28</v>
      </c>
      <c r="AM140" s="156"/>
      <c r="AN140" s="156"/>
      <c r="AO140" s="157" t="s">
        <v>28</v>
      </c>
      <c r="AP140" s="156"/>
      <c r="AQ140" s="156"/>
      <c r="AR140" s="157" t="s">
        <v>28</v>
      </c>
      <c r="AS140" s="156"/>
      <c r="AT140" s="156"/>
      <c r="AU140" s="157" t="s">
        <v>28</v>
      </c>
      <c r="AV140" s="156"/>
      <c r="AW140" s="156"/>
      <c r="AX140" s="157" t="s">
        <v>28</v>
      </c>
      <c r="AY140" s="156"/>
      <c r="AZ140" s="156"/>
      <c r="BA140" s="156"/>
    </row>
    <row r="141" spans="1:53" ht="14.45" customHeight="1" x14ac:dyDescent="0.25">
      <c r="A141" s="158" t="s">
        <v>214</v>
      </c>
      <c r="B141" s="156"/>
      <c r="C141" s="159">
        <v>45194.84</v>
      </c>
      <c r="D141" s="156"/>
      <c r="E141" s="156"/>
      <c r="F141" s="159">
        <v>11857.74</v>
      </c>
      <c r="G141" s="156"/>
      <c r="H141" s="156"/>
      <c r="I141" s="159">
        <v>22753.26</v>
      </c>
      <c r="J141" s="156"/>
      <c r="K141" s="156"/>
      <c r="L141" s="159">
        <v>16090.82</v>
      </c>
      <c r="M141" s="156"/>
      <c r="N141" s="156"/>
      <c r="O141" s="159">
        <v>12298.4</v>
      </c>
      <c r="P141" s="156"/>
      <c r="Q141" s="156"/>
      <c r="R141" s="156"/>
      <c r="S141" s="156"/>
      <c r="T141" s="159">
        <v>10225.51</v>
      </c>
      <c r="U141" s="156"/>
      <c r="V141" s="156"/>
      <c r="W141" s="159">
        <v>8600.07</v>
      </c>
      <c r="X141" s="156"/>
      <c r="Y141" s="156"/>
      <c r="Z141" s="159">
        <v>6578.21</v>
      </c>
      <c r="AA141" s="156"/>
      <c r="AB141" s="156"/>
      <c r="AC141" s="159">
        <v>11155.84</v>
      </c>
      <c r="AD141" s="156"/>
      <c r="AE141" s="156"/>
      <c r="AF141" s="159">
        <v>0</v>
      </c>
      <c r="AG141" s="156"/>
      <c r="AH141" s="156"/>
      <c r="AI141" s="159">
        <v>0</v>
      </c>
      <c r="AJ141" s="156"/>
      <c r="AK141" s="156"/>
      <c r="AL141" s="157" t="s">
        <v>28</v>
      </c>
      <c r="AM141" s="156"/>
      <c r="AN141" s="156"/>
      <c r="AO141" s="157" t="s">
        <v>28</v>
      </c>
      <c r="AP141" s="156"/>
      <c r="AQ141" s="156"/>
      <c r="AR141" s="157" t="s">
        <v>28</v>
      </c>
      <c r="AS141" s="156"/>
      <c r="AT141" s="156"/>
      <c r="AU141" s="157" t="s">
        <v>28</v>
      </c>
      <c r="AV141" s="156"/>
      <c r="AW141" s="156"/>
      <c r="AX141" s="157" t="s">
        <v>28</v>
      </c>
      <c r="AY141" s="156"/>
      <c r="AZ141" s="156"/>
      <c r="BA141" s="156"/>
    </row>
    <row r="142" spans="1:53" ht="14.45" customHeight="1" x14ac:dyDescent="0.25">
      <c r="A142" s="158" t="s">
        <v>215</v>
      </c>
      <c r="B142" s="156"/>
      <c r="C142" s="159">
        <v>0</v>
      </c>
      <c r="D142" s="156"/>
      <c r="E142" s="156"/>
      <c r="F142" s="159">
        <v>0</v>
      </c>
      <c r="G142" s="156"/>
      <c r="H142" s="156"/>
      <c r="I142" s="159">
        <v>0</v>
      </c>
      <c r="J142" s="156"/>
      <c r="K142" s="156"/>
      <c r="L142" s="159">
        <v>0</v>
      </c>
      <c r="M142" s="156"/>
      <c r="N142" s="156"/>
      <c r="O142" s="159">
        <v>0</v>
      </c>
      <c r="P142" s="156"/>
      <c r="Q142" s="156"/>
      <c r="R142" s="156"/>
      <c r="S142" s="156"/>
      <c r="T142" s="159">
        <v>0</v>
      </c>
      <c r="U142" s="156"/>
      <c r="V142" s="156"/>
      <c r="W142" s="159">
        <v>400</v>
      </c>
      <c r="X142" s="156"/>
      <c r="Y142" s="156"/>
      <c r="Z142" s="159">
        <v>0</v>
      </c>
      <c r="AA142" s="156"/>
      <c r="AB142" s="156"/>
      <c r="AC142" s="159">
        <v>560</v>
      </c>
      <c r="AD142" s="156"/>
      <c r="AE142" s="156"/>
      <c r="AF142" s="159">
        <v>0</v>
      </c>
      <c r="AG142" s="156"/>
      <c r="AH142" s="156"/>
      <c r="AI142" s="159">
        <v>0</v>
      </c>
      <c r="AJ142" s="156"/>
      <c r="AK142" s="156"/>
      <c r="AL142" s="157" t="s">
        <v>28</v>
      </c>
      <c r="AM142" s="156"/>
      <c r="AN142" s="156"/>
      <c r="AO142" s="157" t="s">
        <v>28</v>
      </c>
      <c r="AP142" s="156"/>
      <c r="AQ142" s="156"/>
      <c r="AR142" s="157" t="s">
        <v>28</v>
      </c>
      <c r="AS142" s="156"/>
      <c r="AT142" s="156"/>
      <c r="AU142" s="157" t="s">
        <v>28</v>
      </c>
      <c r="AV142" s="156"/>
      <c r="AW142" s="156"/>
      <c r="AX142" s="157" t="s">
        <v>28</v>
      </c>
      <c r="AY142" s="156"/>
      <c r="AZ142" s="156"/>
      <c r="BA142" s="156"/>
    </row>
    <row r="143" spans="1:53" ht="14.45" customHeight="1" x14ac:dyDescent="0.25">
      <c r="A143" s="156"/>
      <c r="B143" s="156"/>
      <c r="C143" s="156"/>
      <c r="D143" s="156"/>
      <c r="E143" s="156"/>
      <c r="F143" s="156"/>
      <c r="G143" s="156"/>
      <c r="H143" s="156"/>
      <c r="I143" s="156"/>
      <c r="J143" s="156"/>
      <c r="K143" s="156"/>
      <c r="L143" s="156"/>
      <c r="M143" s="156"/>
      <c r="N143" s="156"/>
      <c r="O143" s="156"/>
      <c r="P143" s="156"/>
      <c r="Q143" s="156"/>
      <c r="R143" s="156"/>
      <c r="S143" s="156"/>
      <c r="T143" s="156"/>
      <c r="U143" s="156"/>
      <c r="V143" s="156"/>
      <c r="W143" s="156"/>
      <c r="X143" s="156"/>
      <c r="Y143" s="156"/>
      <c r="Z143" s="156"/>
      <c r="AA143" s="156"/>
      <c r="AB143" s="156"/>
      <c r="AC143" s="156"/>
      <c r="AD143" s="156"/>
      <c r="AE143" s="156"/>
      <c r="AF143" s="156"/>
      <c r="AG143" s="156"/>
      <c r="AH143" s="156"/>
      <c r="AI143" s="156"/>
      <c r="AJ143" s="156"/>
      <c r="AK143" s="156"/>
      <c r="AL143" s="156"/>
      <c r="AM143" s="156"/>
      <c r="AN143" s="156"/>
      <c r="AO143" s="156"/>
      <c r="AP143" s="156"/>
      <c r="AQ143" s="156"/>
      <c r="AR143" s="156"/>
      <c r="AS143" s="156"/>
      <c r="AT143" s="156"/>
      <c r="AU143" s="156"/>
      <c r="AV143" s="156"/>
      <c r="AW143" s="156"/>
      <c r="AX143" s="156"/>
      <c r="AY143" s="156"/>
      <c r="AZ143" s="156"/>
      <c r="BA143" s="156"/>
    </row>
    <row r="144" spans="1:53" ht="27.6" customHeight="1" x14ac:dyDescent="0.25">
      <c r="A144" s="163" t="s">
        <v>101</v>
      </c>
      <c r="B144" s="156"/>
      <c r="C144" s="156"/>
      <c r="D144" s="156"/>
      <c r="E144" s="156"/>
      <c r="F144" s="156"/>
      <c r="G144" s="156"/>
      <c r="H144" s="156"/>
      <c r="I144" s="156"/>
      <c r="J144" s="156"/>
      <c r="K144" s="156"/>
      <c r="L144" s="156"/>
      <c r="M144" s="156"/>
      <c r="N144" s="156"/>
      <c r="O144" s="156"/>
      <c r="P144" s="156"/>
      <c r="Q144" s="156"/>
      <c r="R144" s="156"/>
      <c r="S144" s="156"/>
      <c r="T144" s="156"/>
      <c r="U144" s="156"/>
      <c r="V144" s="156"/>
      <c r="W144" s="156"/>
      <c r="X144" s="156"/>
      <c r="Y144" s="156"/>
      <c r="Z144" s="156"/>
      <c r="AA144" s="156"/>
      <c r="AB144" s="156"/>
      <c r="AC144" s="156"/>
      <c r="AD144" s="156"/>
      <c r="AE144" s="156"/>
      <c r="AF144" s="156"/>
      <c r="AG144" s="156"/>
      <c r="AH144" s="156"/>
      <c r="AI144" s="156"/>
      <c r="AJ144" s="156"/>
      <c r="AK144" s="156"/>
      <c r="AL144" s="156"/>
      <c r="AM144" s="156"/>
      <c r="AN144" s="156"/>
      <c r="AO144" s="156"/>
      <c r="AP144" s="156"/>
      <c r="AQ144" s="156"/>
      <c r="AR144" s="156"/>
      <c r="AS144" s="156"/>
      <c r="AT144" s="156"/>
      <c r="AU144" s="156"/>
      <c r="AV144" s="156"/>
      <c r="AW144" s="156"/>
      <c r="AX144" s="156"/>
      <c r="AY144" s="156"/>
      <c r="AZ144" s="156"/>
      <c r="BA144" s="156"/>
    </row>
    <row r="145" spans="1:53" ht="14.45" customHeight="1" x14ac:dyDescent="0.25">
      <c r="A145" s="158" t="s">
        <v>216</v>
      </c>
      <c r="B145" s="156"/>
      <c r="C145" s="159">
        <v>0</v>
      </c>
      <c r="D145" s="156"/>
      <c r="E145" s="156"/>
      <c r="F145" s="159">
        <v>0</v>
      </c>
      <c r="G145" s="156"/>
      <c r="H145" s="156"/>
      <c r="I145" s="159">
        <v>0</v>
      </c>
      <c r="J145" s="156"/>
      <c r="K145" s="156"/>
      <c r="L145" s="159">
        <v>0</v>
      </c>
      <c r="M145" s="156"/>
      <c r="N145" s="156"/>
      <c r="O145" s="159">
        <v>0</v>
      </c>
      <c r="P145" s="156"/>
      <c r="Q145" s="156"/>
      <c r="R145" s="156"/>
      <c r="S145" s="156"/>
      <c r="T145" s="159">
        <v>0</v>
      </c>
      <c r="U145" s="156"/>
      <c r="V145" s="156"/>
      <c r="W145" s="159">
        <v>0</v>
      </c>
      <c r="X145" s="156"/>
      <c r="Y145" s="156"/>
      <c r="Z145" s="159">
        <v>0</v>
      </c>
      <c r="AA145" s="156"/>
      <c r="AB145" s="156"/>
      <c r="AC145" s="159">
        <v>0</v>
      </c>
      <c r="AD145" s="156"/>
      <c r="AE145" s="156"/>
      <c r="AF145" s="159">
        <v>0</v>
      </c>
      <c r="AG145" s="156"/>
      <c r="AH145" s="156"/>
      <c r="AI145" s="159">
        <v>0</v>
      </c>
      <c r="AJ145" s="156"/>
      <c r="AK145" s="156"/>
      <c r="AL145" s="157" t="s">
        <v>28</v>
      </c>
      <c r="AM145" s="156"/>
      <c r="AN145" s="156"/>
      <c r="AO145" s="157" t="s">
        <v>28</v>
      </c>
      <c r="AP145" s="156"/>
      <c r="AQ145" s="156"/>
      <c r="AR145" s="157" t="s">
        <v>28</v>
      </c>
      <c r="AS145" s="156"/>
      <c r="AT145" s="156"/>
      <c r="AU145" s="157" t="s">
        <v>28</v>
      </c>
      <c r="AV145" s="156"/>
      <c r="AW145" s="156"/>
      <c r="AX145" s="157" t="s">
        <v>28</v>
      </c>
      <c r="AY145" s="156"/>
      <c r="AZ145" s="156"/>
      <c r="BA145" s="156"/>
    </row>
    <row r="146" spans="1:53" ht="14.45" customHeight="1" x14ac:dyDescent="0.25">
      <c r="A146" s="158" t="s">
        <v>217</v>
      </c>
      <c r="B146" s="156"/>
      <c r="C146" s="159">
        <v>0</v>
      </c>
      <c r="D146" s="156"/>
      <c r="E146" s="156"/>
      <c r="F146" s="159">
        <v>0</v>
      </c>
      <c r="G146" s="156"/>
      <c r="H146" s="156"/>
      <c r="I146" s="159">
        <v>0</v>
      </c>
      <c r="J146" s="156"/>
      <c r="K146" s="156"/>
      <c r="L146" s="159">
        <v>0</v>
      </c>
      <c r="M146" s="156"/>
      <c r="N146" s="156"/>
      <c r="O146" s="159">
        <v>0</v>
      </c>
      <c r="P146" s="156"/>
      <c r="Q146" s="156"/>
      <c r="R146" s="156"/>
      <c r="S146" s="156"/>
      <c r="T146" s="159">
        <v>0</v>
      </c>
      <c r="U146" s="156"/>
      <c r="V146" s="156"/>
      <c r="W146" s="159">
        <v>0</v>
      </c>
      <c r="X146" s="156"/>
      <c r="Y146" s="156"/>
      <c r="Z146" s="159">
        <v>0</v>
      </c>
      <c r="AA146" s="156"/>
      <c r="AB146" s="156"/>
      <c r="AC146" s="159">
        <v>0</v>
      </c>
      <c r="AD146" s="156"/>
      <c r="AE146" s="156"/>
      <c r="AF146" s="159">
        <v>0</v>
      </c>
      <c r="AG146" s="156"/>
      <c r="AH146" s="156"/>
      <c r="AI146" s="159">
        <v>0</v>
      </c>
      <c r="AJ146" s="156"/>
      <c r="AK146" s="156"/>
      <c r="AL146" s="157" t="s">
        <v>28</v>
      </c>
      <c r="AM146" s="156"/>
      <c r="AN146" s="156"/>
      <c r="AO146" s="157" t="s">
        <v>28</v>
      </c>
      <c r="AP146" s="156"/>
      <c r="AQ146" s="156"/>
      <c r="AR146" s="157" t="s">
        <v>28</v>
      </c>
      <c r="AS146" s="156"/>
      <c r="AT146" s="156"/>
      <c r="AU146" s="157" t="s">
        <v>28</v>
      </c>
      <c r="AV146" s="156"/>
      <c r="AW146" s="156"/>
      <c r="AX146" s="157" t="s">
        <v>28</v>
      </c>
      <c r="AY146" s="156"/>
      <c r="AZ146" s="156"/>
      <c r="BA146" s="156"/>
    </row>
    <row r="147" spans="1:53" ht="14.45" customHeight="1" x14ac:dyDescent="0.25">
      <c r="A147" s="156"/>
      <c r="B147" s="156"/>
      <c r="C147" s="156"/>
      <c r="D147" s="156"/>
      <c r="E147" s="156"/>
      <c r="F147" s="156"/>
      <c r="G147" s="156"/>
      <c r="H147" s="156"/>
      <c r="I147" s="156"/>
      <c r="J147" s="156"/>
      <c r="K147" s="156"/>
      <c r="L147" s="156"/>
      <c r="M147" s="156"/>
      <c r="N147" s="156"/>
      <c r="O147" s="156"/>
      <c r="P147" s="156"/>
      <c r="Q147" s="156"/>
      <c r="R147" s="156"/>
      <c r="S147" s="156"/>
      <c r="T147" s="156"/>
      <c r="U147" s="156"/>
      <c r="V147" s="156"/>
      <c r="W147" s="156"/>
      <c r="X147" s="156"/>
      <c r="Y147" s="156"/>
      <c r="Z147" s="156"/>
      <c r="AA147" s="156"/>
      <c r="AB147" s="156"/>
      <c r="AC147" s="156"/>
      <c r="AD147" s="156"/>
      <c r="AE147" s="156"/>
      <c r="AF147" s="156"/>
      <c r="AG147" s="156"/>
      <c r="AH147" s="156"/>
      <c r="AI147" s="156"/>
      <c r="AJ147" s="156"/>
      <c r="AK147" s="156"/>
      <c r="AL147" s="156"/>
      <c r="AM147" s="156"/>
      <c r="AN147" s="156"/>
      <c r="AO147" s="156"/>
      <c r="AP147" s="156"/>
      <c r="AQ147" s="156"/>
      <c r="AR147" s="156"/>
      <c r="AS147" s="156"/>
      <c r="AT147" s="156"/>
      <c r="AU147" s="156"/>
      <c r="AV147" s="156"/>
      <c r="AW147" s="156"/>
      <c r="AX147" s="156"/>
      <c r="AY147" s="156"/>
      <c r="AZ147" s="156"/>
      <c r="BA147" s="156"/>
    </row>
    <row r="148" spans="1:53" ht="27.6" customHeight="1" x14ac:dyDescent="0.25">
      <c r="A148" s="163" t="s">
        <v>102</v>
      </c>
      <c r="B148" s="156"/>
      <c r="C148" s="156"/>
      <c r="D148" s="156"/>
      <c r="E148" s="156"/>
      <c r="F148" s="156"/>
      <c r="G148" s="156"/>
      <c r="H148" s="156"/>
      <c r="I148" s="156"/>
      <c r="J148" s="156"/>
      <c r="K148" s="156"/>
      <c r="L148" s="156"/>
      <c r="M148" s="156"/>
      <c r="N148" s="156"/>
      <c r="O148" s="156"/>
      <c r="P148" s="156"/>
      <c r="Q148" s="156"/>
      <c r="R148" s="156"/>
      <c r="S148" s="156"/>
      <c r="T148" s="156"/>
      <c r="U148" s="156"/>
      <c r="V148" s="156"/>
      <c r="W148" s="156"/>
      <c r="X148" s="156"/>
      <c r="Y148" s="156"/>
      <c r="Z148" s="156"/>
      <c r="AA148" s="156"/>
      <c r="AB148" s="156"/>
      <c r="AC148" s="156"/>
      <c r="AD148" s="156"/>
      <c r="AE148" s="156"/>
      <c r="AF148" s="156"/>
      <c r="AG148" s="156"/>
      <c r="AH148" s="156"/>
      <c r="AI148" s="156"/>
      <c r="AJ148" s="156"/>
      <c r="AK148" s="156"/>
      <c r="AL148" s="156"/>
      <c r="AM148" s="156"/>
      <c r="AN148" s="156"/>
      <c r="AO148" s="156"/>
      <c r="AP148" s="156"/>
      <c r="AQ148" s="156"/>
      <c r="AR148" s="156"/>
      <c r="AS148" s="156"/>
      <c r="AT148" s="156"/>
      <c r="AU148" s="156"/>
      <c r="AV148" s="156"/>
      <c r="AW148" s="156"/>
      <c r="AX148" s="156"/>
      <c r="AY148" s="156"/>
      <c r="AZ148" s="156"/>
      <c r="BA148" s="156"/>
    </row>
    <row r="149" spans="1:53" ht="27.6" customHeight="1" x14ac:dyDescent="0.25">
      <c r="A149" s="158" t="s">
        <v>218</v>
      </c>
      <c r="B149" s="156"/>
      <c r="C149" s="159">
        <v>0</v>
      </c>
      <c r="D149" s="156"/>
      <c r="E149" s="156"/>
      <c r="F149" s="159">
        <v>0</v>
      </c>
      <c r="G149" s="156"/>
      <c r="H149" s="156"/>
      <c r="I149" s="159">
        <v>424.63</v>
      </c>
      <c r="J149" s="156"/>
      <c r="K149" s="156"/>
      <c r="L149" s="159">
        <v>2203.21</v>
      </c>
      <c r="M149" s="156"/>
      <c r="N149" s="156"/>
      <c r="O149" s="159">
        <v>0</v>
      </c>
      <c r="P149" s="156"/>
      <c r="Q149" s="156"/>
      <c r="R149" s="156"/>
      <c r="S149" s="156"/>
      <c r="T149" s="159">
        <v>0</v>
      </c>
      <c r="U149" s="156"/>
      <c r="V149" s="156"/>
      <c r="W149" s="159">
        <v>0</v>
      </c>
      <c r="X149" s="156"/>
      <c r="Y149" s="156"/>
      <c r="Z149" s="159">
        <v>0</v>
      </c>
      <c r="AA149" s="156"/>
      <c r="AB149" s="156"/>
      <c r="AC149" s="159">
        <v>0</v>
      </c>
      <c r="AD149" s="156"/>
      <c r="AE149" s="156"/>
      <c r="AF149" s="159">
        <v>0</v>
      </c>
      <c r="AG149" s="156"/>
      <c r="AH149" s="156"/>
      <c r="AI149" s="159">
        <v>0</v>
      </c>
      <c r="AJ149" s="156"/>
      <c r="AK149" s="156"/>
      <c r="AL149" s="157" t="s">
        <v>28</v>
      </c>
      <c r="AM149" s="156"/>
      <c r="AN149" s="156"/>
      <c r="AO149" s="157" t="s">
        <v>28</v>
      </c>
      <c r="AP149" s="156"/>
      <c r="AQ149" s="156"/>
      <c r="AR149" s="157" t="s">
        <v>28</v>
      </c>
      <c r="AS149" s="156"/>
      <c r="AT149" s="156"/>
      <c r="AU149" s="157" t="s">
        <v>28</v>
      </c>
      <c r="AV149" s="156"/>
      <c r="AW149" s="156"/>
      <c r="AX149" s="157" t="s">
        <v>28</v>
      </c>
      <c r="AY149" s="156"/>
      <c r="AZ149" s="156"/>
      <c r="BA149" s="156"/>
    </row>
    <row r="150" spans="1:53" ht="14.45" customHeight="1" x14ac:dyDescent="0.25">
      <c r="A150" s="158" t="s">
        <v>219</v>
      </c>
      <c r="B150" s="156"/>
      <c r="C150" s="159">
        <v>0</v>
      </c>
      <c r="D150" s="156"/>
      <c r="E150" s="156"/>
      <c r="F150" s="159">
        <v>0</v>
      </c>
      <c r="G150" s="156"/>
      <c r="H150" s="156"/>
      <c r="I150" s="159">
        <v>0</v>
      </c>
      <c r="J150" s="156"/>
      <c r="K150" s="156"/>
      <c r="L150" s="159">
        <v>0</v>
      </c>
      <c r="M150" s="156"/>
      <c r="N150" s="156"/>
      <c r="O150" s="159">
        <v>0</v>
      </c>
      <c r="P150" s="156"/>
      <c r="Q150" s="156"/>
      <c r="R150" s="156"/>
      <c r="S150" s="156"/>
      <c r="T150" s="159">
        <v>0</v>
      </c>
      <c r="U150" s="156"/>
      <c r="V150" s="156"/>
      <c r="W150" s="159">
        <v>0</v>
      </c>
      <c r="X150" s="156"/>
      <c r="Y150" s="156"/>
      <c r="Z150" s="159">
        <v>0</v>
      </c>
      <c r="AA150" s="156"/>
      <c r="AB150" s="156"/>
      <c r="AC150" s="159">
        <v>0</v>
      </c>
      <c r="AD150" s="156"/>
      <c r="AE150" s="156"/>
      <c r="AF150" s="159">
        <v>0</v>
      </c>
      <c r="AG150" s="156"/>
      <c r="AH150" s="156"/>
      <c r="AI150" s="159">
        <v>0</v>
      </c>
      <c r="AJ150" s="156"/>
      <c r="AK150" s="156"/>
      <c r="AL150" s="157" t="s">
        <v>28</v>
      </c>
      <c r="AM150" s="156"/>
      <c r="AN150" s="156"/>
      <c r="AO150" s="157" t="s">
        <v>28</v>
      </c>
      <c r="AP150" s="156"/>
      <c r="AQ150" s="156"/>
      <c r="AR150" s="157" t="s">
        <v>28</v>
      </c>
      <c r="AS150" s="156"/>
      <c r="AT150" s="156"/>
      <c r="AU150" s="157" t="s">
        <v>28</v>
      </c>
      <c r="AV150" s="156"/>
      <c r="AW150" s="156"/>
      <c r="AX150" s="157" t="s">
        <v>28</v>
      </c>
      <c r="AY150" s="156"/>
      <c r="AZ150" s="156"/>
      <c r="BA150" s="156"/>
    </row>
    <row r="151" spans="1:53" ht="14.45" customHeight="1" x14ac:dyDescent="0.25">
      <c r="A151" s="158" t="s">
        <v>220</v>
      </c>
      <c r="B151" s="156"/>
      <c r="C151" s="159">
        <v>0</v>
      </c>
      <c r="D151" s="156"/>
      <c r="E151" s="156"/>
      <c r="F151" s="159">
        <v>0</v>
      </c>
      <c r="G151" s="156"/>
      <c r="H151" s="156"/>
      <c r="I151" s="159">
        <v>0</v>
      </c>
      <c r="J151" s="156"/>
      <c r="K151" s="156"/>
      <c r="L151" s="159">
        <v>0</v>
      </c>
      <c r="M151" s="156"/>
      <c r="N151" s="156"/>
      <c r="O151" s="159">
        <v>0</v>
      </c>
      <c r="P151" s="156"/>
      <c r="Q151" s="156"/>
      <c r="R151" s="156"/>
      <c r="S151" s="156"/>
      <c r="T151" s="159">
        <v>0</v>
      </c>
      <c r="U151" s="156"/>
      <c r="V151" s="156"/>
      <c r="W151" s="159">
        <v>0</v>
      </c>
      <c r="X151" s="156"/>
      <c r="Y151" s="156"/>
      <c r="Z151" s="159">
        <v>0</v>
      </c>
      <c r="AA151" s="156"/>
      <c r="AB151" s="156"/>
      <c r="AC151" s="159">
        <v>0</v>
      </c>
      <c r="AD151" s="156"/>
      <c r="AE151" s="156"/>
      <c r="AF151" s="159">
        <v>0</v>
      </c>
      <c r="AG151" s="156"/>
      <c r="AH151" s="156"/>
      <c r="AI151" s="159">
        <v>0</v>
      </c>
      <c r="AJ151" s="156"/>
      <c r="AK151" s="156"/>
      <c r="AL151" s="157" t="s">
        <v>28</v>
      </c>
      <c r="AM151" s="156"/>
      <c r="AN151" s="156"/>
      <c r="AO151" s="157" t="s">
        <v>28</v>
      </c>
      <c r="AP151" s="156"/>
      <c r="AQ151" s="156"/>
      <c r="AR151" s="157" t="s">
        <v>28</v>
      </c>
      <c r="AS151" s="156"/>
      <c r="AT151" s="156"/>
      <c r="AU151" s="157" t="s">
        <v>28</v>
      </c>
      <c r="AV151" s="156"/>
      <c r="AW151" s="156"/>
      <c r="AX151" s="157" t="s">
        <v>28</v>
      </c>
      <c r="AY151" s="156"/>
      <c r="AZ151" s="156"/>
      <c r="BA151" s="156"/>
    </row>
    <row r="152" spans="1:53" ht="14.45" customHeight="1" x14ac:dyDescent="0.25">
      <c r="A152" s="158" t="s">
        <v>221</v>
      </c>
      <c r="B152" s="156"/>
      <c r="C152" s="159">
        <v>0</v>
      </c>
      <c r="D152" s="156"/>
      <c r="E152" s="156"/>
      <c r="F152" s="159">
        <v>0</v>
      </c>
      <c r="G152" s="156"/>
      <c r="H152" s="156"/>
      <c r="I152" s="159">
        <v>0</v>
      </c>
      <c r="J152" s="156"/>
      <c r="K152" s="156"/>
      <c r="L152" s="159">
        <v>0</v>
      </c>
      <c r="M152" s="156"/>
      <c r="N152" s="156"/>
      <c r="O152" s="159">
        <v>0</v>
      </c>
      <c r="P152" s="156"/>
      <c r="Q152" s="156"/>
      <c r="R152" s="156"/>
      <c r="S152" s="156"/>
      <c r="T152" s="159">
        <v>0</v>
      </c>
      <c r="U152" s="156"/>
      <c r="V152" s="156"/>
      <c r="W152" s="159">
        <v>0</v>
      </c>
      <c r="X152" s="156"/>
      <c r="Y152" s="156"/>
      <c r="Z152" s="159">
        <v>0</v>
      </c>
      <c r="AA152" s="156"/>
      <c r="AB152" s="156"/>
      <c r="AC152" s="159">
        <v>0</v>
      </c>
      <c r="AD152" s="156"/>
      <c r="AE152" s="156"/>
      <c r="AF152" s="159">
        <v>0</v>
      </c>
      <c r="AG152" s="156"/>
      <c r="AH152" s="156"/>
      <c r="AI152" s="159">
        <v>0</v>
      </c>
      <c r="AJ152" s="156"/>
      <c r="AK152" s="156"/>
      <c r="AL152" s="157" t="s">
        <v>28</v>
      </c>
      <c r="AM152" s="156"/>
      <c r="AN152" s="156"/>
      <c r="AO152" s="157" t="s">
        <v>28</v>
      </c>
      <c r="AP152" s="156"/>
      <c r="AQ152" s="156"/>
      <c r="AR152" s="157" t="s">
        <v>28</v>
      </c>
      <c r="AS152" s="156"/>
      <c r="AT152" s="156"/>
      <c r="AU152" s="157" t="s">
        <v>28</v>
      </c>
      <c r="AV152" s="156"/>
      <c r="AW152" s="156"/>
      <c r="AX152" s="157" t="s">
        <v>28</v>
      </c>
      <c r="AY152" s="156"/>
      <c r="AZ152" s="156"/>
      <c r="BA152" s="156"/>
    </row>
    <row r="153" spans="1:53" ht="14.45" customHeight="1" x14ac:dyDescent="0.25">
      <c r="A153" s="156"/>
      <c r="B153" s="156"/>
      <c r="C153" s="156"/>
      <c r="D153" s="156"/>
      <c r="E153" s="156"/>
      <c r="F153" s="156"/>
      <c r="G153" s="156"/>
      <c r="H153" s="156"/>
      <c r="I153" s="156"/>
      <c r="J153" s="156"/>
      <c r="K153" s="156"/>
      <c r="L153" s="156"/>
      <c r="M153" s="156"/>
      <c r="N153" s="156"/>
      <c r="O153" s="156"/>
      <c r="P153" s="156"/>
      <c r="Q153" s="156"/>
      <c r="R153" s="156"/>
      <c r="S153" s="156"/>
      <c r="T153" s="156"/>
      <c r="U153" s="156"/>
      <c r="V153" s="156"/>
      <c r="W153" s="156"/>
      <c r="X153" s="156"/>
      <c r="Y153" s="156"/>
      <c r="Z153" s="156"/>
      <c r="AA153" s="156"/>
      <c r="AB153" s="156"/>
      <c r="AC153" s="156"/>
      <c r="AD153" s="156"/>
      <c r="AE153" s="156"/>
      <c r="AF153" s="156"/>
      <c r="AG153" s="156"/>
      <c r="AH153" s="156"/>
      <c r="AI153" s="156"/>
      <c r="AJ153" s="156"/>
      <c r="AK153" s="156"/>
      <c r="AL153" s="156"/>
      <c r="AM153" s="156"/>
      <c r="AN153" s="156"/>
      <c r="AO153" s="156"/>
      <c r="AP153" s="156"/>
      <c r="AQ153" s="156"/>
      <c r="AR153" s="156"/>
      <c r="AS153" s="156"/>
      <c r="AT153" s="156"/>
      <c r="AU153" s="156"/>
      <c r="AV153" s="156"/>
      <c r="AW153" s="156"/>
      <c r="AX153" s="156"/>
      <c r="AY153" s="156"/>
      <c r="AZ153" s="156"/>
      <c r="BA153" s="156"/>
    </row>
    <row r="154" spans="1:53" ht="14.45" customHeight="1" x14ac:dyDescent="0.25">
      <c r="A154" s="163" t="s">
        <v>103</v>
      </c>
      <c r="B154" s="156"/>
      <c r="C154" s="156"/>
      <c r="D154" s="156"/>
      <c r="E154" s="156"/>
      <c r="F154" s="156"/>
      <c r="G154" s="156"/>
      <c r="H154" s="156"/>
      <c r="I154" s="156"/>
      <c r="J154" s="156"/>
      <c r="K154" s="156"/>
      <c r="L154" s="156"/>
      <c r="M154" s="156"/>
      <c r="N154" s="156"/>
      <c r="O154" s="156"/>
      <c r="P154" s="156"/>
      <c r="Q154" s="156"/>
      <c r="R154" s="156"/>
      <c r="S154" s="156"/>
      <c r="T154" s="156"/>
      <c r="U154" s="156"/>
      <c r="V154" s="156"/>
      <c r="W154" s="156"/>
      <c r="X154" s="156"/>
      <c r="Y154" s="156"/>
      <c r="Z154" s="156"/>
      <c r="AA154" s="156"/>
      <c r="AB154" s="156"/>
      <c r="AC154" s="156"/>
      <c r="AD154" s="156"/>
      <c r="AE154" s="156"/>
      <c r="AF154" s="156"/>
      <c r="AG154" s="156"/>
      <c r="AH154" s="156"/>
      <c r="AI154" s="156"/>
      <c r="AJ154" s="156"/>
      <c r="AK154" s="156"/>
      <c r="AL154" s="156"/>
      <c r="AM154" s="156"/>
      <c r="AN154" s="156"/>
      <c r="AO154" s="156"/>
      <c r="AP154" s="156"/>
      <c r="AQ154" s="156"/>
      <c r="AR154" s="156"/>
      <c r="AS154" s="156"/>
      <c r="AT154" s="156"/>
      <c r="AU154" s="156"/>
      <c r="AV154" s="156"/>
      <c r="AW154" s="156"/>
      <c r="AX154" s="156"/>
      <c r="AY154" s="156"/>
      <c r="AZ154" s="156"/>
      <c r="BA154" s="156"/>
    </row>
    <row r="155" spans="1:53" ht="14.45" customHeight="1" x14ac:dyDescent="0.25">
      <c r="A155" s="158" t="s">
        <v>222</v>
      </c>
      <c r="B155" s="156"/>
      <c r="C155" s="159">
        <v>0</v>
      </c>
      <c r="D155" s="156"/>
      <c r="E155" s="156"/>
      <c r="F155" s="159">
        <v>0</v>
      </c>
      <c r="G155" s="156"/>
      <c r="H155" s="156"/>
      <c r="I155" s="159">
        <v>0</v>
      </c>
      <c r="J155" s="156"/>
      <c r="K155" s="156"/>
      <c r="L155" s="159">
        <v>0</v>
      </c>
      <c r="M155" s="156"/>
      <c r="N155" s="156"/>
      <c r="O155" s="159">
        <v>0</v>
      </c>
      <c r="P155" s="156"/>
      <c r="Q155" s="156"/>
      <c r="R155" s="156"/>
      <c r="S155" s="156"/>
      <c r="T155" s="159">
        <v>0</v>
      </c>
      <c r="U155" s="156"/>
      <c r="V155" s="156"/>
      <c r="W155" s="159">
        <v>0</v>
      </c>
      <c r="X155" s="156"/>
      <c r="Y155" s="156"/>
      <c r="Z155" s="159">
        <v>0</v>
      </c>
      <c r="AA155" s="156"/>
      <c r="AB155" s="156"/>
      <c r="AC155" s="159">
        <v>0</v>
      </c>
      <c r="AD155" s="156"/>
      <c r="AE155" s="156"/>
      <c r="AF155" s="159">
        <v>0</v>
      </c>
      <c r="AG155" s="156"/>
      <c r="AH155" s="156"/>
      <c r="AI155" s="159">
        <v>0</v>
      </c>
      <c r="AJ155" s="156"/>
      <c r="AK155" s="156"/>
      <c r="AL155" s="157" t="s">
        <v>28</v>
      </c>
      <c r="AM155" s="156"/>
      <c r="AN155" s="156"/>
      <c r="AO155" s="157" t="s">
        <v>28</v>
      </c>
      <c r="AP155" s="156"/>
      <c r="AQ155" s="156"/>
      <c r="AR155" s="157" t="s">
        <v>28</v>
      </c>
      <c r="AS155" s="156"/>
      <c r="AT155" s="156"/>
      <c r="AU155" s="157" t="s">
        <v>28</v>
      </c>
      <c r="AV155" s="156"/>
      <c r="AW155" s="156"/>
      <c r="AX155" s="157" t="s">
        <v>28</v>
      </c>
      <c r="AY155" s="156"/>
      <c r="AZ155" s="156"/>
      <c r="BA155" s="156"/>
    </row>
    <row r="156" spans="1:53" ht="14.45" customHeight="1" x14ac:dyDescent="0.25">
      <c r="A156" s="158" t="s">
        <v>223</v>
      </c>
      <c r="B156" s="156"/>
      <c r="C156" s="159">
        <v>0</v>
      </c>
      <c r="D156" s="156"/>
      <c r="E156" s="156"/>
      <c r="F156" s="159">
        <v>0</v>
      </c>
      <c r="G156" s="156"/>
      <c r="H156" s="156"/>
      <c r="I156" s="159">
        <v>0</v>
      </c>
      <c r="J156" s="156"/>
      <c r="K156" s="156"/>
      <c r="L156" s="159">
        <v>0</v>
      </c>
      <c r="M156" s="156"/>
      <c r="N156" s="156"/>
      <c r="O156" s="159">
        <v>0</v>
      </c>
      <c r="P156" s="156"/>
      <c r="Q156" s="156"/>
      <c r="R156" s="156"/>
      <c r="S156" s="156"/>
      <c r="T156" s="159">
        <v>0</v>
      </c>
      <c r="U156" s="156"/>
      <c r="V156" s="156"/>
      <c r="W156" s="159">
        <v>0</v>
      </c>
      <c r="X156" s="156"/>
      <c r="Y156" s="156"/>
      <c r="Z156" s="159">
        <v>0</v>
      </c>
      <c r="AA156" s="156"/>
      <c r="AB156" s="156"/>
      <c r="AC156" s="159">
        <v>0</v>
      </c>
      <c r="AD156" s="156"/>
      <c r="AE156" s="156"/>
      <c r="AF156" s="159">
        <v>0</v>
      </c>
      <c r="AG156" s="156"/>
      <c r="AH156" s="156"/>
      <c r="AI156" s="159">
        <v>0</v>
      </c>
      <c r="AJ156" s="156"/>
      <c r="AK156" s="156"/>
      <c r="AL156" s="157" t="s">
        <v>28</v>
      </c>
      <c r="AM156" s="156"/>
      <c r="AN156" s="156"/>
      <c r="AO156" s="157" t="s">
        <v>28</v>
      </c>
      <c r="AP156" s="156"/>
      <c r="AQ156" s="156"/>
      <c r="AR156" s="157" t="s">
        <v>28</v>
      </c>
      <c r="AS156" s="156"/>
      <c r="AT156" s="156"/>
      <c r="AU156" s="157" t="s">
        <v>28</v>
      </c>
      <c r="AV156" s="156"/>
      <c r="AW156" s="156"/>
      <c r="AX156" s="157" t="s">
        <v>28</v>
      </c>
      <c r="AY156" s="156"/>
      <c r="AZ156" s="156"/>
      <c r="BA156" s="156"/>
    </row>
    <row r="157" spans="1:53" ht="14.45" customHeight="1" x14ac:dyDescent="0.25">
      <c r="A157" s="158" t="s">
        <v>224</v>
      </c>
      <c r="B157" s="156"/>
      <c r="C157" s="159">
        <v>0</v>
      </c>
      <c r="D157" s="156"/>
      <c r="E157" s="156"/>
      <c r="F157" s="159">
        <v>0</v>
      </c>
      <c r="G157" s="156"/>
      <c r="H157" s="156"/>
      <c r="I157" s="159">
        <v>0</v>
      </c>
      <c r="J157" s="156"/>
      <c r="K157" s="156"/>
      <c r="L157" s="159">
        <v>0</v>
      </c>
      <c r="M157" s="156"/>
      <c r="N157" s="156"/>
      <c r="O157" s="159">
        <v>0</v>
      </c>
      <c r="P157" s="156"/>
      <c r="Q157" s="156"/>
      <c r="R157" s="156"/>
      <c r="S157" s="156"/>
      <c r="T157" s="159">
        <v>0</v>
      </c>
      <c r="U157" s="156"/>
      <c r="V157" s="156"/>
      <c r="W157" s="159">
        <v>0</v>
      </c>
      <c r="X157" s="156"/>
      <c r="Y157" s="156"/>
      <c r="Z157" s="159">
        <v>0</v>
      </c>
      <c r="AA157" s="156"/>
      <c r="AB157" s="156"/>
      <c r="AC157" s="159">
        <v>0</v>
      </c>
      <c r="AD157" s="156"/>
      <c r="AE157" s="156"/>
      <c r="AF157" s="159">
        <v>0</v>
      </c>
      <c r="AG157" s="156"/>
      <c r="AH157" s="156"/>
      <c r="AI157" s="159">
        <v>0</v>
      </c>
      <c r="AJ157" s="156"/>
      <c r="AK157" s="156"/>
      <c r="AL157" s="157" t="s">
        <v>28</v>
      </c>
      <c r="AM157" s="156"/>
      <c r="AN157" s="156"/>
      <c r="AO157" s="157" t="s">
        <v>28</v>
      </c>
      <c r="AP157" s="156"/>
      <c r="AQ157" s="156"/>
      <c r="AR157" s="157" t="s">
        <v>28</v>
      </c>
      <c r="AS157" s="156"/>
      <c r="AT157" s="156"/>
      <c r="AU157" s="157" t="s">
        <v>28</v>
      </c>
      <c r="AV157" s="156"/>
      <c r="AW157" s="156"/>
      <c r="AX157" s="157" t="s">
        <v>28</v>
      </c>
      <c r="AY157" s="156"/>
      <c r="AZ157" s="156"/>
      <c r="BA157" s="156"/>
    </row>
    <row r="158" spans="1:53" ht="14.45" customHeight="1" x14ac:dyDescent="0.25">
      <c r="A158" s="158" t="s">
        <v>225</v>
      </c>
      <c r="B158" s="156"/>
      <c r="C158" s="159">
        <v>0</v>
      </c>
      <c r="D158" s="156"/>
      <c r="E158" s="156"/>
      <c r="F158" s="159">
        <v>0</v>
      </c>
      <c r="G158" s="156"/>
      <c r="H158" s="156"/>
      <c r="I158" s="159">
        <v>0</v>
      </c>
      <c r="J158" s="156"/>
      <c r="K158" s="156"/>
      <c r="L158" s="159">
        <v>0</v>
      </c>
      <c r="M158" s="156"/>
      <c r="N158" s="156"/>
      <c r="O158" s="159">
        <v>0</v>
      </c>
      <c r="P158" s="156"/>
      <c r="Q158" s="156"/>
      <c r="R158" s="156"/>
      <c r="S158" s="156"/>
      <c r="T158" s="159">
        <v>0</v>
      </c>
      <c r="U158" s="156"/>
      <c r="V158" s="156"/>
      <c r="W158" s="159">
        <v>0</v>
      </c>
      <c r="X158" s="156"/>
      <c r="Y158" s="156"/>
      <c r="Z158" s="159">
        <v>0</v>
      </c>
      <c r="AA158" s="156"/>
      <c r="AB158" s="156"/>
      <c r="AC158" s="159">
        <v>0</v>
      </c>
      <c r="AD158" s="156"/>
      <c r="AE158" s="156"/>
      <c r="AF158" s="159">
        <v>0</v>
      </c>
      <c r="AG158" s="156"/>
      <c r="AH158" s="156"/>
      <c r="AI158" s="159">
        <v>0</v>
      </c>
      <c r="AJ158" s="156"/>
      <c r="AK158" s="156"/>
      <c r="AL158" s="157" t="s">
        <v>28</v>
      </c>
      <c r="AM158" s="156"/>
      <c r="AN158" s="156"/>
      <c r="AO158" s="157" t="s">
        <v>28</v>
      </c>
      <c r="AP158" s="156"/>
      <c r="AQ158" s="156"/>
      <c r="AR158" s="157" t="s">
        <v>28</v>
      </c>
      <c r="AS158" s="156"/>
      <c r="AT158" s="156"/>
      <c r="AU158" s="157" t="s">
        <v>28</v>
      </c>
      <c r="AV158" s="156"/>
      <c r="AW158" s="156"/>
      <c r="AX158" s="157" t="s">
        <v>28</v>
      </c>
      <c r="AY158" s="156"/>
      <c r="AZ158" s="156"/>
      <c r="BA158" s="156"/>
    </row>
    <row r="159" spans="1:53" ht="14.45" customHeight="1" x14ac:dyDescent="0.25">
      <c r="A159" s="158" t="s">
        <v>226</v>
      </c>
      <c r="B159" s="156"/>
      <c r="C159" s="159">
        <v>0</v>
      </c>
      <c r="D159" s="156"/>
      <c r="E159" s="156"/>
      <c r="F159" s="159">
        <v>0</v>
      </c>
      <c r="G159" s="156"/>
      <c r="H159" s="156"/>
      <c r="I159" s="159">
        <v>0</v>
      </c>
      <c r="J159" s="156"/>
      <c r="K159" s="156"/>
      <c r="L159" s="159">
        <v>0</v>
      </c>
      <c r="M159" s="156"/>
      <c r="N159" s="156"/>
      <c r="O159" s="159">
        <v>0</v>
      </c>
      <c r="P159" s="156"/>
      <c r="Q159" s="156"/>
      <c r="R159" s="156"/>
      <c r="S159" s="156"/>
      <c r="T159" s="159">
        <v>0</v>
      </c>
      <c r="U159" s="156"/>
      <c r="V159" s="156"/>
      <c r="W159" s="159">
        <v>0</v>
      </c>
      <c r="X159" s="156"/>
      <c r="Y159" s="156"/>
      <c r="Z159" s="159">
        <v>0</v>
      </c>
      <c r="AA159" s="156"/>
      <c r="AB159" s="156"/>
      <c r="AC159" s="159">
        <v>0</v>
      </c>
      <c r="AD159" s="156"/>
      <c r="AE159" s="156"/>
      <c r="AF159" s="159">
        <v>0</v>
      </c>
      <c r="AG159" s="156"/>
      <c r="AH159" s="156"/>
      <c r="AI159" s="159">
        <v>0</v>
      </c>
      <c r="AJ159" s="156"/>
      <c r="AK159" s="156"/>
      <c r="AL159" s="157" t="s">
        <v>28</v>
      </c>
      <c r="AM159" s="156"/>
      <c r="AN159" s="156"/>
      <c r="AO159" s="157" t="s">
        <v>28</v>
      </c>
      <c r="AP159" s="156"/>
      <c r="AQ159" s="156"/>
      <c r="AR159" s="157" t="s">
        <v>28</v>
      </c>
      <c r="AS159" s="156"/>
      <c r="AT159" s="156"/>
      <c r="AU159" s="157" t="s">
        <v>28</v>
      </c>
      <c r="AV159" s="156"/>
      <c r="AW159" s="156"/>
      <c r="AX159" s="157" t="s">
        <v>28</v>
      </c>
      <c r="AY159" s="156"/>
      <c r="AZ159" s="156"/>
      <c r="BA159" s="156"/>
    </row>
    <row r="160" spans="1:53" ht="14.45" customHeight="1" x14ac:dyDescent="0.25">
      <c r="A160" s="158" t="s">
        <v>227</v>
      </c>
      <c r="B160" s="156"/>
      <c r="C160" s="159">
        <v>0</v>
      </c>
      <c r="D160" s="156"/>
      <c r="E160" s="156"/>
      <c r="F160" s="159">
        <v>0</v>
      </c>
      <c r="G160" s="156"/>
      <c r="H160" s="156"/>
      <c r="I160" s="159">
        <v>0</v>
      </c>
      <c r="J160" s="156"/>
      <c r="K160" s="156"/>
      <c r="L160" s="159">
        <v>0</v>
      </c>
      <c r="M160" s="156"/>
      <c r="N160" s="156"/>
      <c r="O160" s="159">
        <v>0</v>
      </c>
      <c r="P160" s="156"/>
      <c r="Q160" s="156"/>
      <c r="R160" s="156"/>
      <c r="S160" s="156"/>
      <c r="T160" s="159">
        <v>0</v>
      </c>
      <c r="U160" s="156"/>
      <c r="V160" s="156"/>
      <c r="W160" s="159">
        <v>0</v>
      </c>
      <c r="X160" s="156"/>
      <c r="Y160" s="156"/>
      <c r="Z160" s="159">
        <v>0</v>
      </c>
      <c r="AA160" s="156"/>
      <c r="AB160" s="156"/>
      <c r="AC160" s="159">
        <v>0</v>
      </c>
      <c r="AD160" s="156"/>
      <c r="AE160" s="156"/>
      <c r="AF160" s="159">
        <v>0</v>
      </c>
      <c r="AG160" s="156"/>
      <c r="AH160" s="156"/>
      <c r="AI160" s="159">
        <v>0</v>
      </c>
      <c r="AJ160" s="156"/>
      <c r="AK160" s="156"/>
      <c r="AL160" s="157" t="s">
        <v>28</v>
      </c>
      <c r="AM160" s="156"/>
      <c r="AN160" s="156"/>
      <c r="AO160" s="157" t="s">
        <v>28</v>
      </c>
      <c r="AP160" s="156"/>
      <c r="AQ160" s="156"/>
      <c r="AR160" s="157" t="s">
        <v>28</v>
      </c>
      <c r="AS160" s="156"/>
      <c r="AT160" s="156"/>
      <c r="AU160" s="157" t="s">
        <v>28</v>
      </c>
      <c r="AV160" s="156"/>
      <c r="AW160" s="156"/>
      <c r="AX160" s="157" t="s">
        <v>28</v>
      </c>
      <c r="AY160" s="156"/>
      <c r="AZ160" s="156"/>
      <c r="BA160" s="156"/>
    </row>
    <row r="161" spans="1:53" ht="14.45" customHeight="1" x14ac:dyDescent="0.25">
      <c r="A161" s="158" t="s">
        <v>228</v>
      </c>
      <c r="B161" s="156"/>
      <c r="C161" s="159">
        <v>0</v>
      </c>
      <c r="D161" s="156"/>
      <c r="E161" s="156"/>
      <c r="F161" s="159">
        <v>0</v>
      </c>
      <c r="G161" s="156"/>
      <c r="H161" s="156"/>
      <c r="I161" s="159">
        <v>0</v>
      </c>
      <c r="J161" s="156"/>
      <c r="K161" s="156"/>
      <c r="L161" s="159">
        <v>0</v>
      </c>
      <c r="M161" s="156"/>
      <c r="N161" s="156"/>
      <c r="O161" s="159">
        <v>0</v>
      </c>
      <c r="P161" s="156"/>
      <c r="Q161" s="156"/>
      <c r="R161" s="156"/>
      <c r="S161" s="156"/>
      <c r="T161" s="159">
        <v>0</v>
      </c>
      <c r="U161" s="156"/>
      <c r="V161" s="156"/>
      <c r="W161" s="159">
        <v>0</v>
      </c>
      <c r="X161" s="156"/>
      <c r="Y161" s="156"/>
      <c r="Z161" s="159">
        <v>0</v>
      </c>
      <c r="AA161" s="156"/>
      <c r="AB161" s="156"/>
      <c r="AC161" s="159">
        <v>0</v>
      </c>
      <c r="AD161" s="156"/>
      <c r="AE161" s="156"/>
      <c r="AF161" s="159">
        <v>0</v>
      </c>
      <c r="AG161" s="156"/>
      <c r="AH161" s="156"/>
      <c r="AI161" s="159">
        <v>0</v>
      </c>
      <c r="AJ161" s="156"/>
      <c r="AK161" s="156"/>
      <c r="AL161" s="157" t="s">
        <v>28</v>
      </c>
      <c r="AM161" s="156"/>
      <c r="AN161" s="156"/>
      <c r="AO161" s="157" t="s">
        <v>28</v>
      </c>
      <c r="AP161" s="156"/>
      <c r="AQ161" s="156"/>
      <c r="AR161" s="157" t="s">
        <v>28</v>
      </c>
      <c r="AS161" s="156"/>
      <c r="AT161" s="156"/>
      <c r="AU161" s="157" t="s">
        <v>28</v>
      </c>
      <c r="AV161" s="156"/>
      <c r="AW161" s="156"/>
      <c r="AX161" s="157" t="s">
        <v>28</v>
      </c>
      <c r="AY161" s="156"/>
      <c r="AZ161" s="156"/>
      <c r="BA161" s="156"/>
    </row>
    <row r="162" spans="1:53" ht="14.45" customHeight="1" x14ac:dyDescent="0.25">
      <c r="A162" s="158" t="s">
        <v>229</v>
      </c>
      <c r="B162" s="156"/>
      <c r="C162" s="157" t="s">
        <v>28</v>
      </c>
      <c r="D162" s="156"/>
      <c r="E162" s="156"/>
      <c r="F162" s="157" t="s">
        <v>28</v>
      </c>
      <c r="G162" s="156"/>
      <c r="H162" s="156"/>
      <c r="I162" s="157" t="s">
        <v>28</v>
      </c>
      <c r="J162" s="156"/>
      <c r="K162" s="156"/>
      <c r="L162" s="157" t="s">
        <v>28</v>
      </c>
      <c r="M162" s="156"/>
      <c r="N162" s="156"/>
      <c r="O162" s="157" t="s">
        <v>28</v>
      </c>
      <c r="P162" s="156"/>
      <c r="Q162" s="156"/>
      <c r="R162" s="156"/>
      <c r="S162" s="156"/>
      <c r="T162" s="157" t="s">
        <v>28</v>
      </c>
      <c r="U162" s="156"/>
      <c r="V162" s="156"/>
      <c r="W162" s="157" t="s">
        <v>28</v>
      </c>
      <c r="X162" s="156"/>
      <c r="Y162" s="156"/>
      <c r="Z162" s="157" t="s">
        <v>28</v>
      </c>
      <c r="AA162" s="156"/>
      <c r="AB162" s="156"/>
      <c r="AC162" s="157" t="s">
        <v>28</v>
      </c>
      <c r="AD162" s="156"/>
      <c r="AE162" s="156"/>
      <c r="AF162" s="157" t="s">
        <v>28</v>
      </c>
      <c r="AG162" s="156"/>
      <c r="AH162" s="156"/>
      <c r="AI162" s="157" t="s">
        <v>28</v>
      </c>
      <c r="AJ162" s="156"/>
      <c r="AK162" s="156"/>
      <c r="AL162" s="157" t="s">
        <v>28</v>
      </c>
      <c r="AM162" s="156"/>
      <c r="AN162" s="156"/>
      <c r="AO162" s="157" t="s">
        <v>28</v>
      </c>
      <c r="AP162" s="156"/>
      <c r="AQ162" s="156"/>
      <c r="AR162" s="157" t="s">
        <v>28</v>
      </c>
      <c r="AS162" s="156"/>
      <c r="AT162" s="156"/>
      <c r="AU162" s="157" t="s">
        <v>28</v>
      </c>
      <c r="AV162" s="156"/>
      <c r="AW162" s="156"/>
      <c r="AX162" s="157" t="s">
        <v>28</v>
      </c>
      <c r="AY162" s="156"/>
      <c r="AZ162" s="156"/>
      <c r="BA162" s="156"/>
    </row>
    <row r="163" spans="1:53" ht="14.45" customHeight="1" x14ac:dyDescent="0.25">
      <c r="A163" s="158" t="s">
        <v>230</v>
      </c>
      <c r="B163" s="156"/>
      <c r="C163" s="159">
        <v>0</v>
      </c>
      <c r="D163" s="156"/>
      <c r="E163" s="156"/>
      <c r="F163" s="159">
        <v>0</v>
      </c>
      <c r="G163" s="156"/>
      <c r="H163" s="156"/>
      <c r="I163" s="159">
        <v>0</v>
      </c>
      <c r="J163" s="156"/>
      <c r="K163" s="156"/>
      <c r="L163" s="159">
        <v>0</v>
      </c>
      <c r="M163" s="156"/>
      <c r="N163" s="156"/>
      <c r="O163" s="159">
        <v>0</v>
      </c>
      <c r="P163" s="156"/>
      <c r="Q163" s="156"/>
      <c r="R163" s="156"/>
      <c r="S163" s="156"/>
      <c r="T163" s="159">
        <v>0</v>
      </c>
      <c r="U163" s="156"/>
      <c r="V163" s="156"/>
      <c r="W163" s="159">
        <v>0</v>
      </c>
      <c r="X163" s="156"/>
      <c r="Y163" s="156"/>
      <c r="Z163" s="159">
        <v>0</v>
      </c>
      <c r="AA163" s="156"/>
      <c r="AB163" s="156"/>
      <c r="AC163" s="159">
        <v>0</v>
      </c>
      <c r="AD163" s="156"/>
      <c r="AE163" s="156"/>
      <c r="AF163" s="159">
        <v>0</v>
      </c>
      <c r="AG163" s="156"/>
      <c r="AH163" s="156"/>
      <c r="AI163" s="159">
        <v>0</v>
      </c>
      <c r="AJ163" s="156"/>
      <c r="AK163" s="156"/>
      <c r="AL163" s="157" t="s">
        <v>28</v>
      </c>
      <c r="AM163" s="156"/>
      <c r="AN163" s="156"/>
      <c r="AO163" s="157" t="s">
        <v>28</v>
      </c>
      <c r="AP163" s="156"/>
      <c r="AQ163" s="156"/>
      <c r="AR163" s="157" t="s">
        <v>28</v>
      </c>
      <c r="AS163" s="156"/>
      <c r="AT163" s="156"/>
      <c r="AU163" s="157" t="s">
        <v>28</v>
      </c>
      <c r="AV163" s="156"/>
      <c r="AW163" s="156"/>
      <c r="AX163" s="157" t="s">
        <v>28</v>
      </c>
      <c r="AY163" s="156"/>
      <c r="AZ163" s="156"/>
      <c r="BA163" s="156"/>
    </row>
    <row r="164" spans="1:53" ht="14.45" customHeight="1" x14ac:dyDescent="0.25">
      <c r="A164" s="158" t="s">
        <v>231</v>
      </c>
      <c r="B164" s="156"/>
      <c r="C164" s="159">
        <v>0</v>
      </c>
      <c r="D164" s="156"/>
      <c r="E164" s="156"/>
      <c r="F164" s="159">
        <v>0</v>
      </c>
      <c r="G164" s="156"/>
      <c r="H164" s="156"/>
      <c r="I164" s="159">
        <v>0</v>
      </c>
      <c r="J164" s="156"/>
      <c r="K164" s="156"/>
      <c r="L164" s="159">
        <v>0</v>
      </c>
      <c r="M164" s="156"/>
      <c r="N164" s="156"/>
      <c r="O164" s="159">
        <v>0</v>
      </c>
      <c r="P164" s="156"/>
      <c r="Q164" s="156"/>
      <c r="R164" s="156"/>
      <c r="S164" s="156"/>
      <c r="T164" s="159">
        <v>0</v>
      </c>
      <c r="U164" s="156"/>
      <c r="V164" s="156"/>
      <c r="W164" s="159">
        <v>0</v>
      </c>
      <c r="X164" s="156"/>
      <c r="Y164" s="156"/>
      <c r="Z164" s="159">
        <v>0</v>
      </c>
      <c r="AA164" s="156"/>
      <c r="AB164" s="156"/>
      <c r="AC164" s="159">
        <v>0</v>
      </c>
      <c r="AD164" s="156"/>
      <c r="AE164" s="156"/>
      <c r="AF164" s="159">
        <v>0</v>
      </c>
      <c r="AG164" s="156"/>
      <c r="AH164" s="156"/>
      <c r="AI164" s="159">
        <v>0</v>
      </c>
      <c r="AJ164" s="156"/>
      <c r="AK164" s="156"/>
      <c r="AL164" s="157" t="s">
        <v>28</v>
      </c>
      <c r="AM164" s="156"/>
      <c r="AN164" s="156"/>
      <c r="AO164" s="157" t="s">
        <v>28</v>
      </c>
      <c r="AP164" s="156"/>
      <c r="AQ164" s="156"/>
      <c r="AR164" s="157" t="s">
        <v>28</v>
      </c>
      <c r="AS164" s="156"/>
      <c r="AT164" s="156"/>
      <c r="AU164" s="157" t="s">
        <v>28</v>
      </c>
      <c r="AV164" s="156"/>
      <c r="AW164" s="156"/>
      <c r="AX164" s="157" t="s">
        <v>28</v>
      </c>
      <c r="AY164" s="156"/>
      <c r="AZ164" s="156"/>
      <c r="BA164" s="156"/>
    </row>
    <row r="165" spans="1:53" ht="27.6" customHeight="1" x14ac:dyDescent="0.25">
      <c r="A165" s="158" t="s">
        <v>232</v>
      </c>
      <c r="B165" s="156"/>
      <c r="C165" s="157" t="s">
        <v>28</v>
      </c>
      <c r="D165" s="156"/>
      <c r="E165" s="156"/>
      <c r="F165" s="157" t="s">
        <v>28</v>
      </c>
      <c r="G165" s="156"/>
      <c r="H165" s="156"/>
      <c r="I165" s="157" t="s">
        <v>28</v>
      </c>
      <c r="J165" s="156"/>
      <c r="K165" s="156"/>
      <c r="L165" s="157" t="s">
        <v>28</v>
      </c>
      <c r="M165" s="156"/>
      <c r="N165" s="156"/>
      <c r="O165" s="157" t="s">
        <v>28</v>
      </c>
      <c r="P165" s="156"/>
      <c r="Q165" s="156"/>
      <c r="R165" s="156"/>
      <c r="S165" s="156"/>
      <c r="T165" s="157" t="s">
        <v>28</v>
      </c>
      <c r="U165" s="156"/>
      <c r="V165" s="156"/>
      <c r="W165" s="157" t="s">
        <v>28</v>
      </c>
      <c r="X165" s="156"/>
      <c r="Y165" s="156"/>
      <c r="Z165" s="157" t="s">
        <v>28</v>
      </c>
      <c r="AA165" s="156"/>
      <c r="AB165" s="156"/>
      <c r="AC165" s="157" t="s">
        <v>28</v>
      </c>
      <c r="AD165" s="156"/>
      <c r="AE165" s="156"/>
      <c r="AF165" s="157" t="s">
        <v>28</v>
      </c>
      <c r="AG165" s="156"/>
      <c r="AH165" s="156"/>
      <c r="AI165" s="157" t="s">
        <v>28</v>
      </c>
      <c r="AJ165" s="156"/>
      <c r="AK165" s="156"/>
      <c r="AL165" s="157" t="s">
        <v>28</v>
      </c>
      <c r="AM165" s="156"/>
      <c r="AN165" s="156"/>
      <c r="AO165" s="157" t="s">
        <v>28</v>
      </c>
      <c r="AP165" s="156"/>
      <c r="AQ165" s="156"/>
      <c r="AR165" s="157" t="s">
        <v>28</v>
      </c>
      <c r="AS165" s="156"/>
      <c r="AT165" s="156"/>
      <c r="AU165" s="157" t="s">
        <v>28</v>
      </c>
      <c r="AV165" s="156"/>
      <c r="AW165" s="156"/>
      <c r="AX165" s="157" t="s">
        <v>28</v>
      </c>
      <c r="AY165" s="156"/>
      <c r="AZ165" s="156"/>
      <c r="BA165" s="156"/>
    </row>
    <row r="166" spans="1:53" ht="27.6" customHeight="1" x14ac:dyDescent="0.25">
      <c r="A166" s="158" t="s">
        <v>233</v>
      </c>
      <c r="B166" s="156"/>
      <c r="C166" s="157" t="s">
        <v>28</v>
      </c>
      <c r="D166" s="156"/>
      <c r="E166" s="156"/>
      <c r="F166" s="157" t="s">
        <v>28</v>
      </c>
      <c r="G166" s="156"/>
      <c r="H166" s="156"/>
      <c r="I166" s="157" t="s">
        <v>28</v>
      </c>
      <c r="J166" s="156"/>
      <c r="K166" s="156"/>
      <c r="L166" s="157" t="s">
        <v>28</v>
      </c>
      <c r="M166" s="156"/>
      <c r="N166" s="156"/>
      <c r="O166" s="157" t="s">
        <v>28</v>
      </c>
      <c r="P166" s="156"/>
      <c r="Q166" s="156"/>
      <c r="R166" s="156"/>
      <c r="S166" s="156"/>
      <c r="T166" s="157" t="s">
        <v>28</v>
      </c>
      <c r="U166" s="156"/>
      <c r="V166" s="156"/>
      <c r="W166" s="157" t="s">
        <v>28</v>
      </c>
      <c r="X166" s="156"/>
      <c r="Y166" s="156"/>
      <c r="Z166" s="157" t="s">
        <v>28</v>
      </c>
      <c r="AA166" s="156"/>
      <c r="AB166" s="156"/>
      <c r="AC166" s="157" t="s">
        <v>28</v>
      </c>
      <c r="AD166" s="156"/>
      <c r="AE166" s="156"/>
      <c r="AF166" s="157" t="s">
        <v>28</v>
      </c>
      <c r="AG166" s="156"/>
      <c r="AH166" s="156"/>
      <c r="AI166" s="157" t="s">
        <v>28</v>
      </c>
      <c r="AJ166" s="156"/>
      <c r="AK166" s="156"/>
      <c r="AL166" s="157" t="s">
        <v>28</v>
      </c>
      <c r="AM166" s="156"/>
      <c r="AN166" s="156"/>
      <c r="AO166" s="157" t="s">
        <v>28</v>
      </c>
      <c r="AP166" s="156"/>
      <c r="AQ166" s="156"/>
      <c r="AR166" s="157" t="s">
        <v>28</v>
      </c>
      <c r="AS166" s="156"/>
      <c r="AT166" s="156"/>
      <c r="AU166" s="157" t="s">
        <v>28</v>
      </c>
      <c r="AV166" s="156"/>
      <c r="AW166" s="156"/>
      <c r="AX166" s="157" t="s">
        <v>28</v>
      </c>
      <c r="AY166" s="156"/>
      <c r="AZ166" s="156"/>
      <c r="BA166" s="156"/>
    </row>
    <row r="167" spans="1:53" ht="14.45" customHeight="1" x14ac:dyDescent="0.25">
      <c r="A167" s="156"/>
      <c r="B167" s="156"/>
      <c r="C167" s="156"/>
      <c r="D167" s="156"/>
      <c r="E167" s="156"/>
      <c r="F167" s="156"/>
      <c r="G167" s="156"/>
      <c r="H167" s="156"/>
      <c r="I167" s="156"/>
      <c r="J167" s="156"/>
      <c r="K167" s="156"/>
      <c r="L167" s="156"/>
      <c r="M167" s="156"/>
      <c r="N167" s="156"/>
      <c r="O167" s="156"/>
      <c r="P167" s="156"/>
      <c r="Q167" s="156"/>
      <c r="R167" s="156"/>
      <c r="S167" s="156"/>
      <c r="T167" s="156"/>
      <c r="U167" s="156"/>
      <c r="V167" s="156"/>
      <c r="W167" s="156"/>
      <c r="X167" s="156"/>
      <c r="Y167" s="156"/>
      <c r="Z167" s="156"/>
      <c r="AA167" s="156"/>
      <c r="AB167" s="156"/>
      <c r="AC167" s="156"/>
      <c r="AD167" s="156"/>
      <c r="AE167" s="156"/>
      <c r="AF167" s="156"/>
      <c r="AG167" s="156"/>
      <c r="AH167" s="156"/>
      <c r="AI167" s="156"/>
      <c r="AJ167" s="156"/>
      <c r="AK167" s="156"/>
      <c r="AL167" s="156"/>
      <c r="AM167" s="156"/>
      <c r="AN167" s="156"/>
      <c r="AO167" s="156"/>
      <c r="AP167" s="156"/>
      <c r="AQ167" s="156"/>
      <c r="AR167" s="156"/>
      <c r="AS167" s="156"/>
      <c r="AT167" s="156"/>
      <c r="AU167" s="156"/>
      <c r="AV167" s="156"/>
      <c r="AW167" s="156"/>
      <c r="AX167" s="156"/>
      <c r="AY167" s="156"/>
      <c r="AZ167" s="156"/>
      <c r="BA167" s="156"/>
    </row>
    <row r="168" spans="1:53" ht="14.45" customHeight="1" x14ac:dyDescent="0.25">
      <c r="A168" s="163" t="s">
        <v>106</v>
      </c>
      <c r="B168" s="156"/>
      <c r="C168" s="156"/>
      <c r="D168" s="156"/>
      <c r="E168" s="156"/>
      <c r="F168" s="156"/>
      <c r="G168" s="156"/>
      <c r="H168" s="156"/>
      <c r="I168" s="156"/>
      <c r="J168" s="156"/>
      <c r="K168" s="156"/>
      <c r="L168" s="156"/>
      <c r="M168" s="156"/>
      <c r="N168" s="156"/>
      <c r="O168" s="156"/>
      <c r="P168" s="156"/>
      <c r="Q168" s="156"/>
      <c r="R168" s="156"/>
      <c r="S168" s="156"/>
      <c r="T168" s="156"/>
      <c r="U168" s="156"/>
      <c r="V168" s="156"/>
      <c r="W168" s="156"/>
      <c r="X168" s="156"/>
      <c r="Y168" s="156"/>
      <c r="Z168" s="156"/>
      <c r="AA168" s="156"/>
      <c r="AB168" s="156"/>
      <c r="AC168" s="156"/>
      <c r="AD168" s="156"/>
      <c r="AE168" s="156"/>
      <c r="AF168" s="156"/>
      <c r="AG168" s="156"/>
      <c r="AH168" s="156"/>
      <c r="AI168" s="156"/>
      <c r="AJ168" s="156"/>
      <c r="AK168" s="156"/>
      <c r="AL168" s="156"/>
      <c r="AM168" s="156"/>
      <c r="AN168" s="156"/>
      <c r="AO168" s="156"/>
      <c r="AP168" s="156"/>
      <c r="AQ168" s="156"/>
      <c r="AR168" s="156"/>
      <c r="AS168" s="156"/>
      <c r="AT168" s="156"/>
      <c r="AU168" s="156"/>
      <c r="AV168" s="156"/>
      <c r="AW168" s="156"/>
      <c r="AX168" s="156"/>
      <c r="AY168" s="156"/>
      <c r="AZ168" s="156"/>
      <c r="BA168" s="156"/>
    </row>
    <row r="169" spans="1:53" ht="14.45" customHeight="1" x14ac:dyDescent="0.25">
      <c r="A169" s="158" t="s">
        <v>234</v>
      </c>
      <c r="B169" s="156"/>
      <c r="C169" s="159">
        <v>0</v>
      </c>
      <c r="D169" s="156"/>
      <c r="E169" s="156"/>
      <c r="F169" s="159">
        <v>0</v>
      </c>
      <c r="G169" s="156"/>
      <c r="H169" s="156"/>
      <c r="I169" s="159">
        <v>0</v>
      </c>
      <c r="J169" s="156"/>
      <c r="K169" s="156"/>
      <c r="L169" s="159">
        <v>0</v>
      </c>
      <c r="M169" s="156"/>
      <c r="N169" s="156"/>
      <c r="O169" s="159">
        <v>0</v>
      </c>
      <c r="P169" s="156"/>
      <c r="Q169" s="156"/>
      <c r="R169" s="156"/>
      <c r="S169" s="156"/>
      <c r="T169" s="159">
        <v>0</v>
      </c>
      <c r="U169" s="156"/>
      <c r="V169" s="156"/>
      <c r="W169" s="159">
        <v>0</v>
      </c>
      <c r="X169" s="156"/>
      <c r="Y169" s="156"/>
      <c r="Z169" s="159">
        <v>0</v>
      </c>
      <c r="AA169" s="156"/>
      <c r="AB169" s="156"/>
      <c r="AC169" s="159">
        <v>0</v>
      </c>
      <c r="AD169" s="156"/>
      <c r="AE169" s="156"/>
      <c r="AF169" s="159">
        <v>0</v>
      </c>
      <c r="AG169" s="156"/>
      <c r="AH169" s="156"/>
      <c r="AI169" s="159">
        <v>0</v>
      </c>
      <c r="AJ169" s="156"/>
      <c r="AK169" s="156"/>
      <c r="AL169" s="157" t="s">
        <v>28</v>
      </c>
      <c r="AM169" s="156"/>
      <c r="AN169" s="156"/>
      <c r="AO169" s="157" t="s">
        <v>28</v>
      </c>
      <c r="AP169" s="156"/>
      <c r="AQ169" s="156"/>
      <c r="AR169" s="157" t="s">
        <v>28</v>
      </c>
      <c r="AS169" s="156"/>
      <c r="AT169" s="156"/>
      <c r="AU169" s="157" t="s">
        <v>28</v>
      </c>
      <c r="AV169" s="156"/>
      <c r="AW169" s="156"/>
      <c r="AX169" s="157" t="s">
        <v>28</v>
      </c>
      <c r="AY169" s="156"/>
      <c r="AZ169" s="156"/>
      <c r="BA169" s="156"/>
    </row>
    <row r="170" spans="1:53" ht="14.45" customHeight="1" x14ac:dyDescent="0.25">
      <c r="A170" s="158" t="s">
        <v>235</v>
      </c>
      <c r="B170" s="156"/>
      <c r="C170" s="159">
        <v>0</v>
      </c>
      <c r="D170" s="156"/>
      <c r="E170" s="156"/>
      <c r="F170" s="159">
        <v>0</v>
      </c>
      <c r="G170" s="156"/>
      <c r="H170" s="156"/>
      <c r="I170" s="159">
        <v>0</v>
      </c>
      <c r="J170" s="156"/>
      <c r="K170" s="156"/>
      <c r="L170" s="159">
        <v>0</v>
      </c>
      <c r="M170" s="156"/>
      <c r="N170" s="156"/>
      <c r="O170" s="159">
        <v>0</v>
      </c>
      <c r="P170" s="156"/>
      <c r="Q170" s="156"/>
      <c r="R170" s="156"/>
      <c r="S170" s="156"/>
      <c r="T170" s="159">
        <v>0</v>
      </c>
      <c r="U170" s="156"/>
      <c r="V170" s="156"/>
      <c r="W170" s="159">
        <v>0</v>
      </c>
      <c r="X170" s="156"/>
      <c r="Y170" s="156"/>
      <c r="Z170" s="159">
        <v>0</v>
      </c>
      <c r="AA170" s="156"/>
      <c r="AB170" s="156"/>
      <c r="AC170" s="159">
        <v>0</v>
      </c>
      <c r="AD170" s="156"/>
      <c r="AE170" s="156"/>
      <c r="AF170" s="159">
        <v>0</v>
      </c>
      <c r="AG170" s="156"/>
      <c r="AH170" s="156"/>
      <c r="AI170" s="159">
        <v>0</v>
      </c>
      <c r="AJ170" s="156"/>
      <c r="AK170" s="156"/>
      <c r="AL170" s="157" t="s">
        <v>28</v>
      </c>
      <c r="AM170" s="156"/>
      <c r="AN170" s="156"/>
      <c r="AO170" s="157" t="s">
        <v>28</v>
      </c>
      <c r="AP170" s="156"/>
      <c r="AQ170" s="156"/>
      <c r="AR170" s="157" t="s">
        <v>28</v>
      </c>
      <c r="AS170" s="156"/>
      <c r="AT170" s="156"/>
      <c r="AU170" s="157" t="s">
        <v>28</v>
      </c>
      <c r="AV170" s="156"/>
      <c r="AW170" s="156"/>
      <c r="AX170" s="157" t="s">
        <v>28</v>
      </c>
      <c r="AY170" s="156"/>
      <c r="AZ170" s="156"/>
      <c r="BA170" s="156"/>
    </row>
    <row r="171" spans="1:53" ht="14.45" customHeight="1" x14ac:dyDescent="0.25">
      <c r="A171" s="156"/>
      <c r="B171" s="156"/>
      <c r="C171" s="156"/>
      <c r="D171" s="156"/>
      <c r="E171" s="156"/>
      <c r="F171" s="156"/>
      <c r="G171" s="156"/>
      <c r="H171" s="156"/>
      <c r="I171" s="156"/>
      <c r="J171" s="156"/>
      <c r="K171" s="156"/>
      <c r="L171" s="156"/>
      <c r="M171" s="156"/>
      <c r="N171" s="156"/>
      <c r="O171" s="156"/>
      <c r="P171" s="156"/>
      <c r="Q171" s="156"/>
      <c r="R171" s="156"/>
      <c r="S171" s="156"/>
      <c r="T171" s="156"/>
      <c r="U171" s="156"/>
      <c r="V171" s="156"/>
      <c r="W171" s="156"/>
      <c r="X171" s="156"/>
      <c r="Y171" s="156"/>
      <c r="Z171" s="156"/>
      <c r="AA171" s="156"/>
      <c r="AB171" s="156"/>
      <c r="AC171" s="156"/>
      <c r="AD171" s="156"/>
      <c r="AE171" s="156"/>
      <c r="AF171" s="156"/>
      <c r="AG171" s="156"/>
      <c r="AH171" s="156"/>
      <c r="AI171" s="156"/>
      <c r="AJ171" s="156"/>
      <c r="AK171" s="156"/>
      <c r="AL171" s="156"/>
      <c r="AM171" s="156"/>
      <c r="AN171" s="156"/>
      <c r="AO171" s="156"/>
      <c r="AP171" s="156"/>
      <c r="AQ171" s="156"/>
      <c r="AR171" s="156"/>
      <c r="AS171" s="156"/>
      <c r="AT171" s="156"/>
      <c r="AU171" s="156"/>
      <c r="AV171" s="156"/>
      <c r="AW171" s="156"/>
      <c r="AX171" s="156"/>
      <c r="AY171" s="156"/>
      <c r="AZ171" s="156"/>
      <c r="BA171" s="156"/>
    </row>
    <row r="172" spans="1:53" ht="14.45" customHeight="1" x14ac:dyDescent="0.25">
      <c r="A172" s="163" t="s">
        <v>107</v>
      </c>
      <c r="B172" s="156"/>
      <c r="C172" s="156"/>
      <c r="D172" s="156"/>
      <c r="E172" s="156"/>
      <c r="F172" s="156"/>
      <c r="G172" s="156"/>
      <c r="H172" s="156"/>
      <c r="I172" s="156"/>
      <c r="J172" s="156"/>
      <c r="K172" s="156"/>
      <c r="L172" s="156"/>
      <c r="M172" s="156"/>
      <c r="N172" s="156"/>
      <c r="O172" s="156"/>
      <c r="P172" s="156"/>
      <c r="Q172" s="156"/>
      <c r="R172" s="156"/>
      <c r="S172" s="156"/>
      <c r="T172" s="156"/>
      <c r="U172" s="156"/>
      <c r="V172" s="156"/>
      <c r="W172" s="156"/>
      <c r="X172" s="156"/>
      <c r="Y172" s="156"/>
      <c r="Z172" s="156"/>
      <c r="AA172" s="156"/>
      <c r="AB172" s="156"/>
      <c r="AC172" s="156"/>
      <c r="AD172" s="156"/>
      <c r="AE172" s="156"/>
      <c r="AF172" s="156"/>
      <c r="AG172" s="156"/>
      <c r="AH172" s="156"/>
      <c r="AI172" s="156"/>
      <c r="AJ172" s="156"/>
      <c r="AK172" s="156"/>
      <c r="AL172" s="156"/>
      <c r="AM172" s="156"/>
      <c r="AN172" s="156"/>
      <c r="AO172" s="156"/>
      <c r="AP172" s="156"/>
      <c r="AQ172" s="156"/>
      <c r="AR172" s="156"/>
      <c r="AS172" s="156"/>
      <c r="AT172" s="156"/>
      <c r="AU172" s="156"/>
      <c r="AV172" s="156"/>
      <c r="AW172" s="156"/>
      <c r="AX172" s="156"/>
      <c r="AY172" s="156"/>
      <c r="AZ172" s="156"/>
      <c r="BA172" s="156"/>
    </row>
    <row r="173" spans="1:53" ht="14.45" customHeight="1" x14ac:dyDescent="0.25">
      <c r="A173" s="158" t="s">
        <v>236</v>
      </c>
      <c r="B173" s="156"/>
      <c r="C173" s="159">
        <v>0</v>
      </c>
      <c r="D173" s="156"/>
      <c r="E173" s="156"/>
      <c r="F173" s="159">
        <v>6957.5</v>
      </c>
      <c r="G173" s="156"/>
      <c r="H173" s="156"/>
      <c r="I173" s="159">
        <v>780</v>
      </c>
      <c r="J173" s="156"/>
      <c r="K173" s="156"/>
      <c r="L173" s="159">
        <v>720</v>
      </c>
      <c r="M173" s="156"/>
      <c r="N173" s="156"/>
      <c r="O173" s="159">
        <v>720</v>
      </c>
      <c r="P173" s="156"/>
      <c r="Q173" s="156"/>
      <c r="R173" s="156"/>
      <c r="S173" s="156"/>
      <c r="T173" s="159">
        <v>720</v>
      </c>
      <c r="U173" s="156"/>
      <c r="V173" s="156"/>
      <c r="W173" s="159">
        <v>720</v>
      </c>
      <c r="X173" s="156"/>
      <c r="Y173" s="156"/>
      <c r="Z173" s="159">
        <v>720</v>
      </c>
      <c r="AA173" s="156"/>
      <c r="AB173" s="156"/>
      <c r="AC173" s="159">
        <v>1643.65</v>
      </c>
      <c r="AD173" s="156"/>
      <c r="AE173" s="156"/>
      <c r="AF173" s="159">
        <v>1420</v>
      </c>
      <c r="AG173" s="156"/>
      <c r="AH173" s="156"/>
      <c r="AI173" s="159">
        <v>1320</v>
      </c>
      <c r="AJ173" s="156"/>
      <c r="AK173" s="156"/>
      <c r="AL173" s="157" t="s">
        <v>28</v>
      </c>
      <c r="AM173" s="156"/>
      <c r="AN173" s="156"/>
      <c r="AO173" s="157" t="s">
        <v>28</v>
      </c>
      <c r="AP173" s="156"/>
      <c r="AQ173" s="156"/>
      <c r="AR173" s="157" t="s">
        <v>28</v>
      </c>
      <c r="AS173" s="156"/>
      <c r="AT173" s="156"/>
      <c r="AU173" s="157" t="s">
        <v>28</v>
      </c>
      <c r="AV173" s="156"/>
      <c r="AW173" s="156"/>
      <c r="AX173" s="157" t="s">
        <v>28</v>
      </c>
      <c r="AY173" s="156"/>
      <c r="AZ173" s="156"/>
      <c r="BA173" s="156"/>
    </row>
    <row r="174" spans="1:53" ht="14.45" customHeight="1" x14ac:dyDescent="0.25">
      <c r="A174" s="158" t="s">
        <v>237</v>
      </c>
      <c r="B174" s="156"/>
      <c r="C174" s="159">
        <v>5833.43</v>
      </c>
      <c r="D174" s="156"/>
      <c r="E174" s="156"/>
      <c r="F174" s="159">
        <v>4073.31</v>
      </c>
      <c r="G174" s="156"/>
      <c r="H174" s="156"/>
      <c r="I174" s="159">
        <v>6064.35</v>
      </c>
      <c r="J174" s="156"/>
      <c r="K174" s="156"/>
      <c r="L174" s="159">
        <v>13588.85</v>
      </c>
      <c r="M174" s="156"/>
      <c r="N174" s="156"/>
      <c r="O174" s="159">
        <v>13114.62</v>
      </c>
      <c r="P174" s="156"/>
      <c r="Q174" s="156"/>
      <c r="R174" s="156"/>
      <c r="S174" s="156"/>
      <c r="T174" s="159">
        <v>14410.97</v>
      </c>
      <c r="U174" s="156"/>
      <c r="V174" s="156"/>
      <c r="W174" s="159">
        <v>11102.19</v>
      </c>
      <c r="X174" s="156"/>
      <c r="Y174" s="156"/>
      <c r="Z174" s="159">
        <v>10661.78</v>
      </c>
      <c r="AA174" s="156"/>
      <c r="AB174" s="156"/>
      <c r="AC174" s="159">
        <v>7228.96</v>
      </c>
      <c r="AD174" s="156"/>
      <c r="AE174" s="156"/>
      <c r="AF174" s="159">
        <v>17457.91</v>
      </c>
      <c r="AG174" s="156"/>
      <c r="AH174" s="156"/>
      <c r="AI174" s="159">
        <v>24507.81</v>
      </c>
      <c r="AJ174" s="156"/>
      <c r="AK174" s="156"/>
      <c r="AL174" s="157" t="s">
        <v>28</v>
      </c>
      <c r="AM174" s="156"/>
      <c r="AN174" s="156"/>
      <c r="AO174" s="157" t="s">
        <v>28</v>
      </c>
      <c r="AP174" s="156"/>
      <c r="AQ174" s="156"/>
      <c r="AR174" s="157" t="s">
        <v>28</v>
      </c>
      <c r="AS174" s="156"/>
      <c r="AT174" s="156"/>
      <c r="AU174" s="157" t="s">
        <v>28</v>
      </c>
      <c r="AV174" s="156"/>
      <c r="AW174" s="156"/>
      <c r="AX174" s="157" t="s">
        <v>28</v>
      </c>
      <c r="AY174" s="156"/>
      <c r="AZ174" s="156"/>
      <c r="BA174" s="156"/>
    </row>
    <row r="175" spans="1:53" ht="14.45" customHeight="1" x14ac:dyDescent="0.25">
      <c r="A175" s="158" t="s">
        <v>238</v>
      </c>
      <c r="B175" s="156"/>
      <c r="C175" s="159">
        <v>0</v>
      </c>
      <c r="D175" s="156"/>
      <c r="E175" s="156"/>
      <c r="F175" s="159">
        <v>0</v>
      </c>
      <c r="G175" s="156"/>
      <c r="H175" s="156"/>
      <c r="I175" s="159">
        <v>0</v>
      </c>
      <c r="J175" s="156"/>
      <c r="K175" s="156"/>
      <c r="L175" s="159">
        <v>0</v>
      </c>
      <c r="M175" s="156"/>
      <c r="N175" s="156"/>
      <c r="O175" s="159">
        <v>0</v>
      </c>
      <c r="P175" s="156"/>
      <c r="Q175" s="156"/>
      <c r="R175" s="156"/>
      <c r="S175" s="156"/>
      <c r="T175" s="159">
        <v>0</v>
      </c>
      <c r="U175" s="156"/>
      <c r="V175" s="156"/>
      <c r="W175" s="159">
        <v>0</v>
      </c>
      <c r="X175" s="156"/>
      <c r="Y175" s="156"/>
      <c r="Z175" s="159">
        <v>21.61</v>
      </c>
      <c r="AA175" s="156"/>
      <c r="AB175" s="156"/>
      <c r="AC175" s="159">
        <v>0</v>
      </c>
      <c r="AD175" s="156"/>
      <c r="AE175" s="156"/>
      <c r="AF175" s="159">
        <v>0</v>
      </c>
      <c r="AG175" s="156"/>
      <c r="AH175" s="156"/>
      <c r="AI175" s="159">
        <v>0</v>
      </c>
      <c r="AJ175" s="156"/>
      <c r="AK175" s="156"/>
      <c r="AL175" s="157" t="s">
        <v>28</v>
      </c>
      <c r="AM175" s="156"/>
      <c r="AN175" s="156"/>
      <c r="AO175" s="157" t="s">
        <v>28</v>
      </c>
      <c r="AP175" s="156"/>
      <c r="AQ175" s="156"/>
      <c r="AR175" s="157" t="s">
        <v>28</v>
      </c>
      <c r="AS175" s="156"/>
      <c r="AT175" s="156"/>
      <c r="AU175" s="157" t="s">
        <v>28</v>
      </c>
      <c r="AV175" s="156"/>
      <c r="AW175" s="156"/>
      <c r="AX175" s="157" t="s">
        <v>28</v>
      </c>
      <c r="AY175" s="156"/>
      <c r="AZ175" s="156"/>
      <c r="BA175" s="156"/>
    </row>
    <row r="176" spans="1:53" ht="14.45" customHeight="1" x14ac:dyDescent="0.25">
      <c r="A176" s="158" t="s">
        <v>239</v>
      </c>
      <c r="B176" s="156"/>
      <c r="C176" s="159">
        <v>0</v>
      </c>
      <c r="D176" s="156"/>
      <c r="E176" s="156"/>
      <c r="F176" s="159">
        <v>0</v>
      </c>
      <c r="G176" s="156"/>
      <c r="H176" s="156"/>
      <c r="I176" s="159">
        <v>0</v>
      </c>
      <c r="J176" s="156"/>
      <c r="K176" s="156"/>
      <c r="L176" s="159">
        <v>0</v>
      </c>
      <c r="M176" s="156"/>
      <c r="N176" s="156"/>
      <c r="O176" s="159">
        <v>0</v>
      </c>
      <c r="P176" s="156"/>
      <c r="Q176" s="156"/>
      <c r="R176" s="156"/>
      <c r="S176" s="156"/>
      <c r="T176" s="159">
        <v>0</v>
      </c>
      <c r="U176" s="156"/>
      <c r="V176" s="156"/>
      <c r="W176" s="159">
        <v>0</v>
      </c>
      <c r="X176" s="156"/>
      <c r="Y176" s="156"/>
      <c r="Z176" s="159">
        <v>0</v>
      </c>
      <c r="AA176" s="156"/>
      <c r="AB176" s="156"/>
      <c r="AC176" s="159">
        <v>0</v>
      </c>
      <c r="AD176" s="156"/>
      <c r="AE176" s="156"/>
      <c r="AF176" s="159">
        <v>0</v>
      </c>
      <c r="AG176" s="156"/>
      <c r="AH176" s="156"/>
      <c r="AI176" s="159">
        <v>0</v>
      </c>
      <c r="AJ176" s="156"/>
      <c r="AK176" s="156"/>
      <c r="AL176" s="157" t="s">
        <v>28</v>
      </c>
      <c r="AM176" s="156"/>
      <c r="AN176" s="156"/>
      <c r="AO176" s="157" t="s">
        <v>28</v>
      </c>
      <c r="AP176" s="156"/>
      <c r="AQ176" s="156"/>
      <c r="AR176" s="157" t="s">
        <v>28</v>
      </c>
      <c r="AS176" s="156"/>
      <c r="AT176" s="156"/>
      <c r="AU176" s="157" t="s">
        <v>28</v>
      </c>
      <c r="AV176" s="156"/>
      <c r="AW176" s="156"/>
      <c r="AX176" s="157" t="s">
        <v>28</v>
      </c>
      <c r="AY176" s="156"/>
      <c r="AZ176" s="156"/>
      <c r="BA176" s="156"/>
    </row>
    <row r="177" spans="1:53" ht="27.6" customHeight="1" x14ac:dyDescent="0.25">
      <c r="A177" s="158" t="s">
        <v>240</v>
      </c>
      <c r="B177" s="156"/>
      <c r="C177" s="159">
        <v>0</v>
      </c>
      <c r="D177" s="156"/>
      <c r="E177" s="156"/>
      <c r="F177" s="159">
        <v>0</v>
      </c>
      <c r="G177" s="156"/>
      <c r="H177" s="156"/>
      <c r="I177" s="159">
        <v>0</v>
      </c>
      <c r="J177" s="156"/>
      <c r="K177" s="156"/>
      <c r="L177" s="159">
        <v>0</v>
      </c>
      <c r="M177" s="156"/>
      <c r="N177" s="156"/>
      <c r="O177" s="159">
        <v>0</v>
      </c>
      <c r="P177" s="156"/>
      <c r="Q177" s="156"/>
      <c r="R177" s="156"/>
      <c r="S177" s="156"/>
      <c r="T177" s="159">
        <v>0</v>
      </c>
      <c r="U177" s="156"/>
      <c r="V177" s="156"/>
      <c r="W177" s="159">
        <v>0</v>
      </c>
      <c r="X177" s="156"/>
      <c r="Y177" s="156"/>
      <c r="Z177" s="159">
        <v>0</v>
      </c>
      <c r="AA177" s="156"/>
      <c r="AB177" s="156"/>
      <c r="AC177" s="159">
        <v>0</v>
      </c>
      <c r="AD177" s="156"/>
      <c r="AE177" s="156"/>
      <c r="AF177" s="159">
        <v>0</v>
      </c>
      <c r="AG177" s="156"/>
      <c r="AH177" s="156"/>
      <c r="AI177" s="159">
        <v>0</v>
      </c>
      <c r="AJ177" s="156"/>
      <c r="AK177" s="156"/>
      <c r="AL177" s="157" t="s">
        <v>28</v>
      </c>
      <c r="AM177" s="156"/>
      <c r="AN177" s="156"/>
      <c r="AO177" s="157" t="s">
        <v>28</v>
      </c>
      <c r="AP177" s="156"/>
      <c r="AQ177" s="156"/>
      <c r="AR177" s="157" t="s">
        <v>28</v>
      </c>
      <c r="AS177" s="156"/>
      <c r="AT177" s="156"/>
      <c r="AU177" s="157" t="s">
        <v>28</v>
      </c>
      <c r="AV177" s="156"/>
      <c r="AW177" s="156"/>
      <c r="AX177" s="157" t="s">
        <v>28</v>
      </c>
      <c r="AY177" s="156"/>
      <c r="AZ177" s="156"/>
      <c r="BA177" s="156"/>
    </row>
    <row r="178" spans="1:53" ht="27.6" customHeight="1" x14ac:dyDescent="0.25">
      <c r="A178" s="158" t="s">
        <v>241</v>
      </c>
      <c r="B178" s="156"/>
      <c r="C178" s="159">
        <v>0</v>
      </c>
      <c r="D178" s="156"/>
      <c r="E178" s="156"/>
      <c r="F178" s="159">
        <v>200</v>
      </c>
      <c r="G178" s="156"/>
      <c r="H178" s="156"/>
      <c r="I178" s="159">
        <v>6827.31</v>
      </c>
      <c r="J178" s="156"/>
      <c r="K178" s="156"/>
      <c r="L178" s="159">
        <v>0</v>
      </c>
      <c r="M178" s="156"/>
      <c r="N178" s="156"/>
      <c r="O178" s="159">
        <v>0</v>
      </c>
      <c r="P178" s="156"/>
      <c r="Q178" s="156"/>
      <c r="R178" s="156"/>
      <c r="S178" s="156"/>
      <c r="T178" s="159">
        <v>3930.5</v>
      </c>
      <c r="U178" s="156"/>
      <c r="V178" s="156"/>
      <c r="W178" s="159">
        <v>100</v>
      </c>
      <c r="X178" s="156"/>
      <c r="Y178" s="156"/>
      <c r="Z178" s="159">
        <v>0</v>
      </c>
      <c r="AA178" s="156"/>
      <c r="AB178" s="156"/>
      <c r="AC178" s="159">
        <v>0</v>
      </c>
      <c r="AD178" s="156"/>
      <c r="AE178" s="156"/>
      <c r="AF178" s="159">
        <v>0</v>
      </c>
      <c r="AG178" s="156"/>
      <c r="AH178" s="156"/>
      <c r="AI178" s="159">
        <v>1500</v>
      </c>
      <c r="AJ178" s="156"/>
      <c r="AK178" s="156"/>
      <c r="AL178" s="157" t="s">
        <v>28</v>
      </c>
      <c r="AM178" s="156"/>
      <c r="AN178" s="156"/>
      <c r="AO178" s="157" t="s">
        <v>28</v>
      </c>
      <c r="AP178" s="156"/>
      <c r="AQ178" s="156"/>
      <c r="AR178" s="157" t="s">
        <v>28</v>
      </c>
      <c r="AS178" s="156"/>
      <c r="AT178" s="156"/>
      <c r="AU178" s="157" t="s">
        <v>28</v>
      </c>
      <c r="AV178" s="156"/>
      <c r="AW178" s="156"/>
      <c r="AX178" s="157" t="s">
        <v>28</v>
      </c>
      <c r="AY178" s="156"/>
      <c r="AZ178" s="156"/>
      <c r="BA178" s="156"/>
    </row>
    <row r="179" spans="1:53" ht="14.45" customHeight="1" x14ac:dyDescent="0.25">
      <c r="A179" s="158" t="s">
        <v>242</v>
      </c>
      <c r="B179" s="156"/>
      <c r="C179" s="159">
        <v>0</v>
      </c>
      <c r="D179" s="156"/>
      <c r="E179" s="156"/>
      <c r="F179" s="159">
        <v>0</v>
      </c>
      <c r="G179" s="156"/>
      <c r="H179" s="156"/>
      <c r="I179" s="159">
        <v>0.51</v>
      </c>
      <c r="J179" s="156"/>
      <c r="K179" s="156"/>
      <c r="L179" s="159">
        <v>6.52</v>
      </c>
      <c r="M179" s="156"/>
      <c r="N179" s="156"/>
      <c r="O179" s="159">
        <v>0</v>
      </c>
      <c r="P179" s="156"/>
      <c r="Q179" s="156"/>
      <c r="R179" s="156"/>
      <c r="S179" s="156"/>
      <c r="T179" s="159">
        <v>7.0000000000000007E-2</v>
      </c>
      <c r="U179" s="156"/>
      <c r="V179" s="156"/>
      <c r="W179" s="159">
        <v>0</v>
      </c>
      <c r="X179" s="156"/>
      <c r="Y179" s="156"/>
      <c r="Z179" s="159">
        <v>0</v>
      </c>
      <c r="AA179" s="156"/>
      <c r="AB179" s="156"/>
      <c r="AC179" s="159">
        <v>0</v>
      </c>
      <c r="AD179" s="156"/>
      <c r="AE179" s="156"/>
      <c r="AF179" s="159">
        <v>0</v>
      </c>
      <c r="AG179" s="156"/>
      <c r="AH179" s="156"/>
      <c r="AI179" s="159">
        <v>0</v>
      </c>
      <c r="AJ179" s="156"/>
      <c r="AK179" s="156"/>
      <c r="AL179" s="157" t="s">
        <v>28</v>
      </c>
      <c r="AM179" s="156"/>
      <c r="AN179" s="156"/>
      <c r="AO179" s="157" t="s">
        <v>28</v>
      </c>
      <c r="AP179" s="156"/>
      <c r="AQ179" s="156"/>
      <c r="AR179" s="157" t="s">
        <v>28</v>
      </c>
      <c r="AS179" s="156"/>
      <c r="AT179" s="156"/>
      <c r="AU179" s="157" t="s">
        <v>28</v>
      </c>
      <c r="AV179" s="156"/>
      <c r="AW179" s="156"/>
      <c r="AX179" s="157" t="s">
        <v>28</v>
      </c>
      <c r="AY179" s="156"/>
      <c r="AZ179" s="156"/>
      <c r="BA179" s="156"/>
    </row>
    <row r="180" spans="1:53" ht="27.6" customHeight="1" x14ac:dyDescent="0.25">
      <c r="A180" s="158" t="s">
        <v>243</v>
      </c>
      <c r="B180" s="156"/>
      <c r="C180" s="159">
        <v>0</v>
      </c>
      <c r="D180" s="156"/>
      <c r="E180" s="156"/>
      <c r="F180" s="159">
        <v>0</v>
      </c>
      <c r="G180" s="156"/>
      <c r="H180" s="156"/>
      <c r="I180" s="159">
        <v>0</v>
      </c>
      <c r="J180" s="156"/>
      <c r="K180" s="156"/>
      <c r="L180" s="159">
        <v>0</v>
      </c>
      <c r="M180" s="156"/>
      <c r="N180" s="156"/>
      <c r="O180" s="159">
        <v>0</v>
      </c>
      <c r="P180" s="156"/>
      <c r="Q180" s="156"/>
      <c r="R180" s="156"/>
      <c r="S180" s="156"/>
      <c r="T180" s="159">
        <v>0</v>
      </c>
      <c r="U180" s="156"/>
      <c r="V180" s="156"/>
      <c r="W180" s="159">
        <v>0</v>
      </c>
      <c r="X180" s="156"/>
      <c r="Y180" s="156"/>
      <c r="Z180" s="159">
        <v>0</v>
      </c>
      <c r="AA180" s="156"/>
      <c r="AB180" s="156"/>
      <c r="AC180" s="159">
        <v>0</v>
      </c>
      <c r="AD180" s="156"/>
      <c r="AE180" s="156"/>
      <c r="AF180" s="159">
        <v>0</v>
      </c>
      <c r="AG180" s="156"/>
      <c r="AH180" s="156"/>
      <c r="AI180" s="159">
        <v>0</v>
      </c>
      <c r="AJ180" s="156"/>
      <c r="AK180" s="156"/>
      <c r="AL180" s="157" t="s">
        <v>28</v>
      </c>
      <c r="AM180" s="156"/>
      <c r="AN180" s="156"/>
      <c r="AO180" s="157" t="s">
        <v>28</v>
      </c>
      <c r="AP180" s="156"/>
      <c r="AQ180" s="156"/>
      <c r="AR180" s="157" t="s">
        <v>28</v>
      </c>
      <c r="AS180" s="156"/>
      <c r="AT180" s="156"/>
      <c r="AU180" s="157" t="s">
        <v>28</v>
      </c>
      <c r="AV180" s="156"/>
      <c r="AW180" s="156"/>
      <c r="AX180" s="157" t="s">
        <v>28</v>
      </c>
      <c r="AY180" s="156"/>
      <c r="AZ180" s="156"/>
      <c r="BA180" s="156"/>
    </row>
    <row r="181" spans="1:53" ht="27.6" customHeight="1" x14ac:dyDescent="0.25">
      <c r="A181" s="158" t="s">
        <v>244</v>
      </c>
      <c r="B181" s="156"/>
      <c r="C181" s="159">
        <v>0</v>
      </c>
      <c r="D181" s="156"/>
      <c r="E181" s="156"/>
      <c r="F181" s="159">
        <v>0</v>
      </c>
      <c r="G181" s="156"/>
      <c r="H181" s="156"/>
      <c r="I181" s="159">
        <v>0</v>
      </c>
      <c r="J181" s="156"/>
      <c r="K181" s="156"/>
      <c r="L181" s="159">
        <v>0</v>
      </c>
      <c r="M181" s="156"/>
      <c r="N181" s="156"/>
      <c r="O181" s="159">
        <v>0</v>
      </c>
      <c r="P181" s="156"/>
      <c r="Q181" s="156"/>
      <c r="R181" s="156"/>
      <c r="S181" s="156"/>
      <c r="T181" s="159">
        <v>0</v>
      </c>
      <c r="U181" s="156"/>
      <c r="V181" s="156"/>
      <c r="W181" s="159">
        <v>0</v>
      </c>
      <c r="X181" s="156"/>
      <c r="Y181" s="156"/>
      <c r="Z181" s="159">
        <v>0</v>
      </c>
      <c r="AA181" s="156"/>
      <c r="AB181" s="156"/>
      <c r="AC181" s="159">
        <v>0</v>
      </c>
      <c r="AD181" s="156"/>
      <c r="AE181" s="156"/>
      <c r="AF181" s="159">
        <v>0</v>
      </c>
      <c r="AG181" s="156"/>
      <c r="AH181" s="156"/>
      <c r="AI181" s="159">
        <v>0</v>
      </c>
      <c r="AJ181" s="156"/>
      <c r="AK181" s="156"/>
      <c r="AL181" s="157" t="s">
        <v>28</v>
      </c>
      <c r="AM181" s="156"/>
      <c r="AN181" s="156"/>
      <c r="AO181" s="157" t="s">
        <v>28</v>
      </c>
      <c r="AP181" s="156"/>
      <c r="AQ181" s="156"/>
      <c r="AR181" s="157" t="s">
        <v>28</v>
      </c>
      <c r="AS181" s="156"/>
      <c r="AT181" s="156"/>
      <c r="AU181" s="157" t="s">
        <v>28</v>
      </c>
      <c r="AV181" s="156"/>
      <c r="AW181" s="156"/>
      <c r="AX181" s="157" t="s">
        <v>28</v>
      </c>
      <c r="AY181" s="156"/>
      <c r="AZ181" s="156"/>
      <c r="BA181" s="156"/>
    </row>
    <row r="182" spans="1:53" ht="27.6" customHeight="1" x14ac:dyDescent="0.25">
      <c r="A182" s="158" t="s">
        <v>245</v>
      </c>
      <c r="B182" s="156"/>
      <c r="C182" s="159">
        <v>0</v>
      </c>
      <c r="D182" s="156"/>
      <c r="E182" s="156"/>
      <c r="F182" s="159">
        <v>0</v>
      </c>
      <c r="G182" s="156"/>
      <c r="H182" s="156"/>
      <c r="I182" s="159">
        <v>0</v>
      </c>
      <c r="J182" s="156"/>
      <c r="K182" s="156"/>
      <c r="L182" s="159">
        <v>0</v>
      </c>
      <c r="M182" s="156"/>
      <c r="N182" s="156"/>
      <c r="O182" s="159">
        <v>0</v>
      </c>
      <c r="P182" s="156"/>
      <c r="Q182" s="156"/>
      <c r="R182" s="156"/>
      <c r="S182" s="156"/>
      <c r="T182" s="159">
        <v>0</v>
      </c>
      <c r="U182" s="156"/>
      <c r="V182" s="156"/>
      <c r="W182" s="159">
        <v>0</v>
      </c>
      <c r="X182" s="156"/>
      <c r="Y182" s="156"/>
      <c r="Z182" s="159">
        <v>0</v>
      </c>
      <c r="AA182" s="156"/>
      <c r="AB182" s="156"/>
      <c r="AC182" s="159">
        <v>0</v>
      </c>
      <c r="AD182" s="156"/>
      <c r="AE182" s="156"/>
      <c r="AF182" s="159">
        <v>0</v>
      </c>
      <c r="AG182" s="156"/>
      <c r="AH182" s="156"/>
      <c r="AI182" s="159">
        <v>0</v>
      </c>
      <c r="AJ182" s="156"/>
      <c r="AK182" s="156"/>
      <c r="AL182" s="157" t="s">
        <v>28</v>
      </c>
      <c r="AM182" s="156"/>
      <c r="AN182" s="156"/>
      <c r="AO182" s="157" t="s">
        <v>28</v>
      </c>
      <c r="AP182" s="156"/>
      <c r="AQ182" s="156"/>
      <c r="AR182" s="157" t="s">
        <v>28</v>
      </c>
      <c r="AS182" s="156"/>
      <c r="AT182" s="156"/>
      <c r="AU182" s="157" t="s">
        <v>28</v>
      </c>
      <c r="AV182" s="156"/>
      <c r="AW182" s="156"/>
      <c r="AX182" s="157" t="s">
        <v>28</v>
      </c>
      <c r="AY182" s="156"/>
      <c r="AZ182" s="156"/>
      <c r="BA182" s="156"/>
    </row>
    <row r="183" spans="1:53" ht="14.45" customHeight="1" x14ac:dyDescent="0.25">
      <c r="A183" s="158" t="s">
        <v>246</v>
      </c>
      <c r="B183" s="156"/>
      <c r="C183" s="159">
        <v>1112.96</v>
      </c>
      <c r="D183" s="156"/>
      <c r="E183" s="156"/>
      <c r="F183" s="159">
        <v>437.25</v>
      </c>
      <c r="G183" s="156"/>
      <c r="H183" s="156"/>
      <c r="I183" s="159">
        <v>0</v>
      </c>
      <c r="J183" s="156"/>
      <c r="K183" s="156"/>
      <c r="L183" s="159">
        <v>0</v>
      </c>
      <c r="M183" s="156"/>
      <c r="N183" s="156"/>
      <c r="O183" s="159">
        <v>0</v>
      </c>
      <c r="P183" s="156"/>
      <c r="Q183" s="156"/>
      <c r="R183" s="156"/>
      <c r="S183" s="156"/>
      <c r="T183" s="159">
        <v>0</v>
      </c>
      <c r="U183" s="156"/>
      <c r="V183" s="156"/>
      <c r="W183" s="159">
        <v>0</v>
      </c>
      <c r="X183" s="156"/>
      <c r="Y183" s="156"/>
      <c r="Z183" s="159">
        <v>0</v>
      </c>
      <c r="AA183" s="156"/>
      <c r="AB183" s="156"/>
      <c r="AC183" s="159">
        <v>0</v>
      </c>
      <c r="AD183" s="156"/>
      <c r="AE183" s="156"/>
      <c r="AF183" s="159">
        <v>0</v>
      </c>
      <c r="AG183" s="156"/>
      <c r="AH183" s="156"/>
      <c r="AI183" s="159">
        <v>0</v>
      </c>
      <c r="AJ183" s="156"/>
      <c r="AK183" s="156"/>
      <c r="AL183" s="157" t="s">
        <v>28</v>
      </c>
      <c r="AM183" s="156"/>
      <c r="AN183" s="156"/>
      <c r="AO183" s="157" t="s">
        <v>28</v>
      </c>
      <c r="AP183" s="156"/>
      <c r="AQ183" s="156"/>
      <c r="AR183" s="157" t="s">
        <v>28</v>
      </c>
      <c r="AS183" s="156"/>
      <c r="AT183" s="156"/>
      <c r="AU183" s="157" t="s">
        <v>28</v>
      </c>
      <c r="AV183" s="156"/>
      <c r="AW183" s="156"/>
      <c r="AX183" s="157" t="s">
        <v>28</v>
      </c>
      <c r="AY183" s="156"/>
      <c r="AZ183" s="156"/>
      <c r="BA183" s="156"/>
    </row>
    <row r="184" spans="1:53" ht="14.45" customHeight="1" x14ac:dyDescent="0.25">
      <c r="A184" s="156"/>
      <c r="B184" s="156"/>
      <c r="C184" s="156"/>
      <c r="D184" s="156"/>
      <c r="E184" s="156"/>
      <c r="F184" s="156"/>
      <c r="G184" s="156"/>
      <c r="H184" s="156"/>
      <c r="I184" s="156"/>
      <c r="J184" s="156"/>
      <c r="K184" s="156"/>
      <c r="L184" s="156"/>
      <c r="M184" s="156"/>
      <c r="N184" s="156"/>
      <c r="O184" s="156"/>
      <c r="P184" s="156"/>
      <c r="Q184" s="156"/>
      <c r="R184" s="156"/>
      <c r="S184" s="156"/>
      <c r="T184" s="156"/>
      <c r="U184" s="156"/>
      <c r="V184" s="156"/>
      <c r="W184" s="156"/>
      <c r="X184" s="156"/>
      <c r="Y184" s="156"/>
      <c r="Z184" s="156"/>
      <c r="AA184" s="156"/>
      <c r="AB184" s="156"/>
      <c r="AC184" s="156"/>
      <c r="AD184" s="156"/>
      <c r="AE184" s="156"/>
      <c r="AF184" s="156"/>
      <c r="AG184" s="156"/>
      <c r="AH184" s="156"/>
      <c r="AI184" s="156"/>
      <c r="AJ184" s="156"/>
      <c r="AK184" s="156"/>
      <c r="AL184" s="156"/>
      <c r="AM184" s="156"/>
      <c r="AN184" s="156"/>
      <c r="AO184" s="156"/>
      <c r="AP184" s="156"/>
      <c r="AQ184" s="156"/>
      <c r="AR184" s="156"/>
      <c r="AS184" s="156"/>
      <c r="AT184" s="156"/>
      <c r="AU184" s="156"/>
      <c r="AV184" s="156"/>
      <c r="AW184" s="156"/>
      <c r="AX184" s="156"/>
      <c r="AY184" s="156"/>
      <c r="AZ184" s="156"/>
      <c r="BA184" s="156"/>
    </row>
    <row r="185" spans="1:53" ht="14.45" customHeight="1" x14ac:dyDescent="0.25">
      <c r="A185" s="163" t="s">
        <v>108</v>
      </c>
      <c r="B185" s="156"/>
      <c r="C185" s="156"/>
      <c r="D185" s="156"/>
      <c r="E185" s="156"/>
      <c r="F185" s="156"/>
      <c r="G185" s="156"/>
      <c r="H185" s="156"/>
      <c r="I185" s="156"/>
      <c r="J185" s="156"/>
      <c r="K185" s="156"/>
      <c r="L185" s="156"/>
      <c r="M185" s="156"/>
      <c r="N185" s="156"/>
      <c r="O185" s="156"/>
      <c r="P185" s="156"/>
      <c r="Q185" s="156"/>
      <c r="R185" s="156"/>
      <c r="S185" s="156"/>
      <c r="T185" s="156"/>
      <c r="U185" s="156"/>
      <c r="V185" s="156"/>
      <c r="W185" s="156"/>
      <c r="X185" s="156"/>
      <c r="Y185" s="156"/>
      <c r="Z185" s="156"/>
      <c r="AA185" s="156"/>
      <c r="AB185" s="156"/>
      <c r="AC185" s="156"/>
      <c r="AD185" s="156"/>
      <c r="AE185" s="156"/>
      <c r="AF185" s="156"/>
      <c r="AG185" s="156"/>
      <c r="AH185" s="156"/>
      <c r="AI185" s="156"/>
      <c r="AJ185" s="156"/>
      <c r="AK185" s="156"/>
      <c r="AL185" s="156"/>
      <c r="AM185" s="156"/>
      <c r="AN185" s="156"/>
      <c r="AO185" s="156"/>
      <c r="AP185" s="156"/>
      <c r="AQ185" s="156"/>
      <c r="AR185" s="156"/>
      <c r="AS185" s="156"/>
      <c r="AT185" s="156"/>
      <c r="AU185" s="156"/>
      <c r="AV185" s="156"/>
      <c r="AW185" s="156"/>
      <c r="AX185" s="156"/>
      <c r="AY185" s="156"/>
      <c r="AZ185" s="156"/>
      <c r="BA185" s="156"/>
    </row>
    <row r="186" spans="1:53" ht="14.45" customHeight="1" x14ac:dyDescent="0.25">
      <c r="A186" s="158" t="s">
        <v>223</v>
      </c>
      <c r="B186" s="156"/>
      <c r="C186" s="159">
        <v>8138.65</v>
      </c>
      <c r="D186" s="156"/>
      <c r="E186" s="156"/>
      <c r="F186" s="159">
        <v>8333.68</v>
      </c>
      <c r="G186" s="156"/>
      <c r="H186" s="156"/>
      <c r="I186" s="159">
        <v>15523.33</v>
      </c>
      <c r="J186" s="156"/>
      <c r="K186" s="156"/>
      <c r="L186" s="159">
        <v>12288.36</v>
      </c>
      <c r="M186" s="156"/>
      <c r="N186" s="156"/>
      <c r="O186" s="159">
        <v>7459.8</v>
      </c>
      <c r="P186" s="156"/>
      <c r="Q186" s="156"/>
      <c r="R186" s="156"/>
      <c r="S186" s="156"/>
      <c r="T186" s="159">
        <v>9184.18</v>
      </c>
      <c r="U186" s="156"/>
      <c r="V186" s="156"/>
      <c r="W186" s="159">
        <v>7860.41</v>
      </c>
      <c r="X186" s="156"/>
      <c r="Y186" s="156"/>
      <c r="Z186" s="159">
        <v>6009.4</v>
      </c>
      <c r="AA186" s="156"/>
      <c r="AB186" s="156"/>
      <c r="AC186" s="159">
        <v>5516.47</v>
      </c>
      <c r="AD186" s="156"/>
      <c r="AE186" s="156"/>
      <c r="AF186" s="159">
        <v>16978.7</v>
      </c>
      <c r="AG186" s="156"/>
      <c r="AH186" s="156"/>
      <c r="AI186" s="159">
        <v>17155.560000000001</v>
      </c>
      <c r="AJ186" s="156"/>
      <c r="AK186" s="156"/>
      <c r="AL186" s="157" t="s">
        <v>28</v>
      </c>
      <c r="AM186" s="156"/>
      <c r="AN186" s="156"/>
      <c r="AO186" s="157" t="s">
        <v>28</v>
      </c>
      <c r="AP186" s="156"/>
      <c r="AQ186" s="156"/>
      <c r="AR186" s="157" t="s">
        <v>28</v>
      </c>
      <c r="AS186" s="156"/>
      <c r="AT186" s="156"/>
      <c r="AU186" s="157" t="s">
        <v>28</v>
      </c>
      <c r="AV186" s="156"/>
      <c r="AW186" s="156"/>
      <c r="AX186" s="157" t="s">
        <v>28</v>
      </c>
      <c r="AY186" s="156"/>
      <c r="AZ186" s="156"/>
      <c r="BA186" s="156"/>
    </row>
    <row r="187" spans="1:53" ht="14.45" customHeight="1" x14ac:dyDescent="0.25">
      <c r="A187" s="158" t="s">
        <v>247</v>
      </c>
      <c r="B187" s="156"/>
      <c r="C187" s="159">
        <v>2859.35</v>
      </c>
      <c r="D187" s="156"/>
      <c r="E187" s="156"/>
      <c r="F187" s="159">
        <v>2803.29</v>
      </c>
      <c r="G187" s="156"/>
      <c r="H187" s="156"/>
      <c r="I187" s="159">
        <v>3153.7</v>
      </c>
      <c r="J187" s="156"/>
      <c r="K187" s="156"/>
      <c r="L187" s="159">
        <v>3153.7</v>
      </c>
      <c r="M187" s="156"/>
      <c r="N187" s="156"/>
      <c r="O187" s="159">
        <v>3427</v>
      </c>
      <c r="P187" s="156"/>
      <c r="Q187" s="156"/>
      <c r="R187" s="156"/>
      <c r="S187" s="156"/>
      <c r="T187" s="159">
        <v>3052.24</v>
      </c>
      <c r="U187" s="156"/>
      <c r="V187" s="156"/>
      <c r="W187" s="159">
        <v>2289.1799999999998</v>
      </c>
      <c r="X187" s="156"/>
      <c r="Y187" s="156"/>
      <c r="Z187" s="159">
        <v>2289.1799999999998</v>
      </c>
      <c r="AA187" s="156"/>
      <c r="AB187" s="156"/>
      <c r="AC187" s="159">
        <v>2206.44</v>
      </c>
      <c r="AD187" s="156"/>
      <c r="AE187" s="156"/>
      <c r="AF187" s="159">
        <v>2206.44</v>
      </c>
      <c r="AG187" s="156"/>
      <c r="AH187" s="156"/>
      <c r="AI187" s="159">
        <v>2206.44</v>
      </c>
      <c r="AJ187" s="156"/>
      <c r="AK187" s="156"/>
      <c r="AL187" s="157" t="s">
        <v>28</v>
      </c>
      <c r="AM187" s="156"/>
      <c r="AN187" s="156"/>
      <c r="AO187" s="157" t="s">
        <v>28</v>
      </c>
      <c r="AP187" s="156"/>
      <c r="AQ187" s="156"/>
      <c r="AR187" s="157" t="s">
        <v>28</v>
      </c>
      <c r="AS187" s="156"/>
      <c r="AT187" s="156"/>
      <c r="AU187" s="157" t="s">
        <v>28</v>
      </c>
      <c r="AV187" s="156"/>
      <c r="AW187" s="156"/>
      <c r="AX187" s="157" t="s">
        <v>28</v>
      </c>
      <c r="AY187" s="156"/>
      <c r="AZ187" s="156"/>
      <c r="BA187" s="156"/>
    </row>
    <row r="188" spans="1:53" ht="14.45" customHeight="1" x14ac:dyDescent="0.25">
      <c r="A188" s="158" t="s">
        <v>248</v>
      </c>
      <c r="B188" s="156"/>
      <c r="C188" s="159">
        <v>3802.03</v>
      </c>
      <c r="D188" s="156"/>
      <c r="E188" s="156"/>
      <c r="F188" s="159">
        <v>3790.15</v>
      </c>
      <c r="G188" s="156"/>
      <c r="H188" s="156"/>
      <c r="I188" s="159">
        <v>10879.88</v>
      </c>
      <c r="J188" s="156"/>
      <c r="K188" s="156"/>
      <c r="L188" s="159">
        <v>7337.75</v>
      </c>
      <c r="M188" s="156"/>
      <c r="N188" s="156"/>
      <c r="O188" s="159">
        <v>3148.19</v>
      </c>
      <c r="P188" s="156"/>
      <c r="Q188" s="156"/>
      <c r="R188" s="156"/>
      <c r="S188" s="156"/>
      <c r="T188" s="159">
        <v>3016.7</v>
      </c>
      <c r="U188" s="156"/>
      <c r="V188" s="156"/>
      <c r="W188" s="159">
        <v>4421.6099999999997</v>
      </c>
      <c r="X188" s="156"/>
      <c r="Y188" s="156"/>
      <c r="Z188" s="159">
        <v>2362.52</v>
      </c>
      <c r="AA188" s="156"/>
      <c r="AB188" s="156"/>
      <c r="AC188" s="159">
        <v>1991.98</v>
      </c>
      <c r="AD188" s="156"/>
      <c r="AE188" s="156"/>
      <c r="AF188" s="159">
        <v>14772.26</v>
      </c>
      <c r="AG188" s="156"/>
      <c r="AH188" s="156"/>
      <c r="AI188" s="159">
        <v>14856.64</v>
      </c>
      <c r="AJ188" s="156"/>
      <c r="AK188" s="156"/>
      <c r="AL188" s="157" t="s">
        <v>28</v>
      </c>
      <c r="AM188" s="156"/>
      <c r="AN188" s="156"/>
      <c r="AO188" s="157" t="s">
        <v>28</v>
      </c>
      <c r="AP188" s="156"/>
      <c r="AQ188" s="156"/>
      <c r="AR188" s="157" t="s">
        <v>28</v>
      </c>
      <c r="AS188" s="156"/>
      <c r="AT188" s="156"/>
      <c r="AU188" s="157" t="s">
        <v>28</v>
      </c>
      <c r="AV188" s="156"/>
      <c r="AW188" s="156"/>
      <c r="AX188" s="157" t="s">
        <v>28</v>
      </c>
      <c r="AY188" s="156"/>
      <c r="AZ188" s="156"/>
      <c r="BA188" s="156"/>
    </row>
    <row r="189" spans="1:53" ht="14.45" customHeight="1" x14ac:dyDescent="0.25">
      <c r="A189" s="158" t="s">
        <v>249</v>
      </c>
      <c r="B189" s="156"/>
      <c r="C189" s="159">
        <v>1477.27</v>
      </c>
      <c r="D189" s="156"/>
      <c r="E189" s="156"/>
      <c r="F189" s="159">
        <v>1740.24</v>
      </c>
      <c r="G189" s="156"/>
      <c r="H189" s="156"/>
      <c r="I189" s="159">
        <v>1489.75</v>
      </c>
      <c r="J189" s="156"/>
      <c r="K189" s="156"/>
      <c r="L189" s="159">
        <v>1796.91</v>
      </c>
      <c r="M189" s="156"/>
      <c r="N189" s="156"/>
      <c r="O189" s="159">
        <v>884.61</v>
      </c>
      <c r="P189" s="156"/>
      <c r="Q189" s="156"/>
      <c r="R189" s="156"/>
      <c r="S189" s="156"/>
      <c r="T189" s="159">
        <v>3115.24</v>
      </c>
      <c r="U189" s="156"/>
      <c r="V189" s="156"/>
      <c r="W189" s="159">
        <v>1149.6199999999999</v>
      </c>
      <c r="X189" s="156"/>
      <c r="Y189" s="156"/>
      <c r="Z189" s="159">
        <v>1357.7</v>
      </c>
      <c r="AA189" s="156"/>
      <c r="AB189" s="156"/>
      <c r="AC189" s="159">
        <v>1318.05</v>
      </c>
      <c r="AD189" s="156"/>
      <c r="AE189" s="156"/>
      <c r="AF189" s="159">
        <v>0</v>
      </c>
      <c r="AG189" s="156"/>
      <c r="AH189" s="156"/>
      <c r="AI189" s="159">
        <v>92.48</v>
      </c>
      <c r="AJ189" s="156"/>
      <c r="AK189" s="156"/>
      <c r="AL189" s="157" t="s">
        <v>28</v>
      </c>
      <c r="AM189" s="156"/>
      <c r="AN189" s="156"/>
      <c r="AO189" s="157" t="s">
        <v>28</v>
      </c>
      <c r="AP189" s="156"/>
      <c r="AQ189" s="156"/>
      <c r="AR189" s="157" t="s">
        <v>28</v>
      </c>
      <c r="AS189" s="156"/>
      <c r="AT189" s="156"/>
      <c r="AU189" s="157" t="s">
        <v>28</v>
      </c>
      <c r="AV189" s="156"/>
      <c r="AW189" s="156"/>
      <c r="AX189" s="157" t="s">
        <v>28</v>
      </c>
      <c r="AY189" s="156"/>
      <c r="AZ189" s="156"/>
      <c r="BA189" s="156"/>
    </row>
    <row r="190" spans="1:53" ht="14.45" customHeight="1" x14ac:dyDescent="0.25">
      <c r="A190" s="158" t="s">
        <v>250</v>
      </c>
      <c r="B190" s="156"/>
      <c r="C190" s="159">
        <v>1236.08</v>
      </c>
      <c r="D190" s="156"/>
      <c r="E190" s="156"/>
      <c r="F190" s="159">
        <v>1934.58</v>
      </c>
      <c r="G190" s="156"/>
      <c r="H190" s="156"/>
      <c r="I190" s="159">
        <v>5169.41</v>
      </c>
      <c r="J190" s="156"/>
      <c r="K190" s="156"/>
      <c r="L190" s="159">
        <v>2381.5500000000002</v>
      </c>
      <c r="M190" s="156"/>
      <c r="N190" s="156"/>
      <c r="O190" s="159">
        <v>2098.9899999999998</v>
      </c>
      <c r="P190" s="156"/>
      <c r="Q190" s="156"/>
      <c r="R190" s="156"/>
      <c r="S190" s="156"/>
      <c r="T190" s="159">
        <v>2635.95</v>
      </c>
      <c r="U190" s="156"/>
      <c r="V190" s="156"/>
      <c r="W190" s="159">
        <v>6605.15</v>
      </c>
      <c r="X190" s="156"/>
      <c r="Y190" s="156"/>
      <c r="Z190" s="159">
        <v>3679.4</v>
      </c>
      <c r="AA190" s="156"/>
      <c r="AB190" s="156"/>
      <c r="AC190" s="159">
        <v>9587.34</v>
      </c>
      <c r="AD190" s="156"/>
      <c r="AE190" s="156"/>
      <c r="AF190" s="159">
        <v>7464.98</v>
      </c>
      <c r="AG190" s="156"/>
      <c r="AH190" s="156"/>
      <c r="AI190" s="159">
        <v>3640.54</v>
      </c>
      <c r="AJ190" s="156"/>
      <c r="AK190" s="156"/>
      <c r="AL190" s="157" t="s">
        <v>28</v>
      </c>
      <c r="AM190" s="156"/>
      <c r="AN190" s="156"/>
      <c r="AO190" s="157" t="s">
        <v>28</v>
      </c>
      <c r="AP190" s="156"/>
      <c r="AQ190" s="156"/>
      <c r="AR190" s="157" t="s">
        <v>28</v>
      </c>
      <c r="AS190" s="156"/>
      <c r="AT190" s="156"/>
      <c r="AU190" s="157" t="s">
        <v>28</v>
      </c>
      <c r="AV190" s="156"/>
      <c r="AW190" s="156"/>
      <c r="AX190" s="157" t="s">
        <v>28</v>
      </c>
      <c r="AY190" s="156"/>
      <c r="AZ190" s="156"/>
      <c r="BA190" s="156"/>
    </row>
    <row r="191" spans="1:53" ht="14.45" customHeight="1" x14ac:dyDescent="0.25">
      <c r="A191" s="158" t="s">
        <v>251</v>
      </c>
      <c r="B191" s="156"/>
      <c r="C191" s="159">
        <v>0</v>
      </c>
      <c r="D191" s="156"/>
      <c r="E191" s="156"/>
      <c r="F191" s="159">
        <v>0</v>
      </c>
      <c r="G191" s="156"/>
      <c r="H191" s="156"/>
      <c r="I191" s="159">
        <v>0</v>
      </c>
      <c r="J191" s="156"/>
      <c r="K191" s="156"/>
      <c r="L191" s="159">
        <v>0</v>
      </c>
      <c r="M191" s="156"/>
      <c r="N191" s="156"/>
      <c r="O191" s="159">
        <v>0</v>
      </c>
      <c r="P191" s="156"/>
      <c r="Q191" s="156"/>
      <c r="R191" s="156"/>
      <c r="S191" s="156"/>
      <c r="T191" s="159">
        <v>0</v>
      </c>
      <c r="U191" s="156"/>
      <c r="V191" s="156"/>
      <c r="W191" s="159">
        <v>0</v>
      </c>
      <c r="X191" s="156"/>
      <c r="Y191" s="156"/>
      <c r="Z191" s="159">
        <v>0</v>
      </c>
      <c r="AA191" s="156"/>
      <c r="AB191" s="156"/>
      <c r="AC191" s="159">
        <v>0</v>
      </c>
      <c r="AD191" s="156"/>
      <c r="AE191" s="156"/>
      <c r="AF191" s="159">
        <v>0</v>
      </c>
      <c r="AG191" s="156"/>
      <c r="AH191" s="156"/>
      <c r="AI191" s="159">
        <v>0</v>
      </c>
      <c r="AJ191" s="156"/>
      <c r="AK191" s="156"/>
      <c r="AL191" s="157" t="s">
        <v>28</v>
      </c>
      <c r="AM191" s="156"/>
      <c r="AN191" s="156"/>
      <c r="AO191" s="157" t="s">
        <v>28</v>
      </c>
      <c r="AP191" s="156"/>
      <c r="AQ191" s="156"/>
      <c r="AR191" s="157" t="s">
        <v>28</v>
      </c>
      <c r="AS191" s="156"/>
      <c r="AT191" s="156"/>
      <c r="AU191" s="157" t="s">
        <v>28</v>
      </c>
      <c r="AV191" s="156"/>
      <c r="AW191" s="156"/>
      <c r="AX191" s="157" t="s">
        <v>28</v>
      </c>
      <c r="AY191" s="156"/>
      <c r="AZ191" s="156"/>
      <c r="BA191" s="156"/>
    </row>
    <row r="192" spans="1:53" ht="14.45" customHeight="1" x14ac:dyDescent="0.25">
      <c r="A192" s="158" t="s">
        <v>252</v>
      </c>
      <c r="B192" s="156"/>
      <c r="C192" s="159">
        <v>0</v>
      </c>
      <c r="D192" s="156"/>
      <c r="E192" s="156"/>
      <c r="F192" s="159">
        <v>0</v>
      </c>
      <c r="G192" s="156"/>
      <c r="H192" s="156"/>
      <c r="I192" s="159">
        <v>0</v>
      </c>
      <c r="J192" s="156"/>
      <c r="K192" s="156"/>
      <c r="L192" s="159">
        <v>0</v>
      </c>
      <c r="M192" s="156"/>
      <c r="N192" s="156"/>
      <c r="O192" s="159">
        <v>0</v>
      </c>
      <c r="P192" s="156"/>
      <c r="Q192" s="156"/>
      <c r="R192" s="156"/>
      <c r="S192" s="156"/>
      <c r="T192" s="159">
        <v>0</v>
      </c>
      <c r="U192" s="156"/>
      <c r="V192" s="156"/>
      <c r="W192" s="159">
        <v>0</v>
      </c>
      <c r="X192" s="156"/>
      <c r="Y192" s="156"/>
      <c r="Z192" s="159">
        <v>0</v>
      </c>
      <c r="AA192" s="156"/>
      <c r="AB192" s="156"/>
      <c r="AC192" s="159">
        <v>0</v>
      </c>
      <c r="AD192" s="156"/>
      <c r="AE192" s="156"/>
      <c r="AF192" s="159">
        <v>0</v>
      </c>
      <c r="AG192" s="156"/>
      <c r="AH192" s="156"/>
      <c r="AI192" s="159">
        <v>0</v>
      </c>
      <c r="AJ192" s="156"/>
      <c r="AK192" s="156"/>
      <c r="AL192" s="157" t="s">
        <v>28</v>
      </c>
      <c r="AM192" s="156"/>
      <c r="AN192" s="156"/>
      <c r="AO192" s="157" t="s">
        <v>28</v>
      </c>
      <c r="AP192" s="156"/>
      <c r="AQ192" s="156"/>
      <c r="AR192" s="157" t="s">
        <v>28</v>
      </c>
      <c r="AS192" s="156"/>
      <c r="AT192" s="156"/>
      <c r="AU192" s="157" t="s">
        <v>28</v>
      </c>
      <c r="AV192" s="156"/>
      <c r="AW192" s="156"/>
      <c r="AX192" s="157" t="s">
        <v>28</v>
      </c>
      <c r="AY192" s="156"/>
      <c r="AZ192" s="156"/>
      <c r="BA192" s="156"/>
    </row>
    <row r="193" spans="1:53" ht="14.45" customHeight="1" x14ac:dyDescent="0.25">
      <c r="A193" s="158" t="s">
        <v>253</v>
      </c>
      <c r="B193" s="156"/>
      <c r="C193" s="159">
        <v>7660.71</v>
      </c>
      <c r="D193" s="156"/>
      <c r="E193" s="156"/>
      <c r="F193" s="159">
        <v>29039.56</v>
      </c>
      <c r="G193" s="156"/>
      <c r="H193" s="156"/>
      <c r="I193" s="159">
        <v>7112.37</v>
      </c>
      <c r="J193" s="156"/>
      <c r="K193" s="156"/>
      <c r="L193" s="159">
        <v>13107.72</v>
      </c>
      <c r="M193" s="156"/>
      <c r="N193" s="156"/>
      <c r="O193" s="159">
        <v>48795.08</v>
      </c>
      <c r="P193" s="156"/>
      <c r="Q193" s="156"/>
      <c r="R193" s="156"/>
      <c r="S193" s="156"/>
      <c r="T193" s="159">
        <v>3722.89</v>
      </c>
      <c r="U193" s="156"/>
      <c r="V193" s="156"/>
      <c r="W193" s="159">
        <v>3811.83</v>
      </c>
      <c r="X193" s="156"/>
      <c r="Y193" s="156"/>
      <c r="Z193" s="159">
        <v>12716.21</v>
      </c>
      <c r="AA193" s="156"/>
      <c r="AB193" s="156"/>
      <c r="AC193" s="159">
        <v>87612.05</v>
      </c>
      <c r="AD193" s="156"/>
      <c r="AE193" s="156"/>
      <c r="AF193" s="159">
        <v>0</v>
      </c>
      <c r="AG193" s="156"/>
      <c r="AH193" s="156"/>
      <c r="AI193" s="159">
        <v>0</v>
      </c>
      <c r="AJ193" s="156"/>
      <c r="AK193" s="156"/>
      <c r="AL193" s="157" t="s">
        <v>28</v>
      </c>
      <c r="AM193" s="156"/>
      <c r="AN193" s="156"/>
      <c r="AO193" s="157" t="s">
        <v>28</v>
      </c>
      <c r="AP193" s="156"/>
      <c r="AQ193" s="156"/>
      <c r="AR193" s="157" t="s">
        <v>28</v>
      </c>
      <c r="AS193" s="156"/>
      <c r="AT193" s="156"/>
      <c r="AU193" s="157" t="s">
        <v>28</v>
      </c>
      <c r="AV193" s="156"/>
      <c r="AW193" s="156"/>
      <c r="AX193" s="157" t="s">
        <v>28</v>
      </c>
      <c r="AY193" s="156"/>
      <c r="AZ193" s="156"/>
      <c r="BA193" s="156"/>
    </row>
    <row r="194" spans="1:53" ht="14.45" customHeight="1" x14ac:dyDescent="0.25">
      <c r="A194" s="158" t="s">
        <v>254</v>
      </c>
      <c r="B194" s="156"/>
      <c r="C194" s="159">
        <v>6274.48</v>
      </c>
      <c r="D194" s="156"/>
      <c r="E194" s="156"/>
      <c r="F194" s="159">
        <v>8939.93</v>
      </c>
      <c r="G194" s="156"/>
      <c r="H194" s="156"/>
      <c r="I194" s="159">
        <v>6971.57</v>
      </c>
      <c r="J194" s="156"/>
      <c r="K194" s="156"/>
      <c r="L194" s="159">
        <v>15348.95</v>
      </c>
      <c r="M194" s="156"/>
      <c r="N194" s="156"/>
      <c r="O194" s="159">
        <v>7430.58</v>
      </c>
      <c r="P194" s="156"/>
      <c r="Q194" s="156"/>
      <c r="R194" s="156"/>
      <c r="S194" s="156"/>
      <c r="T194" s="159">
        <v>7908.15</v>
      </c>
      <c r="U194" s="156"/>
      <c r="V194" s="156"/>
      <c r="W194" s="159">
        <v>4819.32</v>
      </c>
      <c r="X194" s="156"/>
      <c r="Y194" s="156"/>
      <c r="Z194" s="159">
        <v>3369.2</v>
      </c>
      <c r="AA194" s="156"/>
      <c r="AB194" s="156"/>
      <c r="AC194" s="159">
        <v>6057.69</v>
      </c>
      <c r="AD194" s="156"/>
      <c r="AE194" s="156"/>
      <c r="AF194" s="159">
        <v>2229.04</v>
      </c>
      <c r="AG194" s="156"/>
      <c r="AH194" s="156"/>
      <c r="AI194" s="159">
        <v>1385.21</v>
      </c>
      <c r="AJ194" s="156"/>
      <c r="AK194" s="156"/>
      <c r="AL194" s="157" t="s">
        <v>28</v>
      </c>
      <c r="AM194" s="156"/>
      <c r="AN194" s="156"/>
      <c r="AO194" s="157" t="s">
        <v>28</v>
      </c>
      <c r="AP194" s="156"/>
      <c r="AQ194" s="156"/>
      <c r="AR194" s="157" t="s">
        <v>28</v>
      </c>
      <c r="AS194" s="156"/>
      <c r="AT194" s="156"/>
      <c r="AU194" s="157" t="s">
        <v>28</v>
      </c>
      <c r="AV194" s="156"/>
      <c r="AW194" s="156"/>
      <c r="AX194" s="157" t="s">
        <v>28</v>
      </c>
      <c r="AY194" s="156"/>
      <c r="AZ194" s="156"/>
      <c r="BA194" s="156"/>
    </row>
    <row r="195" spans="1:53" ht="14.45" customHeight="1" x14ac:dyDescent="0.25">
      <c r="A195" s="158" t="s">
        <v>255</v>
      </c>
      <c r="B195" s="156"/>
      <c r="C195" s="159">
        <v>680</v>
      </c>
      <c r="D195" s="156"/>
      <c r="E195" s="156"/>
      <c r="F195" s="159">
        <v>929.5</v>
      </c>
      <c r="G195" s="156"/>
      <c r="H195" s="156"/>
      <c r="I195" s="159">
        <v>754.82</v>
      </c>
      <c r="J195" s="156"/>
      <c r="K195" s="156"/>
      <c r="L195" s="159">
        <v>904.28</v>
      </c>
      <c r="M195" s="156"/>
      <c r="N195" s="156"/>
      <c r="O195" s="159">
        <v>408.48</v>
      </c>
      <c r="P195" s="156"/>
      <c r="Q195" s="156"/>
      <c r="R195" s="156"/>
      <c r="S195" s="156"/>
      <c r="T195" s="159">
        <v>986.49</v>
      </c>
      <c r="U195" s="156"/>
      <c r="V195" s="156"/>
      <c r="W195" s="159">
        <v>884.28</v>
      </c>
      <c r="X195" s="156"/>
      <c r="Y195" s="156"/>
      <c r="Z195" s="159">
        <v>884.28</v>
      </c>
      <c r="AA195" s="156"/>
      <c r="AB195" s="156"/>
      <c r="AC195" s="159">
        <v>2148.54</v>
      </c>
      <c r="AD195" s="156"/>
      <c r="AE195" s="156"/>
      <c r="AF195" s="159">
        <v>359.28</v>
      </c>
      <c r="AG195" s="156"/>
      <c r="AH195" s="156"/>
      <c r="AI195" s="159">
        <v>0</v>
      </c>
      <c r="AJ195" s="156"/>
      <c r="AK195" s="156"/>
      <c r="AL195" s="157" t="s">
        <v>28</v>
      </c>
      <c r="AM195" s="156"/>
      <c r="AN195" s="156"/>
      <c r="AO195" s="157" t="s">
        <v>28</v>
      </c>
      <c r="AP195" s="156"/>
      <c r="AQ195" s="156"/>
      <c r="AR195" s="157" t="s">
        <v>28</v>
      </c>
      <c r="AS195" s="156"/>
      <c r="AT195" s="156"/>
      <c r="AU195" s="157" t="s">
        <v>28</v>
      </c>
      <c r="AV195" s="156"/>
      <c r="AW195" s="156"/>
      <c r="AX195" s="157" t="s">
        <v>28</v>
      </c>
      <c r="AY195" s="156"/>
      <c r="AZ195" s="156"/>
      <c r="BA195" s="156"/>
    </row>
    <row r="196" spans="1:53" ht="14.45" customHeight="1" x14ac:dyDescent="0.25">
      <c r="A196" s="158" t="s">
        <v>256</v>
      </c>
      <c r="B196" s="156"/>
      <c r="C196" s="159">
        <v>0</v>
      </c>
      <c r="D196" s="156"/>
      <c r="E196" s="156"/>
      <c r="F196" s="159">
        <v>0</v>
      </c>
      <c r="G196" s="156"/>
      <c r="H196" s="156"/>
      <c r="I196" s="159">
        <v>0</v>
      </c>
      <c r="J196" s="156"/>
      <c r="K196" s="156"/>
      <c r="L196" s="159">
        <v>0</v>
      </c>
      <c r="M196" s="156"/>
      <c r="N196" s="156"/>
      <c r="O196" s="159">
        <v>0</v>
      </c>
      <c r="P196" s="156"/>
      <c r="Q196" s="156"/>
      <c r="R196" s="156"/>
      <c r="S196" s="156"/>
      <c r="T196" s="159">
        <v>0</v>
      </c>
      <c r="U196" s="156"/>
      <c r="V196" s="156"/>
      <c r="W196" s="159">
        <v>0</v>
      </c>
      <c r="X196" s="156"/>
      <c r="Y196" s="156"/>
      <c r="Z196" s="159">
        <v>0</v>
      </c>
      <c r="AA196" s="156"/>
      <c r="AB196" s="156"/>
      <c r="AC196" s="159">
        <v>0</v>
      </c>
      <c r="AD196" s="156"/>
      <c r="AE196" s="156"/>
      <c r="AF196" s="159">
        <v>0</v>
      </c>
      <c r="AG196" s="156"/>
      <c r="AH196" s="156"/>
      <c r="AI196" s="159">
        <v>0</v>
      </c>
      <c r="AJ196" s="156"/>
      <c r="AK196" s="156"/>
      <c r="AL196" s="157" t="s">
        <v>28</v>
      </c>
      <c r="AM196" s="156"/>
      <c r="AN196" s="156"/>
      <c r="AO196" s="157" t="s">
        <v>28</v>
      </c>
      <c r="AP196" s="156"/>
      <c r="AQ196" s="156"/>
      <c r="AR196" s="157" t="s">
        <v>28</v>
      </c>
      <c r="AS196" s="156"/>
      <c r="AT196" s="156"/>
      <c r="AU196" s="157" t="s">
        <v>28</v>
      </c>
      <c r="AV196" s="156"/>
      <c r="AW196" s="156"/>
      <c r="AX196" s="157" t="s">
        <v>28</v>
      </c>
      <c r="AY196" s="156"/>
      <c r="AZ196" s="156"/>
      <c r="BA196" s="156"/>
    </row>
    <row r="197" spans="1:53" ht="14.45" customHeight="1" x14ac:dyDescent="0.25">
      <c r="A197" s="158" t="s">
        <v>257</v>
      </c>
      <c r="B197" s="156"/>
      <c r="C197" s="159">
        <v>0</v>
      </c>
      <c r="D197" s="156"/>
      <c r="E197" s="156"/>
      <c r="F197" s="159">
        <v>0</v>
      </c>
      <c r="G197" s="156"/>
      <c r="H197" s="156"/>
      <c r="I197" s="159">
        <v>0</v>
      </c>
      <c r="J197" s="156"/>
      <c r="K197" s="156"/>
      <c r="L197" s="159">
        <v>0</v>
      </c>
      <c r="M197" s="156"/>
      <c r="N197" s="156"/>
      <c r="O197" s="159">
        <v>0</v>
      </c>
      <c r="P197" s="156"/>
      <c r="Q197" s="156"/>
      <c r="R197" s="156"/>
      <c r="S197" s="156"/>
      <c r="T197" s="159">
        <v>0</v>
      </c>
      <c r="U197" s="156"/>
      <c r="V197" s="156"/>
      <c r="W197" s="159">
        <v>0</v>
      </c>
      <c r="X197" s="156"/>
      <c r="Y197" s="156"/>
      <c r="Z197" s="159">
        <v>0</v>
      </c>
      <c r="AA197" s="156"/>
      <c r="AB197" s="156"/>
      <c r="AC197" s="159">
        <v>0</v>
      </c>
      <c r="AD197" s="156"/>
      <c r="AE197" s="156"/>
      <c r="AF197" s="159">
        <v>0</v>
      </c>
      <c r="AG197" s="156"/>
      <c r="AH197" s="156"/>
      <c r="AI197" s="159">
        <v>0</v>
      </c>
      <c r="AJ197" s="156"/>
      <c r="AK197" s="156"/>
      <c r="AL197" s="157" t="s">
        <v>28</v>
      </c>
      <c r="AM197" s="156"/>
      <c r="AN197" s="156"/>
      <c r="AO197" s="157" t="s">
        <v>28</v>
      </c>
      <c r="AP197" s="156"/>
      <c r="AQ197" s="156"/>
      <c r="AR197" s="157" t="s">
        <v>28</v>
      </c>
      <c r="AS197" s="156"/>
      <c r="AT197" s="156"/>
      <c r="AU197" s="157" t="s">
        <v>28</v>
      </c>
      <c r="AV197" s="156"/>
      <c r="AW197" s="156"/>
      <c r="AX197" s="157" t="s">
        <v>28</v>
      </c>
      <c r="AY197" s="156"/>
      <c r="AZ197" s="156"/>
      <c r="BA197" s="156"/>
    </row>
    <row r="198" spans="1:53" ht="27.6" customHeight="1" x14ac:dyDescent="0.25">
      <c r="A198" s="158" t="s">
        <v>258</v>
      </c>
      <c r="B198" s="156"/>
      <c r="C198" s="159">
        <v>0</v>
      </c>
      <c r="D198" s="156"/>
      <c r="E198" s="156"/>
      <c r="F198" s="159">
        <v>0</v>
      </c>
      <c r="G198" s="156"/>
      <c r="H198" s="156"/>
      <c r="I198" s="159">
        <v>0</v>
      </c>
      <c r="J198" s="156"/>
      <c r="K198" s="156"/>
      <c r="L198" s="159">
        <v>0</v>
      </c>
      <c r="M198" s="156"/>
      <c r="N198" s="156"/>
      <c r="O198" s="159">
        <v>0</v>
      </c>
      <c r="P198" s="156"/>
      <c r="Q198" s="156"/>
      <c r="R198" s="156"/>
      <c r="S198" s="156"/>
      <c r="T198" s="159">
        <v>0</v>
      </c>
      <c r="U198" s="156"/>
      <c r="V198" s="156"/>
      <c r="W198" s="159">
        <v>0</v>
      </c>
      <c r="X198" s="156"/>
      <c r="Y198" s="156"/>
      <c r="Z198" s="159">
        <v>0</v>
      </c>
      <c r="AA198" s="156"/>
      <c r="AB198" s="156"/>
      <c r="AC198" s="159">
        <v>0</v>
      </c>
      <c r="AD198" s="156"/>
      <c r="AE198" s="156"/>
      <c r="AF198" s="159">
        <v>0</v>
      </c>
      <c r="AG198" s="156"/>
      <c r="AH198" s="156"/>
      <c r="AI198" s="159">
        <v>0</v>
      </c>
      <c r="AJ198" s="156"/>
      <c r="AK198" s="156"/>
      <c r="AL198" s="157" t="s">
        <v>28</v>
      </c>
      <c r="AM198" s="156"/>
      <c r="AN198" s="156"/>
      <c r="AO198" s="157" t="s">
        <v>28</v>
      </c>
      <c r="AP198" s="156"/>
      <c r="AQ198" s="156"/>
      <c r="AR198" s="157" t="s">
        <v>28</v>
      </c>
      <c r="AS198" s="156"/>
      <c r="AT198" s="156"/>
      <c r="AU198" s="157" t="s">
        <v>28</v>
      </c>
      <c r="AV198" s="156"/>
      <c r="AW198" s="156"/>
      <c r="AX198" s="157" t="s">
        <v>28</v>
      </c>
      <c r="AY198" s="156"/>
      <c r="AZ198" s="156"/>
      <c r="BA198" s="156"/>
    </row>
    <row r="199" spans="1:53" ht="27.6" customHeight="1" x14ac:dyDescent="0.25">
      <c r="A199" s="158" t="s">
        <v>259</v>
      </c>
      <c r="B199" s="156"/>
      <c r="C199" s="159">
        <v>0</v>
      </c>
      <c r="D199" s="156"/>
      <c r="E199" s="156"/>
      <c r="F199" s="159">
        <v>0</v>
      </c>
      <c r="G199" s="156"/>
      <c r="H199" s="156"/>
      <c r="I199" s="159">
        <v>0</v>
      </c>
      <c r="J199" s="156"/>
      <c r="K199" s="156"/>
      <c r="L199" s="159">
        <v>430.45</v>
      </c>
      <c r="M199" s="156"/>
      <c r="N199" s="156"/>
      <c r="O199" s="159">
        <v>0</v>
      </c>
      <c r="P199" s="156"/>
      <c r="Q199" s="156"/>
      <c r="R199" s="156"/>
      <c r="S199" s="156"/>
      <c r="T199" s="159">
        <v>0</v>
      </c>
      <c r="U199" s="156"/>
      <c r="V199" s="156"/>
      <c r="W199" s="159">
        <v>0</v>
      </c>
      <c r="X199" s="156"/>
      <c r="Y199" s="156"/>
      <c r="Z199" s="159">
        <v>0</v>
      </c>
      <c r="AA199" s="156"/>
      <c r="AB199" s="156"/>
      <c r="AC199" s="159">
        <v>0</v>
      </c>
      <c r="AD199" s="156"/>
      <c r="AE199" s="156"/>
      <c r="AF199" s="159">
        <v>0</v>
      </c>
      <c r="AG199" s="156"/>
      <c r="AH199" s="156"/>
      <c r="AI199" s="159">
        <v>0</v>
      </c>
      <c r="AJ199" s="156"/>
      <c r="AK199" s="156"/>
      <c r="AL199" s="157" t="s">
        <v>28</v>
      </c>
      <c r="AM199" s="156"/>
      <c r="AN199" s="156"/>
      <c r="AO199" s="157" t="s">
        <v>28</v>
      </c>
      <c r="AP199" s="156"/>
      <c r="AQ199" s="156"/>
      <c r="AR199" s="157" t="s">
        <v>28</v>
      </c>
      <c r="AS199" s="156"/>
      <c r="AT199" s="156"/>
      <c r="AU199" s="157" t="s">
        <v>28</v>
      </c>
      <c r="AV199" s="156"/>
      <c r="AW199" s="156"/>
      <c r="AX199" s="157" t="s">
        <v>28</v>
      </c>
      <c r="AY199" s="156"/>
      <c r="AZ199" s="156"/>
      <c r="BA199" s="156"/>
    </row>
    <row r="200" spans="1:53" ht="14.45" customHeight="1" x14ac:dyDescent="0.25">
      <c r="A200" s="158" t="s">
        <v>260</v>
      </c>
      <c r="B200" s="156"/>
      <c r="C200" s="159">
        <v>1327.27</v>
      </c>
      <c r="D200" s="156"/>
      <c r="E200" s="156"/>
      <c r="F200" s="159">
        <v>6146.03</v>
      </c>
      <c r="G200" s="156"/>
      <c r="H200" s="156"/>
      <c r="I200" s="159">
        <v>2893.27</v>
      </c>
      <c r="J200" s="156"/>
      <c r="K200" s="156"/>
      <c r="L200" s="159">
        <v>710.97</v>
      </c>
      <c r="M200" s="156"/>
      <c r="N200" s="156"/>
      <c r="O200" s="159">
        <v>68.98</v>
      </c>
      <c r="P200" s="156"/>
      <c r="Q200" s="156"/>
      <c r="R200" s="156"/>
      <c r="S200" s="156"/>
      <c r="T200" s="159">
        <v>8438.7900000000009</v>
      </c>
      <c r="U200" s="156"/>
      <c r="V200" s="156"/>
      <c r="W200" s="159">
        <v>283.07</v>
      </c>
      <c r="X200" s="156"/>
      <c r="Y200" s="156"/>
      <c r="Z200" s="159">
        <v>12895.34</v>
      </c>
      <c r="AA200" s="156"/>
      <c r="AB200" s="156"/>
      <c r="AC200" s="159">
        <v>725.69</v>
      </c>
      <c r="AD200" s="156"/>
      <c r="AE200" s="156"/>
      <c r="AF200" s="159">
        <v>1014.94</v>
      </c>
      <c r="AG200" s="156"/>
      <c r="AH200" s="156"/>
      <c r="AI200" s="159">
        <v>0</v>
      </c>
      <c r="AJ200" s="156"/>
      <c r="AK200" s="156"/>
      <c r="AL200" s="157" t="s">
        <v>28</v>
      </c>
      <c r="AM200" s="156"/>
      <c r="AN200" s="156"/>
      <c r="AO200" s="157" t="s">
        <v>28</v>
      </c>
      <c r="AP200" s="156"/>
      <c r="AQ200" s="156"/>
      <c r="AR200" s="157" t="s">
        <v>28</v>
      </c>
      <c r="AS200" s="156"/>
      <c r="AT200" s="156"/>
      <c r="AU200" s="157" t="s">
        <v>28</v>
      </c>
      <c r="AV200" s="156"/>
      <c r="AW200" s="156"/>
      <c r="AX200" s="157" t="s">
        <v>28</v>
      </c>
      <c r="AY200" s="156"/>
      <c r="AZ200" s="156"/>
      <c r="BA200" s="156"/>
    </row>
    <row r="201" spans="1:53" ht="42" customHeight="1" x14ac:dyDescent="0.25">
      <c r="A201" s="158" t="s">
        <v>261</v>
      </c>
      <c r="B201" s="156"/>
      <c r="C201" s="157" t="s">
        <v>28</v>
      </c>
      <c r="D201" s="156"/>
      <c r="E201" s="156"/>
      <c r="F201" s="157" t="s">
        <v>28</v>
      </c>
      <c r="G201" s="156"/>
      <c r="H201" s="156"/>
      <c r="I201" s="157" t="s">
        <v>28</v>
      </c>
      <c r="J201" s="156"/>
      <c r="K201" s="156"/>
      <c r="L201" s="157" t="s">
        <v>28</v>
      </c>
      <c r="M201" s="156"/>
      <c r="N201" s="156"/>
      <c r="O201" s="157" t="s">
        <v>28</v>
      </c>
      <c r="P201" s="156"/>
      <c r="Q201" s="156"/>
      <c r="R201" s="156"/>
      <c r="S201" s="156"/>
      <c r="T201" s="157" t="s">
        <v>28</v>
      </c>
      <c r="U201" s="156"/>
      <c r="V201" s="156"/>
      <c r="W201" s="157" t="s">
        <v>28</v>
      </c>
      <c r="X201" s="156"/>
      <c r="Y201" s="156"/>
      <c r="Z201" s="157" t="s">
        <v>28</v>
      </c>
      <c r="AA201" s="156"/>
      <c r="AB201" s="156"/>
      <c r="AC201" s="157" t="s">
        <v>28</v>
      </c>
      <c r="AD201" s="156"/>
      <c r="AE201" s="156"/>
      <c r="AF201" s="157" t="s">
        <v>28</v>
      </c>
      <c r="AG201" s="156"/>
      <c r="AH201" s="156"/>
      <c r="AI201" s="157" t="s">
        <v>28</v>
      </c>
      <c r="AJ201" s="156"/>
      <c r="AK201" s="156"/>
      <c r="AL201" s="157" t="s">
        <v>28</v>
      </c>
      <c r="AM201" s="156"/>
      <c r="AN201" s="156"/>
      <c r="AO201" s="157" t="s">
        <v>28</v>
      </c>
      <c r="AP201" s="156"/>
      <c r="AQ201" s="156"/>
      <c r="AR201" s="157" t="s">
        <v>28</v>
      </c>
      <c r="AS201" s="156"/>
      <c r="AT201" s="156"/>
      <c r="AU201" s="157" t="s">
        <v>28</v>
      </c>
      <c r="AV201" s="156"/>
      <c r="AW201" s="156"/>
      <c r="AX201" s="157" t="s">
        <v>28</v>
      </c>
      <c r="AY201" s="156"/>
      <c r="AZ201" s="156"/>
      <c r="BA201" s="156"/>
    </row>
    <row r="202" spans="1:53" ht="14.45" customHeight="1" x14ac:dyDescent="0.25">
      <c r="A202" s="156"/>
      <c r="B202" s="156"/>
      <c r="C202" s="156"/>
      <c r="D202" s="156"/>
      <c r="E202" s="156"/>
      <c r="F202" s="156"/>
      <c r="G202" s="156"/>
      <c r="H202" s="156"/>
      <c r="I202" s="156"/>
      <c r="J202" s="156"/>
      <c r="K202" s="156"/>
      <c r="L202" s="156"/>
      <c r="M202" s="156"/>
      <c r="N202" s="156"/>
      <c r="O202" s="156"/>
      <c r="P202" s="156"/>
      <c r="Q202" s="156"/>
      <c r="R202" s="156"/>
      <c r="S202" s="156"/>
      <c r="T202" s="156"/>
      <c r="U202" s="156"/>
      <c r="V202" s="156"/>
      <c r="W202" s="156"/>
      <c r="X202" s="156"/>
      <c r="Y202" s="156"/>
      <c r="Z202" s="156"/>
      <c r="AA202" s="156"/>
      <c r="AB202" s="156"/>
      <c r="AC202" s="156"/>
      <c r="AD202" s="156"/>
      <c r="AE202" s="156"/>
      <c r="AF202" s="156"/>
      <c r="AG202" s="156"/>
      <c r="AH202" s="156"/>
      <c r="AI202" s="156"/>
      <c r="AJ202" s="156"/>
      <c r="AK202" s="156"/>
      <c r="AL202" s="156"/>
      <c r="AM202" s="156"/>
      <c r="AN202" s="156"/>
      <c r="AO202" s="156"/>
      <c r="AP202" s="156"/>
      <c r="AQ202" s="156"/>
      <c r="AR202" s="156"/>
      <c r="AS202" s="156"/>
      <c r="AT202" s="156"/>
      <c r="AU202" s="156"/>
      <c r="AV202" s="156"/>
      <c r="AW202" s="156"/>
      <c r="AX202" s="156"/>
      <c r="AY202" s="156"/>
      <c r="AZ202" s="156"/>
      <c r="BA202" s="156"/>
    </row>
    <row r="203" spans="1:53" ht="27.6" customHeight="1" x14ac:dyDescent="0.25">
      <c r="A203" s="163" t="s">
        <v>262</v>
      </c>
      <c r="B203" s="156"/>
      <c r="C203" s="156"/>
      <c r="D203" s="156"/>
      <c r="E203" s="156"/>
      <c r="F203" s="156"/>
      <c r="G203" s="156"/>
      <c r="H203" s="156"/>
      <c r="I203" s="156"/>
      <c r="J203" s="156"/>
      <c r="K203" s="156"/>
      <c r="L203" s="156"/>
      <c r="M203" s="156"/>
      <c r="N203" s="156"/>
      <c r="O203" s="156"/>
      <c r="P203" s="156"/>
      <c r="Q203" s="156"/>
      <c r="R203" s="156"/>
      <c r="S203" s="156"/>
      <c r="T203" s="156"/>
      <c r="U203" s="156"/>
      <c r="V203" s="156"/>
      <c r="W203" s="156"/>
      <c r="X203" s="156"/>
      <c r="Y203" s="156"/>
      <c r="Z203" s="156"/>
      <c r="AA203" s="156"/>
      <c r="AB203" s="156"/>
      <c r="AC203" s="156"/>
      <c r="AD203" s="156"/>
      <c r="AE203" s="156"/>
      <c r="AF203" s="156"/>
      <c r="AG203" s="156"/>
      <c r="AH203" s="156"/>
      <c r="AI203" s="156"/>
      <c r="AJ203" s="156"/>
      <c r="AK203" s="156"/>
      <c r="AL203" s="156"/>
      <c r="AM203" s="156"/>
      <c r="AN203" s="156"/>
      <c r="AO203" s="156"/>
      <c r="AP203" s="156"/>
      <c r="AQ203" s="156"/>
      <c r="AR203" s="156"/>
      <c r="AS203" s="156"/>
      <c r="AT203" s="156"/>
      <c r="AU203" s="156"/>
      <c r="AV203" s="156"/>
      <c r="AW203" s="156"/>
      <c r="AX203" s="156"/>
      <c r="AY203" s="156"/>
      <c r="AZ203" s="156"/>
      <c r="BA203" s="156"/>
    </row>
    <row r="204" spans="1:53" ht="14.45" customHeight="1" x14ac:dyDescent="0.25">
      <c r="A204" s="158" t="s">
        <v>263</v>
      </c>
      <c r="B204" s="156"/>
      <c r="C204" s="159">
        <v>1344.67</v>
      </c>
      <c r="D204" s="156"/>
      <c r="E204" s="156"/>
      <c r="F204" s="159">
        <v>1344.67</v>
      </c>
      <c r="G204" s="156"/>
      <c r="H204" s="156"/>
      <c r="I204" s="159">
        <v>112.06</v>
      </c>
      <c r="J204" s="156"/>
      <c r="K204" s="156"/>
      <c r="L204" s="159">
        <v>0</v>
      </c>
      <c r="M204" s="156"/>
      <c r="N204" s="156"/>
      <c r="O204" s="159">
        <v>0</v>
      </c>
      <c r="P204" s="156"/>
      <c r="Q204" s="156"/>
      <c r="R204" s="156"/>
      <c r="S204" s="156"/>
      <c r="T204" s="159">
        <v>0</v>
      </c>
      <c r="U204" s="156"/>
      <c r="V204" s="156"/>
      <c r="W204" s="159">
        <v>0</v>
      </c>
      <c r="X204" s="156"/>
      <c r="Y204" s="156"/>
      <c r="Z204" s="159">
        <v>0</v>
      </c>
      <c r="AA204" s="156"/>
      <c r="AB204" s="156"/>
      <c r="AC204" s="159">
        <v>0</v>
      </c>
      <c r="AD204" s="156"/>
      <c r="AE204" s="156"/>
      <c r="AF204" s="159">
        <v>0</v>
      </c>
      <c r="AG204" s="156"/>
      <c r="AH204" s="156"/>
      <c r="AI204" s="159">
        <v>0</v>
      </c>
      <c r="AJ204" s="156"/>
      <c r="AK204" s="156"/>
      <c r="AL204" s="157" t="s">
        <v>28</v>
      </c>
      <c r="AM204" s="156"/>
      <c r="AN204" s="156"/>
      <c r="AO204" s="157" t="s">
        <v>28</v>
      </c>
      <c r="AP204" s="156"/>
      <c r="AQ204" s="156"/>
      <c r="AR204" s="157" t="s">
        <v>28</v>
      </c>
      <c r="AS204" s="156"/>
      <c r="AT204" s="156"/>
      <c r="AU204" s="157" t="s">
        <v>28</v>
      </c>
      <c r="AV204" s="156"/>
      <c r="AW204" s="156"/>
      <c r="AX204" s="157" t="s">
        <v>28</v>
      </c>
      <c r="AY204" s="156"/>
      <c r="AZ204" s="156"/>
      <c r="BA204" s="156"/>
    </row>
    <row r="205" spans="1:53" ht="14.45" customHeight="1" x14ac:dyDescent="0.25">
      <c r="A205" s="158" t="s">
        <v>264</v>
      </c>
      <c r="B205" s="156"/>
      <c r="C205" s="159">
        <v>0</v>
      </c>
      <c r="D205" s="156"/>
      <c r="E205" s="156"/>
      <c r="F205" s="159">
        <v>0</v>
      </c>
      <c r="G205" s="156"/>
      <c r="H205" s="156"/>
      <c r="I205" s="159">
        <v>0</v>
      </c>
      <c r="J205" s="156"/>
      <c r="K205" s="156"/>
      <c r="L205" s="159">
        <v>0</v>
      </c>
      <c r="M205" s="156"/>
      <c r="N205" s="156"/>
      <c r="O205" s="159">
        <v>0</v>
      </c>
      <c r="P205" s="156"/>
      <c r="Q205" s="156"/>
      <c r="R205" s="156"/>
      <c r="S205" s="156"/>
      <c r="T205" s="159">
        <v>0</v>
      </c>
      <c r="U205" s="156"/>
      <c r="V205" s="156"/>
      <c r="W205" s="159">
        <v>0</v>
      </c>
      <c r="X205" s="156"/>
      <c r="Y205" s="156"/>
      <c r="Z205" s="159">
        <v>0</v>
      </c>
      <c r="AA205" s="156"/>
      <c r="AB205" s="156"/>
      <c r="AC205" s="159">
        <v>0</v>
      </c>
      <c r="AD205" s="156"/>
      <c r="AE205" s="156"/>
      <c r="AF205" s="159">
        <v>0</v>
      </c>
      <c r="AG205" s="156"/>
      <c r="AH205" s="156"/>
      <c r="AI205" s="159">
        <v>0</v>
      </c>
      <c r="AJ205" s="156"/>
      <c r="AK205" s="156"/>
      <c r="AL205" s="157" t="s">
        <v>28</v>
      </c>
      <c r="AM205" s="156"/>
      <c r="AN205" s="156"/>
      <c r="AO205" s="157" t="s">
        <v>28</v>
      </c>
      <c r="AP205" s="156"/>
      <c r="AQ205" s="156"/>
      <c r="AR205" s="157" t="s">
        <v>28</v>
      </c>
      <c r="AS205" s="156"/>
      <c r="AT205" s="156"/>
      <c r="AU205" s="157" t="s">
        <v>28</v>
      </c>
      <c r="AV205" s="156"/>
      <c r="AW205" s="156"/>
      <c r="AX205" s="157" t="s">
        <v>28</v>
      </c>
      <c r="AY205" s="156"/>
      <c r="AZ205" s="156"/>
      <c r="BA205" s="156"/>
    </row>
    <row r="206" spans="1:53" ht="14.45" customHeight="1" x14ac:dyDescent="0.25">
      <c r="A206" s="158" t="s">
        <v>265</v>
      </c>
      <c r="B206" s="156"/>
      <c r="C206" s="159">
        <v>104222.36</v>
      </c>
      <c r="D206" s="156"/>
      <c r="E206" s="156"/>
      <c r="F206" s="159">
        <v>88925.52</v>
      </c>
      <c r="G206" s="156"/>
      <c r="H206" s="156"/>
      <c r="I206" s="159">
        <v>89766.57</v>
      </c>
      <c r="J206" s="156"/>
      <c r="K206" s="156"/>
      <c r="L206" s="159">
        <v>81064.53</v>
      </c>
      <c r="M206" s="156"/>
      <c r="N206" s="156"/>
      <c r="O206" s="159">
        <v>59138.2</v>
      </c>
      <c r="P206" s="156"/>
      <c r="Q206" s="156"/>
      <c r="R206" s="156"/>
      <c r="S206" s="156"/>
      <c r="T206" s="159">
        <v>46501.760000000002</v>
      </c>
      <c r="U206" s="156"/>
      <c r="V206" s="156"/>
      <c r="W206" s="159">
        <v>40655.199999999997</v>
      </c>
      <c r="X206" s="156"/>
      <c r="Y206" s="156"/>
      <c r="Z206" s="159">
        <v>43555.51</v>
      </c>
      <c r="AA206" s="156"/>
      <c r="AB206" s="156"/>
      <c r="AC206" s="159">
        <v>45748.32</v>
      </c>
      <c r="AD206" s="156"/>
      <c r="AE206" s="156"/>
      <c r="AF206" s="159">
        <v>46376.22</v>
      </c>
      <c r="AG206" s="156"/>
      <c r="AH206" s="156"/>
      <c r="AI206" s="159">
        <v>56321.49</v>
      </c>
      <c r="AJ206" s="156"/>
      <c r="AK206" s="156"/>
      <c r="AL206" s="157" t="s">
        <v>28</v>
      </c>
      <c r="AM206" s="156"/>
      <c r="AN206" s="156"/>
      <c r="AO206" s="157" t="s">
        <v>28</v>
      </c>
      <c r="AP206" s="156"/>
      <c r="AQ206" s="156"/>
      <c r="AR206" s="157" t="s">
        <v>28</v>
      </c>
      <c r="AS206" s="156"/>
      <c r="AT206" s="156"/>
      <c r="AU206" s="157" t="s">
        <v>28</v>
      </c>
      <c r="AV206" s="156"/>
      <c r="AW206" s="156"/>
      <c r="AX206" s="157" t="s">
        <v>28</v>
      </c>
      <c r="AY206" s="156"/>
      <c r="AZ206" s="156"/>
      <c r="BA206" s="156"/>
    </row>
    <row r="207" spans="1:53" ht="27.6" customHeight="1" x14ac:dyDescent="0.25">
      <c r="A207" s="158" t="s">
        <v>266</v>
      </c>
      <c r="B207" s="156"/>
      <c r="C207" s="159">
        <v>0</v>
      </c>
      <c r="D207" s="156"/>
      <c r="E207" s="156"/>
      <c r="F207" s="159">
        <v>0</v>
      </c>
      <c r="G207" s="156"/>
      <c r="H207" s="156"/>
      <c r="I207" s="159">
        <v>0</v>
      </c>
      <c r="J207" s="156"/>
      <c r="K207" s="156"/>
      <c r="L207" s="159">
        <v>0</v>
      </c>
      <c r="M207" s="156"/>
      <c r="N207" s="156"/>
      <c r="O207" s="159">
        <v>0</v>
      </c>
      <c r="P207" s="156"/>
      <c r="Q207" s="156"/>
      <c r="R207" s="156"/>
      <c r="S207" s="156"/>
      <c r="T207" s="159">
        <v>0</v>
      </c>
      <c r="U207" s="156"/>
      <c r="V207" s="156"/>
      <c r="W207" s="159">
        <v>0</v>
      </c>
      <c r="X207" s="156"/>
      <c r="Y207" s="156"/>
      <c r="Z207" s="159">
        <v>0</v>
      </c>
      <c r="AA207" s="156"/>
      <c r="AB207" s="156"/>
      <c r="AC207" s="159">
        <v>0</v>
      </c>
      <c r="AD207" s="156"/>
      <c r="AE207" s="156"/>
      <c r="AF207" s="159">
        <v>0</v>
      </c>
      <c r="AG207" s="156"/>
      <c r="AH207" s="156"/>
      <c r="AI207" s="159">
        <v>0</v>
      </c>
      <c r="AJ207" s="156"/>
      <c r="AK207" s="156"/>
      <c r="AL207" s="157" t="s">
        <v>28</v>
      </c>
      <c r="AM207" s="156"/>
      <c r="AN207" s="156"/>
      <c r="AO207" s="157" t="s">
        <v>28</v>
      </c>
      <c r="AP207" s="156"/>
      <c r="AQ207" s="156"/>
      <c r="AR207" s="157" t="s">
        <v>28</v>
      </c>
      <c r="AS207" s="156"/>
      <c r="AT207" s="156"/>
      <c r="AU207" s="157" t="s">
        <v>28</v>
      </c>
      <c r="AV207" s="156"/>
      <c r="AW207" s="156"/>
      <c r="AX207" s="157" t="s">
        <v>28</v>
      </c>
      <c r="AY207" s="156"/>
      <c r="AZ207" s="156"/>
      <c r="BA207" s="156"/>
    </row>
    <row r="208" spans="1:53" ht="14.45" customHeight="1" x14ac:dyDescent="0.25">
      <c r="A208" s="158" t="s">
        <v>267</v>
      </c>
      <c r="B208" s="156"/>
      <c r="C208" s="159">
        <v>0</v>
      </c>
      <c r="D208" s="156"/>
      <c r="E208" s="156"/>
      <c r="F208" s="159">
        <v>0</v>
      </c>
      <c r="G208" s="156"/>
      <c r="H208" s="156"/>
      <c r="I208" s="159">
        <v>0</v>
      </c>
      <c r="J208" s="156"/>
      <c r="K208" s="156"/>
      <c r="L208" s="159">
        <v>0</v>
      </c>
      <c r="M208" s="156"/>
      <c r="N208" s="156"/>
      <c r="O208" s="159">
        <v>0</v>
      </c>
      <c r="P208" s="156"/>
      <c r="Q208" s="156"/>
      <c r="R208" s="156"/>
      <c r="S208" s="156"/>
      <c r="T208" s="159">
        <v>0</v>
      </c>
      <c r="U208" s="156"/>
      <c r="V208" s="156"/>
      <c r="W208" s="159">
        <v>0</v>
      </c>
      <c r="X208" s="156"/>
      <c r="Y208" s="156"/>
      <c r="Z208" s="159">
        <v>0</v>
      </c>
      <c r="AA208" s="156"/>
      <c r="AB208" s="156"/>
      <c r="AC208" s="159">
        <v>0</v>
      </c>
      <c r="AD208" s="156"/>
      <c r="AE208" s="156"/>
      <c r="AF208" s="159">
        <v>0</v>
      </c>
      <c r="AG208" s="156"/>
      <c r="AH208" s="156"/>
      <c r="AI208" s="159">
        <v>0</v>
      </c>
      <c r="AJ208" s="156"/>
      <c r="AK208" s="156"/>
      <c r="AL208" s="157" t="s">
        <v>28</v>
      </c>
      <c r="AM208" s="156"/>
      <c r="AN208" s="156"/>
      <c r="AO208" s="157" t="s">
        <v>28</v>
      </c>
      <c r="AP208" s="156"/>
      <c r="AQ208" s="156"/>
      <c r="AR208" s="157" t="s">
        <v>28</v>
      </c>
      <c r="AS208" s="156"/>
      <c r="AT208" s="156"/>
      <c r="AU208" s="157" t="s">
        <v>28</v>
      </c>
      <c r="AV208" s="156"/>
      <c r="AW208" s="156"/>
      <c r="AX208" s="157" t="s">
        <v>28</v>
      </c>
      <c r="AY208" s="156"/>
      <c r="AZ208" s="156"/>
      <c r="BA208" s="156"/>
    </row>
    <row r="209" spans="1:53" ht="27.6" customHeight="1" x14ac:dyDescent="0.25">
      <c r="A209" s="158" t="s">
        <v>268</v>
      </c>
      <c r="B209" s="156"/>
      <c r="C209" s="157" t="s">
        <v>28</v>
      </c>
      <c r="D209" s="156"/>
      <c r="E209" s="156"/>
      <c r="F209" s="157" t="s">
        <v>28</v>
      </c>
      <c r="G209" s="156"/>
      <c r="H209" s="156"/>
      <c r="I209" s="157" t="s">
        <v>28</v>
      </c>
      <c r="J209" s="156"/>
      <c r="K209" s="156"/>
      <c r="L209" s="157" t="s">
        <v>28</v>
      </c>
      <c r="M209" s="156"/>
      <c r="N209" s="156"/>
      <c r="O209" s="157" t="s">
        <v>28</v>
      </c>
      <c r="P209" s="156"/>
      <c r="Q209" s="156"/>
      <c r="R209" s="156"/>
      <c r="S209" s="156"/>
      <c r="T209" s="157" t="s">
        <v>28</v>
      </c>
      <c r="U209" s="156"/>
      <c r="V209" s="156"/>
      <c r="W209" s="157" t="s">
        <v>28</v>
      </c>
      <c r="X209" s="156"/>
      <c r="Y209" s="156"/>
      <c r="Z209" s="157" t="s">
        <v>28</v>
      </c>
      <c r="AA209" s="156"/>
      <c r="AB209" s="156"/>
      <c r="AC209" s="157" t="s">
        <v>28</v>
      </c>
      <c r="AD209" s="156"/>
      <c r="AE209" s="156"/>
      <c r="AF209" s="157" t="s">
        <v>28</v>
      </c>
      <c r="AG209" s="156"/>
      <c r="AH209" s="156"/>
      <c r="AI209" s="157" t="s">
        <v>28</v>
      </c>
      <c r="AJ209" s="156"/>
      <c r="AK209" s="156"/>
      <c r="AL209" s="157" t="s">
        <v>28</v>
      </c>
      <c r="AM209" s="156"/>
      <c r="AN209" s="156"/>
      <c r="AO209" s="157" t="s">
        <v>28</v>
      </c>
      <c r="AP209" s="156"/>
      <c r="AQ209" s="156"/>
      <c r="AR209" s="157" t="s">
        <v>28</v>
      </c>
      <c r="AS209" s="156"/>
      <c r="AT209" s="156"/>
      <c r="AU209" s="157" t="s">
        <v>28</v>
      </c>
      <c r="AV209" s="156"/>
      <c r="AW209" s="156"/>
      <c r="AX209" s="157" t="s">
        <v>28</v>
      </c>
      <c r="AY209" s="156"/>
      <c r="AZ209" s="156"/>
      <c r="BA209" s="156"/>
    </row>
    <row r="210" spans="1:53" ht="14.45" customHeight="1" x14ac:dyDescent="0.25">
      <c r="A210" s="156"/>
      <c r="B210" s="156"/>
      <c r="C210" s="156"/>
      <c r="D210" s="156"/>
      <c r="E210" s="156"/>
      <c r="F210" s="156"/>
      <c r="G210" s="156"/>
      <c r="H210" s="156"/>
      <c r="I210" s="156"/>
      <c r="J210" s="156"/>
      <c r="K210" s="156"/>
      <c r="L210" s="156"/>
      <c r="M210" s="156"/>
      <c r="N210" s="156"/>
      <c r="O210" s="156"/>
      <c r="P210" s="156"/>
      <c r="Q210" s="156"/>
      <c r="R210" s="156"/>
      <c r="S210" s="156"/>
      <c r="T210" s="156"/>
      <c r="U210" s="156"/>
      <c r="V210" s="156"/>
      <c r="W210" s="156"/>
      <c r="X210" s="156"/>
      <c r="Y210" s="156"/>
      <c r="Z210" s="156"/>
      <c r="AA210" s="156"/>
      <c r="AB210" s="156"/>
      <c r="AC210" s="156"/>
      <c r="AD210" s="156"/>
      <c r="AE210" s="156"/>
      <c r="AF210" s="156"/>
      <c r="AG210" s="156"/>
      <c r="AH210" s="156"/>
      <c r="AI210" s="156"/>
      <c r="AJ210" s="156"/>
      <c r="AK210" s="156"/>
      <c r="AL210" s="156"/>
      <c r="AM210" s="156"/>
      <c r="AN210" s="156"/>
      <c r="AO210" s="156"/>
      <c r="AP210" s="156"/>
      <c r="AQ210" s="156"/>
      <c r="AR210" s="156"/>
      <c r="AS210" s="156"/>
      <c r="AT210" s="156"/>
      <c r="AU210" s="156"/>
      <c r="AV210" s="156"/>
      <c r="AW210" s="156"/>
      <c r="AX210" s="156"/>
      <c r="AY210" s="156"/>
      <c r="AZ210" s="156"/>
      <c r="BA210" s="156"/>
    </row>
    <row r="211" spans="1:53" ht="14.45" customHeight="1" x14ac:dyDescent="0.25">
      <c r="A211" s="163" t="s">
        <v>114</v>
      </c>
      <c r="B211" s="156"/>
      <c r="C211" s="156"/>
      <c r="D211" s="156"/>
      <c r="E211" s="156"/>
      <c r="F211" s="156"/>
      <c r="G211" s="156"/>
      <c r="H211" s="156"/>
      <c r="I211" s="156"/>
      <c r="J211" s="156"/>
      <c r="K211" s="156"/>
      <c r="L211" s="156"/>
      <c r="M211" s="156"/>
      <c r="N211" s="156"/>
      <c r="O211" s="156"/>
      <c r="P211" s="156"/>
      <c r="Q211" s="156"/>
      <c r="R211" s="156"/>
      <c r="S211" s="156"/>
      <c r="T211" s="156"/>
      <c r="U211" s="156"/>
      <c r="V211" s="156"/>
      <c r="W211" s="156"/>
      <c r="X211" s="156"/>
      <c r="Y211" s="156"/>
      <c r="Z211" s="156"/>
      <c r="AA211" s="156"/>
      <c r="AB211" s="156"/>
      <c r="AC211" s="156"/>
      <c r="AD211" s="156"/>
      <c r="AE211" s="156"/>
      <c r="AF211" s="156"/>
      <c r="AG211" s="156"/>
      <c r="AH211" s="156"/>
      <c r="AI211" s="156"/>
      <c r="AJ211" s="156"/>
      <c r="AK211" s="156"/>
      <c r="AL211" s="156"/>
      <c r="AM211" s="156"/>
      <c r="AN211" s="156"/>
      <c r="AO211" s="156"/>
      <c r="AP211" s="156"/>
      <c r="AQ211" s="156"/>
      <c r="AR211" s="156"/>
      <c r="AS211" s="156"/>
      <c r="AT211" s="156"/>
      <c r="AU211" s="156"/>
      <c r="AV211" s="156"/>
      <c r="AW211" s="156"/>
      <c r="AX211" s="156"/>
      <c r="AY211" s="156"/>
      <c r="AZ211" s="156"/>
      <c r="BA211" s="156"/>
    </row>
    <row r="212" spans="1:53" ht="14.45" customHeight="1" x14ac:dyDescent="0.25">
      <c r="A212" s="158" t="s">
        <v>269</v>
      </c>
      <c r="B212" s="156"/>
      <c r="C212" s="159">
        <v>3432.55</v>
      </c>
      <c r="D212" s="156"/>
      <c r="E212" s="156"/>
      <c r="F212" s="159">
        <v>10127.67</v>
      </c>
      <c r="G212" s="156"/>
      <c r="H212" s="156"/>
      <c r="I212" s="159">
        <v>2337.75</v>
      </c>
      <c r="J212" s="156"/>
      <c r="K212" s="156"/>
      <c r="L212" s="159">
        <v>11107.28</v>
      </c>
      <c r="M212" s="156"/>
      <c r="N212" s="156"/>
      <c r="O212" s="159">
        <v>4531.83</v>
      </c>
      <c r="P212" s="156"/>
      <c r="Q212" s="156"/>
      <c r="R212" s="156"/>
      <c r="S212" s="156"/>
      <c r="T212" s="159">
        <v>6759.81</v>
      </c>
      <c r="U212" s="156"/>
      <c r="V212" s="156"/>
      <c r="W212" s="159">
        <v>11102.73</v>
      </c>
      <c r="X212" s="156"/>
      <c r="Y212" s="156"/>
      <c r="Z212" s="159">
        <v>7637.33</v>
      </c>
      <c r="AA212" s="156"/>
      <c r="AB212" s="156"/>
      <c r="AC212" s="159">
        <v>5293.97</v>
      </c>
      <c r="AD212" s="156"/>
      <c r="AE212" s="156"/>
      <c r="AF212" s="159">
        <v>0</v>
      </c>
      <c r="AG212" s="156"/>
      <c r="AH212" s="156"/>
      <c r="AI212" s="159">
        <v>3389.63</v>
      </c>
      <c r="AJ212" s="156"/>
      <c r="AK212" s="156"/>
      <c r="AL212" s="157" t="s">
        <v>28</v>
      </c>
      <c r="AM212" s="156"/>
      <c r="AN212" s="156"/>
      <c r="AO212" s="157" t="s">
        <v>28</v>
      </c>
      <c r="AP212" s="156"/>
      <c r="AQ212" s="156"/>
      <c r="AR212" s="157" t="s">
        <v>28</v>
      </c>
      <c r="AS212" s="156"/>
      <c r="AT212" s="156"/>
      <c r="AU212" s="157" t="s">
        <v>28</v>
      </c>
      <c r="AV212" s="156"/>
      <c r="AW212" s="156"/>
      <c r="AX212" s="157" t="s">
        <v>28</v>
      </c>
      <c r="AY212" s="156"/>
      <c r="AZ212" s="156"/>
      <c r="BA212" s="156"/>
    </row>
    <row r="213" spans="1:53" ht="27.6" customHeight="1" x14ac:dyDescent="0.25">
      <c r="A213" s="158" t="s">
        <v>270</v>
      </c>
      <c r="B213" s="156"/>
      <c r="C213" s="159">
        <v>0</v>
      </c>
      <c r="D213" s="156"/>
      <c r="E213" s="156"/>
      <c r="F213" s="159">
        <v>0</v>
      </c>
      <c r="G213" s="156"/>
      <c r="H213" s="156"/>
      <c r="I213" s="159">
        <v>0</v>
      </c>
      <c r="J213" s="156"/>
      <c r="K213" s="156"/>
      <c r="L213" s="159">
        <v>0</v>
      </c>
      <c r="M213" s="156"/>
      <c r="N213" s="156"/>
      <c r="O213" s="159">
        <v>0</v>
      </c>
      <c r="P213" s="156"/>
      <c r="Q213" s="156"/>
      <c r="R213" s="156"/>
      <c r="S213" s="156"/>
      <c r="T213" s="159">
        <v>0</v>
      </c>
      <c r="U213" s="156"/>
      <c r="V213" s="156"/>
      <c r="W213" s="159">
        <v>0</v>
      </c>
      <c r="X213" s="156"/>
      <c r="Y213" s="156"/>
      <c r="Z213" s="159">
        <v>0</v>
      </c>
      <c r="AA213" s="156"/>
      <c r="AB213" s="156"/>
      <c r="AC213" s="159">
        <v>0</v>
      </c>
      <c r="AD213" s="156"/>
      <c r="AE213" s="156"/>
      <c r="AF213" s="159">
        <v>0</v>
      </c>
      <c r="AG213" s="156"/>
      <c r="AH213" s="156"/>
      <c r="AI213" s="159">
        <v>0</v>
      </c>
      <c r="AJ213" s="156"/>
      <c r="AK213" s="156"/>
      <c r="AL213" s="157" t="s">
        <v>28</v>
      </c>
      <c r="AM213" s="156"/>
      <c r="AN213" s="156"/>
      <c r="AO213" s="157" t="s">
        <v>28</v>
      </c>
      <c r="AP213" s="156"/>
      <c r="AQ213" s="156"/>
      <c r="AR213" s="157" t="s">
        <v>28</v>
      </c>
      <c r="AS213" s="156"/>
      <c r="AT213" s="156"/>
      <c r="AU213" s="157" t="s">
        <v>28</v>
      </c>
      <c r="AV213" s="156"/>
      <c r="AW213" s="156"/>
      <c r="AX213" s="157" t="s">
        <v>28</v>
      </c>
      <c r="AY213" s="156"/>
      <c r="AZ213" s="156"/>
      <c r="BA213" s="156"/>
    </row>
    <row r="214" spans="1:53" ht="14.45" customHeight="1" x14ac:dyDescent="0.25">
      <c r="A214" s="158" t="s">
        <v>271</v>
      </c>
      <c r="B214" s="156"/>
      <c r="C214" s="157" t="s">
        <v>28</v>
      </c>
      <c r="D214" s="156"/>
      <c r="E214" s="156"/>
      <c r="F214" s="157" t="s">
        <v>28</v>
      </c>
      <c r="G214" s="156"/>
      <c r="H214" s="156"/>
      <c r="I214" s="157" t="s">
        <v>28</v>
      </c>
      <c r="J214" s="156"/>
      <c r="K214" s="156"/>
      <c r="L214" s="157" t="s">
        <v>28</v>
      </c>
      <c r="M214" s="156"/>
      <c r="N214" s="156"/>
      <c r="O214" s="157" t="s">
        <v>28</v>
      </c>
      <c r="P214" s="156"/>
      <c r="Q214" s="156"/>
      <c r="R214" s="156"/>
      <c r="S214" s="156"/>
      <c r="T214" s="157" t="s">
        <v>28</v>
      </c>
      <c r="U214" s="156"/>
      <c r="V214" s="156"/>
      <c r="W214" s="157" t="s">
        <v>28</v>
      </c>
      <c r="X214" s="156"/>
      <c r="Y214" s="156"/>
      <c r="Z214" s="157" t="s">
        <v>28</v>
      </c>
      <c r="AA214" s="156"/>
      <c r="AB214" s="156"/>
      <c r="AC214" s="157" t="s">
        <v>28</v>
      </c>
      <c r="AD214" s="156"/>
      <c r="AE214" s="156"/>
      <c r="AF214" s="157" t="s">
        <v>28</v>
      </c>
      <c r="AG214" s="156"/>
      <c r="AH214" s="156"/>
      <c r="AI214" s="157" t="s">
        <v>28</v>
      </c>
      <c r="AJ214" s="156"/>
      <c r="AK214" s="156"/>
      <c r="AL214" s="157" t="s">
        <v>28</v>
      </c>
      <c r="AM214" s="156"/>
      <c r="AN214" s="156"/>
      <c r="AO214" s="157" t="s">
        <v>28</v>
      </c>
      <c r="AP214" s="156"/>
      <c r="AQ214" s="156"/>
      <c r="AR214" s="157" t="s">
        <v>28</v>
      </c>
      <c r="AS214" s="156"/>
      <c r="AT214" s="156"/>
      <c r="AU214" s="157" t="s">
        <v>28</v>
      </c>
      <c r="AV214" s="156"/>
      <c r="AW214" s="156"/>
      <c r="AX214" s="157" t="s">
        <v>28</v>
      </c>
      <c r="AY214" s="156"/>
      <c r="AZ214" s="156"/>
      <c r="BA214" s="156"/>
    </row>
    <row r="215" spans="1:53" ht="14.45" customHeight="1" x14ac:dyDescent="0.25">
      <c r="A215" s="156"/>
      <c r="B215" s="156"/>
      <c r="C215" s="156"/>
      <c r="D215" s="156"/>
      <c r="E215" s="156"/>
      <c r="F215" s="156"/>
      <c r="G215" s="156"/>
      <c r="H215" s="156"/>
      <c r="I215" s="156"/>
      <c r="J215" s="156"/>
      <c r="K215" s="156"/>
      <c r="L215" s="156"/>
      <c r="M215" s="156"/>
      <c r="N215" s="156"/>
      <c r="O215" s="156"/>
      <c r="P215" s="156"/>
      <c r="Q215" s="156"/>
      <c r="R215" s="156"/>
      <c r="S215" s="156"/>
      <c r="T215" s="156"/>
      <c r="U215" s="156"/>
      <c r="V215" s="156"/>
      <c r="W215" s="156"/>
      <c r="X215" s="156"/>
      <c r="Y215" s="156"/>
      <c r="Z215" s="156"/>
      <c r="AA215" s="156"/>
      <c r="AB215" s="156"/>
      <c r="AC215" s="156"/>
      <c r="AD215" s="156"/>
      <c r="AE215" s="156"/>
      <c r="AF215" s="156"/>
      <c r="AG215" s="156"/>
      <c r="AH215" s="156"/>
      <c r="AI215" s="156"/>
      <c r="AJ215" s="156"/>
      <c r="AK215" s="156"/>
      <c r="AL215" s="156"/>
      <c r="AM215" s="156"/>
      <c r="AN215" s="156"/>
      <c r="AO215" s="156"/>
      <c r="AP215" s="156"/>
      <c r="AQ215" s="156"/>
      <c r="AR215" s="156"/>
      <c r="AS215" s="156"/>
      <c r="AT215" s="156"/>
      <c r="AU215" s="156"/>
      <c r="AV215" s="156"/>
      <c r="AW215" s="156"/>
      <c r="AX215" s="156"/>
      <c r="AY215" s="156"/>
      <c r="AZ215" s="156"/>
      <c r="BA215" s="156"/>
    </row>
    <row r="216" spans="1:53" ht="14.45" customHeight="1" x14ac:dyDescent="0.25">
      <c r="A216" s="163" t="s">
        <v>272</v>
      </c>
      <c r="B216" s="156"/>
      <c r="C216" s="156"/>
      <c r="D216" s="156"/>
      <c r="E216" s="156"/>
      <c r="F216" s="156"/>
      <c r="G216" s="156"/>
      <c r="H216" s="156"/>
      <c r="I216" s="156"/>
      <c r="J216" s="156"/>
      <c r="K216" s="156"/>
      <c r="L216" s="156"/>
      <c r="M216" s="156"/>
      <c r="N216" s="156"/>
      <c r="O216" s="156"/>
      <c r="P216" s="156"/>
      <c r="Q216" s="156"/>
      <c r="R216" s="156"/>
      <c r="S216" s="156"/>
      <c r="T216" s="156"/>
      <c r="U216" s="156"/>
      <c r="V216" s="156"/>
      <c r="W216" s="156"/>
      <c r="X216" s="156"/>
      <c r="Y216" s="156"/>
      <c r="Z216" s="156"/>
      <c r="AA216" s="156"/>
      <c r="AB216" s="156"/>
      <c r="AC216" s="156"/>
      <c r="AD216" s="156"/>
      <c r="AE216" s="156"/>
      <c r="AF216" s="156"/>
      <c r="AG216" s="156"/>
      <c r="AH216" s="156"/>
      <c r="AI216" s="156"/>
      <c r="AJ216" s="156"/>
      <c r="AK216" s="156"/>
      <c r="AL216" s="156"/>
      <c r="AM216" s="156"/>
      <c r="AN216" s="156"/>
      <c r="AO216" s="156"/>
      <c r="AP216" s="156"/>
      <c r="AQ216" s="156"/>
      <c r="AR216" s="156"/>
      <c r="AS216" s="156"/>
      <c r="AT216" s="156"/>
      <c r="AU216" s="156"/>
      <c r="AV216" s="156"/>
      <c r="AW216" s="156"/>
      <c r="AX216" s="156"/>
      <c r="AY216" s="156"/>
      <c r="AZ216" s="156"/>
      <c r="BA216" s="156"/>
    </row>
    <row r="217" spans="1:53" ht="14.45" customHeight="1" x14ac:dyDescent="0.25">
      <c r="A217" s="158" t="s">
        <v>273</v>
      </c>
      <c r="B217" s="156"/>
      <c r="C217" s="159">
        <v>20615.419999999998</v>
      </c>
      <c r="D217" s="156"/>
      <c r="E217" s="156"/>
      <c r="F217" s="159">
        <v>22813.09</v>
      </c>
      <c r="G217" s="156"/>
      <c r="H217" s="156"/>
      <c r="I217" s="159">
        <v>25069.84</v>
      </c>
      <c r="J217" s="156"/>
      <c r="K217" s="156"/>
      <c r="L217" s="159">
        <v>25530.1</v>
      </c>
      <c r="M217" s="156"/>
      <c r="N217" s="156"/>
      <c r="O217" s="159">
        <v>23802.38</v>
      </c>
      <c r="P217" s="156"/>
      <c r="Q217" s="156"/>
      <c r="R217" s="156"/>
      <c r="S217" s="156"/>
      <c r="T217" s="159">
        <v>18965.560000000001</v>
      </c>
      <c r="U217" s="156"/>
      <c r="V217" s="156"/>
      <c r="W217" s="159">
        <v>0</v>
      </c>
      <c r="X217" s="156"/>
      <c r="Y217" s="156"/>
      <c r="Z217" s="159">
        <v>0</v>
      </c>
      <c r="AA217" s="156"/>
      <c r="AB217" s="156"/>
      <c r="AC217" s="159">
        <v>0</v>
      </c>
      <c r="AD217" s="156"/>
      <c r="AE217" s="156"/>
      <c r="AF217" s="159">
        <v>8674</v>
      </c>
      <c r="AG217" s="156"/>
      <c r="AH217" s="156"/>
      <c r="AI217" s="159">
        <v>9329</v>
      </c>
      <c r="AJ217" s="156"/>
      <c r="AK217" s="156"/>
      <c r="AL217" s="157" t="s">
        <v>28</v>
      </c>
      <c r="AM217" s="156"/>
      <c r="AN217" s="156"/>
      <c r="AO217" s="157" t="s">
        <v>28</v>
      </c>
      <c r="AP217" s="156"/>
      <c r="AQ217" s="156"/>
      <c r="AR217" s="157" t="s">
        <v>28</v>
      </c>
      <c r="AS217" s="156"/>
      <c r="AT217" s="156"/>
      <c r="AU217" s="157" t="s">
        <v>28</v>
      </c>
      <c r="AV217" s="156"/>
      <c r="AW217" s="156"/>
      <c r="AX217" s="157" t="s">
        <v>28</v>
      </c>
      <c r="AY217" s="156"/>
      <c r="AZ217" s="156"/>
      <c r="BA217" s="156"/>
    </row>
    <row r="218" spans="1:53" ht="14.45" customHeight="1" x14ac:dyDescent="0.25">
      <c r="A218" s="158" t="s">
        <v>274</v>
      </c>
      <c r="B218" s="156"/>
      <c r="C218" s="159">
        <v>11.3</v>
      </c>
      <c r="D218" s="156"/>
      <c r="E218" s="156"/>
      <c r="F218" s="159">
        <v>0</v>
      </c>
      <c r="G218" s="156"/>
      <c r="H218" s="156"/>
      <c r="I218" s="159">
        <v>23.8</v>
      </c>
      <c r="J218" s="156"/>
      <c r="K218" s="156"/>
      <c r="L218" s="159">
        <v>25.7</v>
      </c>
      <c r="M218" s="156"/>
      <c r="N218" s="156"/>
      <c r="O218" s="159">
        <v>1.4</v>
      </c>
      <c r="P218" s="156"/>
      <c r="Q218" s="156"/>
      <c r="R218" s="156"/>
      <c r="S218" s="156"/>
      <c r="T218" s="159">
        <v>1</v>
      </c>
      <c r="U218" s="156"/>
      <c r="V218" s="156"/>
      <c r="W218" s="159">
        <v>0.81</v>
      </c>
      <c r="X218" s="156"/>
      <c r="Y218" s="156"/>
      <c r="Z218" s="159">
        <v>0.62</v>
      </c>
      <c r="AA218" s="156"/>
      <c r="AB218" s="156"/>
      <c r="AC218" s="159">
        <v>1</v>
      </c>
      <c r="AD218" s="156"/>
      <c r="AE218" s="156"/>
      <c r="AF218" s="159">
        <v>0</v>
      </c>
      <c r="AG218" s="156"/>
      <c r="AH218" s="156"/>
      <c r="AI218" s="159">
        <v>10</v>
      </c>
      <c r="AJ218" s="156"/>
      <c r="AK218" s="156"/>
      <c r="AL218" s="157" t="s">
        <v>28</v>
      </c>
      <c r="AM218" s="156"/>
      <c r="AN218" s="156"/>
      <c r="AO218" s="157" t="s">
        <v>28</v>
      </c>
      <c r="AP218" s="156"/>
      <c r="AQ218" s="156"/>
      <c r="AR218" s="157" t="s">
        <v>28</v>
      </c>
      <c r="AS218" s="156"/>
      <c r="AT218" s="156"/>
      <c r="AU218" s="157" t="s">
        <v>28</v>
      </c>
      <c r="AV218" s="156"/>
      <c r="AW218" s="156"/>
      <c r="AX218" s="157" t="s">
        <v>28</v>
      </c>
      <c r="AY218" s="156"/>
      <c r="AZ218" s="156"/>
      <c r="BA218" s="156"/>
    </row>
    <row r="219" spans="1:53" ht="14.45" customHeight="1" x14ac:dyDescent="0.25">
      <c r="A219" s="158" t="s">
        <v>275</v>
      </c>
      <c r="B219" s="156"/>
      <c r="C219" s="159">
        <v>3432.55</v>
      </c>
      <c r="D219" s="156"/>
      <c r="E219" s="156"/>
      <c r="F219" s="159">
        <v>10127.67</v>
      </c>
      <c r="G219" s="156"/>
      <c r="H219" s="156"/>
      <c r="I219" s="159">
        <v>2337.75</v>
      </c>
      <c r="J219" s="156"/>
      <c r="K219" s="156"/>
      <c r="L219" s="159">
        <v>11107.28</v>
      </c>
      <c r="M219" s="156"/>
      <c r="N219" s="156"/>
      <c r="O219" s="159">
        <v>4531.83</v>
      </c>
      <c r="P219" s="156"/>
      <c r="Q219" s="156"/>
      <c r="R219" s="156"/>
      <c r="S219" s="156"/>
      <c r="T219" s="159">
        <v>6759.81</v>
      </c>
      <c r="U219" s="156"/>
      <c r="V219" s="156"/>
      <c r="W219" s="159">
        <v>11102.73</v>
      </c>
      <c r="X219" s="156"/>
      <c r="Y219" s="156"/>
      <c r="Z219" s="159">
        <v>7637.33</v>
      </c>
      <c r="AA219" s="156"/>
      <c r="AB219" s="156"/>
      <c r="AC219" s="159">
        <v>5293.97</v>
      </c>
      <c r="AD219" s="156"/>
      <c r="AE219" s="156"/>
      <c r="AF219" s="159">
        <v>0</v>
      </c>
      <c r="AG219" s="156"/>
      <c r="AH219" s="156"/>
      <c r="AI219" s="159">
        <v>3391.37</v>
      </c>
      <c r="AJ219" s="156"/>
      <c r="AK219" s="156"/>
      <c r="AL219" s="157" t="s">
        <v>28</v>
      </c>
      <c r="AM219" s="156"/>
      <c r="AN219" s="156"/>
      <c r="AO219" s="157" t="s">
        <v>28</v>
      </c>
      <c r="AP219" s="156"/>
      <c r="AQ219" s="156"/>
      <c r="AR219" s="157" t="s">
        <v>28</v>
      </c>
      <c r="AS219" s="156"/>
      <c r="AT219" s="156"/>
      <c r="AU219" s="157" t="s">
        <v>28</v>
      </c>
      <c r="AV219" s="156"/>
      <c r="AW219" s="156"/>
      <c r="AX219" s="157" t="s">
        <v>28</v>
      </c>
      <c r="AY219" s="156"/>
      <c r="AZ219" s="156"/>
      <c r="BA219" s="156"/>
    </row>
    <row r="220" spans="1:53" ht="14.45" customHeight="1" x14ac:dyDescent="0.25">
      <c r="A220" s="158" t="s">
        <v>276</v>
      </c>
      <c r="B220" s="156"/>
      <c r="C220" s="159">
        <v>0</v>
      </c>
      <c r="D220" s="156"/>
      <c r="E220" s="156"/>
      <c r="F220" s="159">
        <v>0</v>
      </c>
      <c r="G220" s="156"/>
      <c r="H220" s="156"/>
      <c r="I220" s="159">
        <v>0</v>
      </c>
      <c r="J220" s="156"/>
      <c r="K220" s="156"/>
      <c r="L220" s="159">
        <v>0</v>
      </c>
      <c r="M220" s="156"/>
      <c r="N220" s="156"/>
      <c r="O220" s="159">
        <v>0</v>
      </c>
      <c r="P220" s="156"/>
      <c r="Q220" s="156"/>
      <c r="R220" s="156"/>
      <c r="S220" s="156"/>
      <c r="T220" s="159">
        <v>13051.08</v>
      </c>
      <c r="U220" s="156"/>
      <c r="V220" s="156"/>
      <c r="W220" s="159">
        <v>12402.99</v>
      </c>
      <c r="X220" s="156"/>
      <c r="Y220" s="156"/>
      <c r="Z220" s="159">
        <v>11030.83</v>
      </c>
      <c r="AA220" s="156"/>
      <c r="AB220" s="156"/>
      <c r="AC220" s="159">
        <v>11723.52</v>
      </c>
      <c r="AD220" s="156"/>
      <c r="AE220" s="156"/>
      <c r="AF220" s="159">
        <v>0</v>
      </c>
      <c r="AG220" s="156"/>
      <c r="AH220" s="156"/>
      <c r="AI220" s="159">
        <v>7241.83</v>
      </c>
      <c r="AJ220" s="156"/>
      <c r="AK220" s="156"/>
      <c r="AL220" s="157" t="s">
        <v>28</v>
      </c>
      <c r="AM220" s="156"/>
      <c r="AN220" s="156"/>
      <c r="AO220" s="157" t="s">
        <v>28</v>
      </c>
      <c r="AP220" s="156"/>
      <c r="AQ220" s="156"/>
      <c r="AR220" s="157" t="s">
        <v>28</v>
      </c>
      <c r="AS220" s="156"/>
      <c r="AT220" s="156"/>
      <c r="AU220" s="157" t="s">
        <v>28</v>
      </c>
      <c r="AV220" s="156"/>
      <c r="AW220" s="156"/>
      <c r="AX220" s="157" t="s">
        <v>28</v>
      </c>
      <c r="AY220" s="156"/>
      <c r="AZ220" s="156"/>
      <c r="BA220" s="156"/>
    </row>
    <row r="221" spans="1:53" ht="14.45" customHeight="1" x14ac:dyDescent="0.25">
      <c r="A221" s="158" t="s">
        <v>277</v>
      </c>
      <c r="B221" s="156"/>
      <c r="C221" s="159">
        <v>0</v>
      </c>
      <c r="D221" s="156"/>
      <c r="E221" s="156"/>
      <c r="F221" s="159">
        <v>0</v>
      </c>
      <c r="G221" s="156"/>
      <c r="H221" s="156"/>
      <c r="I221" s="159">
        <v>0.51</v>
      </c>
      <c r="J221" s="156"/>
      <c r="K221" s="156"/>
      <c r="L221" s="159">
        <v>6.52</v>
      </c>
      <c r="M221" s="156"/>
      <c r="N221" s="156"/>
      <c r="O221" s="159">
        <v>0</v>
      </c>
      <c r="P221" s="156"/>
      <c r="Q221" s="156"/>
      <c r="R221" s="156"/>
      <c r="S221" s="156"/>
      <c r="T221" s="159">
        <v>0.4</v>
      </c>
      <c r="U221" s="156"/>
      <c r="V221" s="156"/>
      <c r="W221" s="159">
        <v>3.38</v>
      </c>
      <c r="X221" s="156"/>
      <c r="Y221" s="156"/>
      <c r="Z221" s="159">
        <v>0</v>
      </c>
      <c r="AA221" s="156"/>
      <c r="AB221" s="156"/>
      <c r="AC221" s="159">
        <v>0</v>
      </c>
      <c r="AD221" s="156"/>
      <c r="AE221" s="156"/>
      <c r="AF221" s="159">
        <v>0</v>
      </c>
      <c r="AG221" s="156"/>
      <c r="AH221" s="156"/>
      <c r="AI221" s="159">
        <v>0</v>
      </c>
      <c r="AJ221" s="156"/>
      <c r="AK221" s="156"/>
      <c r="AL221" s="157" t="s">
        <v>28</v>
      </c>
      <c r="AM221" s="156"/>
      <c r="AN221" s="156"/>
      <c r="AO221" s="157" t="s">
        <v>28</v>
      </c>
      <c r="AP221" s="156"/>
      <c r="AQ221" s="156"/>
      <c r="AR221" s="157" t="s">
        <v>28</v>
      </c>
      <c r="AS221" s="156"/>
      <c r="AT221" s="156"/>
      <c r="AU221" s="157" t="s">
        <v>28</v>
      </c>
      <c r="AV221" s="156"/>
      <c r="AW221" s="156"/>
      <c r="AX221" s="157" t="s">
        <v>28</v>
      </c>
      <c r="AY221" s="156"/>
      <c r="AZ221" s="156"/>
      <c r="BA221" s="156"/>
    </row>
    <row r="222" spans="1:53" ht="14.45" customHeight="1" x14ac:dyDescent="0.25">
      <c r="A222" s="158" t="s">
        <v>278</v>
      </c>
      <c r="B222" s="156"/>
      <c r="C222" s="159">
        <v>0</v>
      </c>
      <c r="D222" s="156"/>
      <c r="E222" s="156"/>
      <c r="F222" s="159">
        <v>0</v>
      </c>
      <c r="G222" s="156"/>
      <c r="H222" s="156"/>
      <c r="I222" s="159">
        <v>0</v>
      </c>
      <c r="J222" s="156"/>
      <c r="K222" s="156"/>
      <c r="L222" s="159">
        <v>0</v>
      </c>
      <c r="M222" s="156"/>
      <c r="N222" s="156"/>
      <c r="O222" s="159">
        <v>0</v>
      </c>
      <c r="P222" s="156"/>
      <c r="Q222" s="156"/>
      <c r="R222" s="156"/>
      <c r="S222" s="156"/>
      <c r="T222" s="159">
        <v>0</v>
      </c>
      <c r="U222" s="156"/>
      <c r="V222" s="156"/>
      <c r="W222" s="159">
        <v>0</v>
      </c>
      <c r="X222" s="156"/>
      <c r="Y222" s="156"/>
      <c r="Z222" s="159">
        <v>0</v>
      </c>
      <c r="AA222" s="156"/>
      <c r="AB222" s="156"/>
      <c r="AC222" s="159">
        <v>0</v>
      </c>
      <c r="AD222" s="156"/>
      <c r="AE222" s="156"/>
      <c r="AF222" s="159">
        <v>0</v>
      </c>
      <c r="AG222" s="156"/>
      <c r="AH222" s="156"/>
      <c r="AI222" s="159">
        <v>0</v>
      </c>
      <c r="AJ222" s="156"/>
      <c r="AK222" s="156"/>
      <c r="AL222" s="157" t="s">
        <v>28</v>
      </c>
      <c r="AM222" s="156"/>
      <c r="AN222" s="156"/>
      <c r="AO222" s="157" t="s">
        <v>28</v>
      </c>
      <c r="AP222" s="156"/>
      <c r="AQ222" s="156"/>
      <c r="AR222" s="157" t="s">
        <v>28</v>
      </c>
      <c r="AS222" s="156"/>
      <c r="AT222" s="156"/>
      <c r="AU222" s="157" t="s">
        <v>28</v>
      </c>
      <c r="AV222" s="156"/>
      <c r="AW222" s="156"/>
      <c r="AX222" s="157" t="s">
        <v>28</v>
      </c>
      <c r="AY222" s="156"/>
      <c r="AZ222" s="156"/>
      <c r="BA222" s="156"/>
    </row>
    <row r="223" spans="1:53" ht="14.45" customHeight="1" x14ac:dyDescent="0.25">
      <c r="A223" s="158" t="s">
        <v>279</v>
      </c>
      <c r="B223" s="156"/>
      <c r="C223" s="159">
        <v>0</v>
      </c>
      <c r="D223" s="156"/>
      <c r="E223" s="156"/>
      <c r="F223" s="159">
        <v>1</v>
      </c>
      <c r="G223" s="156"/>
      <c r="H223" s="156"/>
      <c r="I223" s="159">
        <v>0</v>
      </c>
      <c r="J223" s="156"/>
      <c r="K223" s="156"/>
      <c r="L223" s="159">
        <v>0</v>
      </c>
      <c r="M223" s="156"/>
      <c r="N223" s="156"/>
      <c r="O223" s="159">
        <v>0</v>
      </c>
      <c r="P223" s="156"/>
      <c r="Q223" s="156"/>
      <c r="R223" s="156"/>
      <c r="S223" s="156"/>
      <c r="T223" s="159">
        <v>0</v>
      </c>
      <c r="U223" s="156"/>
      <c r="V223" s="156"/>
      <c r="W223" s="159">
        <v>0</v>
      </c>
      <c r="X223" s="156"/>
      <c r="Y223" s="156"/>
      <c r="Z223" s="159">
        <v>0</v>
      </c>
      <c r="AA223" s="156"/>
      <c r="AB223" s="156"/>
      <c r="AC223" s="159">
        <v>0</v>
      </c>
      <c r="AD223" s="156"/>
      <c r="AE223" s="156"/>
      <c r="AF223" s="159">
        <v>0</v>
      </c>
      <c r="AG223" s="156"/>
      <c r="AH223" s="156"/>
      <c r="AI223" s="159">
        <v>0</v>
      </c>
      <c r="AJ223" s="156"/>
      <c r="AK223" s="156"/>
      <c r="AL223" s="157" t="s">
        <v>28</v>
      </c>
      <c r="AM223" s="156"/>
      <c r="AN223" s="156"/>
      <c r="AO223" s="157" t="s">
        <v>28</v>
      </c>
      <c r="AP223" s="156"/>
      <c r="AQ223" s="156"/>
      <c r="AR223" s="157" t="s">
        <v>28</v>
      </c>
      <c r="AS223" s="156"/>
      <c r="AT223" s="156"/>
      <c r="AU223" s="157" t="s">
        <v>28</v>
      </c>
      <c r="AV223" s="156"/>
      <c r="AW223" s="156"/>
      <c r="AX223" s="157" t="s">
        <v>28</v>
      </c>
      <c r="AY223" s="156"/>
      <c r="AZ223" s="156"/>
      <c r="BA223" s="156"/>
    </row>
    <row r="224" spans="1:53" ht="14.45" customHeight="1" x14ac:dyDescent="0.25">
      <c r="A224" s="156"/>
      <c r="B224" s="156"/>
      <c r="C224" s="156"/>
      <c r="D224" s="156"/>
      <c r="E224" s="156"/>
      <c r="F224" s="156"/>
      <c r="G224" s="156"/>
      <c r="H224" s="156"/>
      <c r="I224" s="156"/>
      <c r="J224" s="156"/>
      <c r="K224" s="156"/>
      <c r="L224" s="156"/>
      <c r="M224" s="156"/>
      <c r="N224" s="156"/>
      <c r="O224" s="156"/>
      <c r="P224" s="156"/>
      <c r="Q224" s="156"/>
      <c r="R224" s="156"/>
      <c r="S224" s="156"/>
      <c r="T224" s="156"/>
      <c r="U224" s="156"/>
      <c r="V224" s="156"/>
      <c r="W224" s="156"/>
      <c r="X224" s="156"/>
      <c r="Y224" s="156"/>
      <c r="Z224" s="156"/>
      <c r="AA224" s="156"/>
      <c r="AB224" s="156"/>
      <c r="AC224" s="156"/>
      <c r="AD224" s="156"/>
      <c r="AE224" s="156"/>
      <c r="AF224" s="156"/>
      <c r="AG224" s="156"/>
      <c r="AH224" s="156"/>
      <c r="AI224" s="156"/>
      <c r="AJ224" s="156"/>
      <c r="AK224" s="156"/>
      <c r="AL224" s="156"/>
      <c r="AM224" s="156"/>
      <c r="AN224" s="156"/>
      <c r="AO224" s="156"/>
      <c r="AP224" s="156"/>
      <c r="AQ224" s="156"/>
      <c r="AR224" s="156"/>
      <c r="AS224" s="156"/>
      <c r="AT224" s="156"/>
      <c r="AU224" s="156"/>
      <c r="AV224" s="156"/>
      <c r="AW224" s="156"/>
      <c r="AX224" s="156"/>
      <c r="AY224" s="156"/>
      <c r="AZ224" s="156"/>
      <c r="BA224" s="156"/>
    </row>
  </sheetData>
  <mergeCells count="3730">
    <mergeCell ref="B1:Q1"/>
    <mergeCell ref="A2:P2"/>
    <mergeCell ref="A3:AZ3"/>
    <mergeCell ref="A4:P4"/>
    <mergeCell ref="A5:B6"/>
    <mergeCell ref="C5:C6"/>
    <mergeCell ref="D5:E5"/>
    <mergeCell ref="F5:F6"/>
    <mergeCell ref="G5:H5"/>
    <mergeCell ref="I5:I6"/>
    <mergeCell ref="AC5:AC6"/>
    <mergeCell ref="AD5:AE5"/>
    <mergeCell ref="AF5:AF6"/>
    <mergeCell ref="AG5:AH5"/>
    <mergeCell ref="AI5:AI6"/>
    <mergeCell ref="U5:V5"/>
    <mergeCell ref="W5:W6"/>
    <mergeCell ref="X5:Y5"/>
    <mergeCell ref="Z5:Z6"/>
    <mergeCell ref="AA5:AB5"/>
    <mergeCell ref="AX5:AX6"/>
    <mergeCell ref="AJ5:AK5"/>
    <mergeCell ref="AL5:AL6"/>
    <mergeCell ref="AM5:AN5"/>
    <mergeCell ref="AO5:AO6"/>
    <mergeCell ref="AP5:AQ5"/>
    <mergeCell ref="AG6:AH6"/>
    <mergeCell ref="AJ6:AK6"/>
    <mergeCell ref="AM6:AN6"/>
    <mergeCell ref="AP6:AQ6"/>
    <mergeCell ref="AS6:AT6"/>
    <mergeCell ref="AV6:AW6"/>
    <mergeCell ref="AR5:AR6"/>
    <mergeCell ref="AS5:AT5"/>
    <mergeCell ref="AU5:AU6"/>
    <mergeCell ref="AV5:AW5"/>
    <mergeCell ref="AY5:BA5"/>
    <mergeCell ref="D6:E6"/>
    <mergeCell ref="G6:H6"/>
    <mergeCell ref="J6:K6"/>
    <mergeCell ref="M6:N6"/>
    <mergeCell ref="P6:S6"/>
    <mergeCell ref="U6:V6"/>
    <mergeCell ref="X6:Y6"/>
    <mergeCell ref="AA6:AB6"/>
    <mergeCell ref="AD6:AE6"/>
    <mergeCell ref="AY6:BA6"/>
    <mergeCell ref="J5:K5"/>
    <mergeCell ref="L5:L6"/>
    <mergeCell ref="M5:N5"/>
    <mergeCell ref="O5:O6"/>
    <mergeCell ref="P5:S5"/>
    <mergeCell ref="T5:T6"/>
    <mergeCell ref="A7:B7"/>
    <mergeCell ref="C7:D9"/>
    <mergeCell ref="F7:G9"/>
    <mergeCell ref="I7:J9"/>
    <mergeCell ref="L7:M9"/>
    <mergeCell ref="O7:R9"/>
    <mergeCell ref="T7:U9"/>
    <mergeCell ref="W7:X9"/>
    <mergeCell ref="Z7:AA9"/>
    <mergeCell ref="AX7:AY9"/>
    <mergeCell ref="AZ7:BA7"/>
    <mergeCell ref="A8:B8"/>
    <mergeCell ref="AZ8:BA8"/>
    <mergeCell ref="A9:B9"/>
    <mergeCell ref="AZ9:BA9"/>
    <mergeCell ref="AC7:AD9"/>
    <mergeCell ref="AF7:AG9"/>
    <mergeCell ref="AI7:AJ9"/>
    <mergeCell ref="AL7:AM9"/>
    <mergeCell ref="F10:H10"/>
    <mergeCell ref="I10:K10"/>
    <mergeCell ref="L10:N10"/>
    <mergeCell ref="AU7:AV9"/>
    <mergeCell ref="AO7:AP9"/>
    <mergeCell ref="AR7:AS9"/>
    <mergeCell ref="AR10:AT10"/>
    <mergeCell ref="O10:S10"/>
    <mergeCell ref="T10:V10"/>
    <mergeCell ref="W10:Y10"/>
    <mergeCell ref="Z10:AB10"/>
    <mergeCell ref="AC10:AE10"/>
    <mergeCell ref="AL11:AN11"/>
    <mergeCell ref="AO11:AQ11"/>
    <mergeCell ref="AF10:AH10"/>
    <mergeCell ref="AI10:AK10"/>
    <mergeCell ref="AL10:AN10"/>
    <mergeCell ref="AO10:AQ10"/>
    <mergeCell ref="T11:V11"/>
    <mergeCell ref="W11:Y11"/>
    <mergeCell ref="Z11:AB11"/>
    <mergeCell ref="AC11:AE11"/>
    <mergeCell ref="AF11:AH11"/>
    <mergeCell ref="AI11:AK11"/>
    <mergeCell ref="AU10:AW10"/>
    <mergeCell ref="AX10:BA10"/>
    <mergeCell ref="A11:B11"/>
    <mergeCell ref="C11:E11"/>
    <mergeCell ref="F11:H11"/>
    <mergeCell ref="I11:K11"/>
    <mergeCell ref="L11:N11"/>
    <mergeCell ref="O11:S11"/>
    <mergeCell ref="O12:S12"/>
    <mergeCell ref="T12:V12"/>
    <mergeCell ref="W12:Y12"/>
    <mergeCell ref="Z12:AB12"/>
    <mergeCell ref="AC12:AE12"/>
    <mergeCell ref="AF12:AH12"/>
    <mergeCell ref="AF13:AH13"/>
    <mergeCell ref="AI13:AK13"/>
    <mergeCell ref="AR11:AT11"/>
    <mergeCell ref="AU11:AW11"/>
    <mergeCell ref="AX11:BA11"/>
    <mergeCell ref="A12:B12"/>
    <mergeCell ref="C12:E12"/>
    <mergeCell ref="F12:H12"/>
    <mergeCell ref="I12:K12"/>
    <mergeCell ref="L12:N12"/>
    <mergeCell ref="L13:N13"/>
    <mergeCell ref="O13:S13"/>
    <mergeCell ref="T13:V13"/>
    <mergeCell ref="W13:Y13"/>
    <mergeCell ref="Z13:AB13"/>
    <mergeCell ref="AC13:AE13"/>
    <mergeCell ref="A10:B10"/>
    <mergeCell ref="C10:E10"/>
    <mergeCell ref="AO13:AQ13"/>
    <mergeCell ref="AR13:AT13"/>
    <mergeCell ref="AU13:AW13"/>
    <mergeCell ref="AX13:BA13"/>
    <mergeCell ref="AO12:AQ12"/>
    <mergeCell ref="AR12:AT12"/>
    <mergeCell ref="AU12:AW12"/>
    <mergeCell ref="AX12:BA12"/>
    <mergeCell ref="A14:B14"/>
    <mergeCell ref="C14:E14"/>
    <mergeCell ref="F14:H14"/>
    <mergeCell ref="I14:K14"/>
    <mergeCell ref="L14:N14"/>
    <mergeCell ref="AL13:AN13"/>
    <mergeCell ref="A13:B13"/>
    <mergeCell ref="C13:E13"/>
    <mergeCell ref="F13:H13"/>
    <mergeCell ref="I13:K13"/>
    <mergeCell ref="AR14:AT14"/>
    <mergeCell ref="O14:S14"/>
    <mergeCell ref="T14:V14"/>
    <mergeCell ref="W14:Y14"/>
    <mergeCell ref="Z14:AB14"/>
    <mergeCell ref="AC14:AE14"/>
    <mergeCell ref="AI12:AK12"/>
    <mergeCell ref="AL12:AN12"/>
    <mergeCell ref="AF14:AH14"/>
    <mergeCell ref="AI14:AK14"/>
    <mergeCell ref="AL14:AN14"/>
    <mergeCell ref="AO14:AQ14"/>
    <mergeCell ref="AU14:AW14"/>
    <mergeCell ref="AX14:BA14"/>
    <mergeCell ref="A15:B15"/>
    <mergeCell ref="C15:E15"/>
    <mergeCell ref="F15:H15"/>
    <mergeCell ref="I15:K15"/>
    <mergeCell ref="L15:N15"/>
    <mergeCell ref="O15:S15"/>
    <mergeCell ref="O16:S16"/>
    <mergeCell ref="T16:V16"/>
    <mergeCell ref="W16:Y16"/>
    <mergeCell ref="Z16:AB16"/>
    <mergeCell ref="AC16:AE16"/>
    <mergeCell ref="AF16:AH16"/>
    <mergeCell ref="AR15:AT15"/>
    <mergeCell ref="AU15:AW15"/>
    <mergeCell ref="AX15:BA15"/>
    <mergeCell ref="A16:B16"/>
    <mergeCell ref="C16:E16"/>
    <mergeCell ref="F16:H16"/>
    <mergeCell ref="I16:K16"/>
    <mergeCell ref="L16:N16"/>
    <mergeCell ref="AO17:AQ17"/>
    <mergeCell ref="AR17:AT17"/>
    <mergeCell ref="AU17:AW17"/>
    <mergeCell ref="AX17:BA17"/>
    <mergeCell ref="AO16:AQ16"/>
    <mergeCell ref="AR16:AT16"/>
    <mergeCell ref="AU16:AW16"/>
    <mergeCell ref="AX16:BA16"/>
    <mergeCell ref="AL15:AN15"/>
    <mergeCell ref="AO15:AQ15"/>
    <mergeCell ref="F18:H18"/>
    <mergeCell ref="I18:K18"/>
    <mergeCell ref="L18:N18"/>
    <mergeCell ref="AL17:AN17"/>
    <mergeCell ref="AU18:AW18"/>
    <mergeCell ref="AX18:BA18"/>
    <mergeCell ref="T15:V15"/>
    <mergeCell ref="W15:Y15"/>
    <mergeCell ref="Z15:AB15"/>
    <mergeCell ref="AC15:AE15"/>
    <mergeCell ref="AF15:AH15"/>
    <mergeCell ref="AI15:AK15"/>
    <mergeCell ref="AI16:AK16"/>
    <mergeCell ref="AL16:AN16"/>
    <mergeCell ref="AC19:AE19"/>
    <mergeCell ref="AF19:AH19"/>
    <mergeCell ref="AI19:AK19"/>
    <mergeCell ref="AF17:AH17"/>
    <mergeCell ref="AI17:AK17"/>
    <mergeCell ref="A19:B19"/>
    <mergeCell ref="C19:E19"/>
    <mergeCell ref="F19:H19"/>
    <mergeCell ref="I19:K19"/>
    <mergeCell ref="L19:N19"/>
    <mergeCell ref="O19:S19"/>
    <mergeCell ref="A18:B18"/>
    <mergeCell ref="C18:E18"/>
    <mergeCell ref="L17:N17"/>
    <mergeCell ref="O17:S17"/>
    <mergeCell ref="T17:V17"/>
    <mergeCell ref="W17:Y17"/>
    <mergeCell ref="Z17:AB17"/>
    <mergeCell ref="AC17:AE17"/>
    <mergeCell ref="AU21:AW21"/>
    <mergeCell ref="AX21:BA21"/>
    <mergeCell ref="AO20:AQ20"/>
    <mergeCell ref="AR20:AT20"/>
    <mergeCell ref="AU20:AW20"/>
    <mergeCell ref="AX20:BA20"/>
    <mergeCell ref="AL21:AN21"/>
    <mergeCell ref="A21:B21"/>
    <mergeCell ref="C21:E21"/>
    <mergeCell ref="F21:H21"/>
    <mergeCell ref="I21:K21"/>
    <mergeCell ref="AI20:AK20"/>
    <mergeCell ref="AL20:AN20"/>
    <mergeCell ref="A17:B17"/>
    <mergeCell ref="C17:E17"/>
    <mergeCell ref="F17:H17"/>
    <mergeCell ref="I17:K17"/>
    <mergeCell ref="AR18:AT18"/>
    <mergeCell ref="O18:S18"/>
    <mergeCell ref="T18:V18"/>
    <mergeCell ref="W18:Y18"/>
    <mergeCell ref="Z18:AB18"/>
    <mergeCell ref="AC18:AE18"/>
    <mergeCell ref="AL19:AN19"/>
    <mergeCell ref="AO19:AQ19"/>
    <mergeCell ref="AF18:AH18"/>
    <mergeCell ref="AI18:AK18"/>
    <mergeCell ref="AL18:AN18"/>
    <mergeCell ref="AO18:AQ18"/>
    <mergeCell ref="T19:V19"/>
    <mergeCell ref="W19:Y19"/>
    <mergeCell ref="Z19:AB19"/>
    <mergeCell ref="O20:S20"/>
    <mergeCell ref="T20:V20"/>
    <mergeCell ref="W20:Y20"/>
    <mergeCell ref="Z20:AB20"/>
    <mergeCell ref="AC20:AE20"/>
    <mergeCell ref="AF20:AH20"/>
    <mergeCell ref="AF21:AH21"/>
    <mergeCell ref="AI21:AK21"/>
    <mergeCell ref="AR19:AT19"/>
    <mergeCell ref="AU19:AW19"/>
    <mergeCell ref="AU22:AW22"/>
    <mergeCell ref="AX22:BA22"/>
    <mergeCell ref="A23:B23"/>
    <mergeCell ref="C23:E23"/>
    <mergeCell ref="F23:H23"/>
    <mergeCell ref="I23:K23"/>
    <mergeCell ref="L23:N23"/>
    <mergeCell ref="O23:S23"/>
    <mergeCell ref="AX19:BA19"/>
    <mergeCell ref="A20:B20"/>
    <mergeCell ref="C20:E20"/>
    <mergeCell ref="F20:H20"/>
    <mergeCell ref="I20:K20"/>
    <mergeCell ref="L20:N20"/>
    <mergeCell ref="L21:N21"/>
    <mergeCell ref="O21:S21"/>
    <mergeCell ref="T21:V21"/>
    <mergeCell ref="W21:Y21"/>
    <mergeCell ref="Z21:AB21"/>
    <mergeCell ref="AC21:AE21"/>
    <mergeCell ref="AO21:AQ21"/>
    <mergeCell ref="AR21:AT21"/>
    <mergeCell ref="AX23:BA23"/>
    <mergeCell ref="A24:B24"/>
    <mergeCell ref="C24:E24"/>
    <mergeCell ref="F24:H24"/>
    <mergeCell ref="I24:K24"/>
    <mergeCell ref="L24:N24"/>
    <mergeCell ref="A22:B22"/>
    <mergeCell ref="C22:E22"/>
    <mergeCell ref="F22:H22"/>
    <mergeCell ref="I22:K22"/>
    <mergeCell ref="L22:N22"/>
    <mergeCell ref="AR22:AT22"/>
    <mergeCell ref="O22:S22"/>
    <mergeCell ref="T22:V22"/>
    <mergeCell ref="W22:Y22"/>
    <mergeCell ref="Z22:AB22"/>
    <mergeCell ref="AC22:AE22"/>
    <mergeCell ref="AF22:AH22"/>
    <mergeCell ref="AI22:AK22"/>
    <mergeCell ref="AL22:AN22"/>
    <mergeCell ref="AO22:AQ22"/>
    <mergeCell ref="AO25:AQ25"/>
    <mergeCell ref="AR25:AT25"/>
    <mergeCell ref="AU25:AW25"/>
    <mergeCell ref="AX25:BA25"/>
    <mergeCell ref="AO24:AQ24"/>
    <mergeCell ref="AR24:AT24"/>
    <mergeCell ref="AU24:AW24"/>
    <mergeCell ref="AX24:BA24"/>
    <mergeCell ref="AL23:AN23"/>
    <mergeCell ref="AO23:AQ23"/>
    <mergeCell ref="F26:H26"/>
    <mergeCell ref="I26:K26"/>
    <mergeCell ref="L26:N26"/>
    <mergeCell ref="AL25:AN25"/>
    <mergeCell ref="AU26:AW26"/>
    <mergeCell ref="AX26:BA26"/>
    <mergeCell ref="T23:V23"/>
    <mergeCell ref="W23:Y23"/>
    <mergeCell ref="Z23:AB23"/>
    <mergeCell ref="AC23:AE23"/>
    <mergeCell ref="AF23:AH23"/>
    <mergeCell ref="AI23:AK23"/>
    <mergeCell ref="AI24:AK24"/>
    <mergeCell ref="AL24:AN24"/>
    <mergeCell ref="O24:S24"/>
    <mergeCell ref="T24:V24"/>
    <mergeCell ref="W24:Y24"/>
    <mergeCell ref="Z24:AB24"/>
    <mergeCell ref="AC24:AE24"/>
    <mergeCell ref="AF24:AH24"/>
    <mergeCell ref="AR23:AT23"/>
    <mergeCell ref="AU23:AW23"/>
    <mergeCell ref="AC27:AE27"/>
    <mergeCell ref="AF27:AH27"/>
    <mergeCell ref="AI27:AK27"/>
    <mergeCell ref="AF25:AH25"/>
    <mergeCell ref="AI25:AK25"/>
    <mergeCell ref="A27:B27"/>
    <mergeCell ref="C27:E27"/>
    <mergeCell ref="F27:H27"/>
    <mergeCell ref="I27:K27"/>
    <mergeCell ref="L27:N27"/>
    <mergeCell ref="O27:S27"/>
    <mergeCell ref="A26:B26"/>
    <mergeCell ref="C26:E26"/>
    <mergeCell ref="L25:N25"/>
    <mergeCell ref="O25:S25"/>
    <mergeCell ref="T25:V25"/>
    <mergeCell ref="W25:Y25"/>
    <mergeCell ref="Z25:AB25"/>
    <mergeCell ref="AC25:AE25"/>
    <mergeCell ref="AU29:AW29"/>
    <mergeCell ref="AX29:BA29"/>
    <mergeCell ref="AO28:AQ28"/>
    <mergeCell ref="AR28:AT28"/>
    <mergeCell ref="AU28:AW28"/>
    <mergeCell ref="AX28:BA28"/>
    <mergeCell ref="AL29:AN29"/>
    <mergeCell ref="A29:B29"/>
    <mergeCell ref="C29:E29"/>
    <mergeCell ref="F29:H29"/>
    <mergeCell ref="I29:K29"/>
    <mergeCell ref="AI28:AK28"/>
    <mergeCell ref="AL28:AN28"/>
    <mergeCell ref="A25:B25"/>
    <mergeCell ref="C25:E25"/>
    <mergeCell ref="F25:H25"/>
    <mergeCell ref="I25:K25"/>
    <mergeCell ref="AR26:AT26"/>
    <mergeCell ref="O26:S26"/>
    <mergeCell ref="T26:V26"/>
    <mergeCell ref="W26:Y26"/>
    <mergeCell ref="Z26:AB26"/>
    <mergeCell ref="AC26:AE26"/>
    <mergeCell ref="AL27:AN27"/>
    <mergeCell ref="AO27:AQ27"/>
    <mergeCell ref="AF26:AH26"/>
    <mergeCell ref="AI26:AK26"/>
    <mergeCell ref="AL26:AN26"/>
    <mergeCell ref="AO26:AQ26"/>
    <mergeCell ref="T27:V27"/>
    <mergeCell ref="W27:Y27"/>
    <mergeCell ref="Z27:AB27"/>
    <mergeCell ref="O28:S28"/>
    <mergeCell ref="T28:V28"/>
    <mergeCell ref="W28:Y28"/>
    <mergeCell ref="Z28:AB28"/>
    <mergeCell ref="AC28:AE28"/>
    <mergeCell ref="AF28:AH28"/>
    <mergeCell ref="AF29:AH29"/>
    <mergeCell ref="AI29:AK29"/>
    <mergeCell ref="AR27:AT27"/>
    <mergeCell ref="AU27:AW27"/>
    <mergeCell ref="AU30:AW30"/>
    <mergeCell ref="AX30:BA30"/>
    <mergeCell ref="A31:B31"/>
    <mergeCell ref="C31:E31"/>
    <mergeCell ref="F31:H31"/>
    <mergeCell ref="I31:K31"/>
    <mergeCell ref="L31:N31"/>
    <mergeCell ref="O31:S31"/>
    <mergeCell ref="AX27:BA27"/>
    <mergeCell ref="A28:B28"/>
    <mergeCell ref="C28:E28"/>
    <mergeCell ref="F28:H28"/>
    <mergeCell ref="I28:K28"/>
    <mergeCell ref="L28:N28"/>
    <mergeCell ref="L29:N29"/>
    <mergeCell ref="O29:S29"/>
    <mergeCell ref="T29:V29"/>
    <mergeCell ref="W29:Y29"/>
    <mergeCell ref="Z29:AB29"/>
    <mergeCell ref="AC29:AE29"/>
    <mergeCell ref="AO29:AQ29"/>
    <mergeCell ref="AR29:AT29"/>
    <mergeCell ref="AX31:BA31"/>
    <mergeCell ref="A32:B32"/>
    <mergeCell ref="C32:E32"/>
    <mergeCell ref="F32:H32"/>
    <mergeCell ref="I32:K32"/>
    <mergeCell ref="L32:N32"/>
    <mergeCell ref="A30:B30"/>
    <mergeCell ref="C30:E30"/>
    <mergeCell ref="F30:H30"/>
    <mergeCell ref="I30:K30"/>
    <mergeCell ref="L30:N30"/>
    <mergeCell ref="AR30:AT30"/>
    <mergeCell ref="O30:S30"/>
    <mergeCell ref="T30:V30"/>
    <mergeCell ref="W30:Y30"/>
    <mergeCell ref="Z30:AB30"/>
    <mergeCell ref="AC30:AE30"/>
    <mergeCell ref="AF30:AH30"/>
    <mergeCell ref="AI30:AK30"/>
    <mergeCell ref="AL30:AN30"/>
    <mergeCell ref="AO30:AQ30"/>
    <mergeCell ref="AO33:AQ33"/>
    <mergeCell ref="AR33:AT33"/>
    <mergeCell ref="AU33:AW33"/>
    <mergeCell ref="AX33:BA33"/>
    <mergeCell ref="AO32:AQ32"/>
    <mergeCell ref="AR32:AT32"/>
    <mergeCell ref="AU32:AW32"/>
    <mergeCell ref="AX32:BA32"/>
    <mergeCell ref="AL31:AN31"/>
    <mergeCell ref="AO31:AQ31"/>
    <mergeCell ref="F34:H34"/>
    <mergeCell ref="I34:K34"/>
    <mergeCell ref="L34:N34"/>
    <mergeCell ref="AL33:AN33"/>
    <mergeCell ref="AU34:AW34"/>
    <mergeCell ref="AX34:BA34"/>
    <mergeCell ref="T31:V31"/>
    <mergeCell ref="W31:Y31"/>
    <mergeCell ref="Z31:AB31"/>
    <mergeCell ref="AC31:AE31"/>
    <mergeCell ref="AF31:AH31"/>
    <mergeCell ref="AI31:AK31"/>
    <mergeCell ref="AI32:AK32"/>
    <mergeCell ref="AL32:AN32"/>
    <mergeCell ref="O32:S32"/>
    <mergeCell ref="T32:V32"/>
    <mergeCell ref="W32:Y32"/>
    <mergeCell ref="Z32:AB32"/>
    <mergeCell ref="AC32:AE32"/>
    <mergeCell ref="AF32:AH32"/>
    <mergeCell ref="AR31:AT31"/>
    <mergeCell ref="AU31:AW31"/>
    <mergeCell ref="AC35:AE35"/>
    <mergeCell ref="AF35:AH35"/>
    <mergeCell ref="AI35:AK35"/>
    <mergeCell ref="AF33:AH33"/>
    <mergeCell ref="AI33:AK33"/>
    <mergeCell ref="A35:B35"/>
    <mergeCell ref="C35:E35"/>
    <mergeCell ref="F35:H35"/>
    <mergeCell ref="I35:K35"/>
    <mergeCell ref="L35:N35"/>
    <mergeCell ref="O35:S35"/>
    <mergeCell ref="A34:B34"/>
    <mergeCell ref="C34:E34"/>
    <mergeCell ref="L33:N33"/>
    <mergeCell ref="O33:S33"/>
    <mergeCell ref="T33:V33"/>
    <mergeCell ref="W33:Y33"/>
    <mergeCell ref="Z33:AB33"/>
    <mergeCell ref="AC33:AE33"/>
    <mergeCell ref="AU37:AW37"/>
    <mergeCell ref="AX37:BA37"/>
    <mergeCell ref="AO36:AQ36"/>
    <mergeCell ref="AR36:AT36"/>
    <mergeCell ref="AU36:AW36"/>
    <mergeCell ref="AX36:BA36"/>
    <mergeCell ref="AL37:AN37"/>
    <mergeCell ref="A37:B37"/>
    <mergeCell ref="C37:E37"/>
    <mergeCell ref="F37:H37"/>
    <mergeCell ref="I37:K37"/>
    <mergeCell ref="AI36:AK36"/>
    <mergeCell ref="AL36:AN36"/>
    <mergeCell ref="A33:B33"/>
    <mergeCell ref="C33:E33"/>
    <mergeCell ref="F33:H33"/>
    <mergeCell ref="I33:K33"/>
    <mergeCell ref="AR34:AT34"/>
    <mergeCell ref="O34:S34"/>
    <mergeCell ref="T34:V34"/>
    <mergeCell ref="W34:Y34"/>
    <mergeCell ref="Z34:AB34"/>
    <mergeCell ref="AC34:AE34"/>
    <mergeCell ref="AL35:AN35"/>
    <mergeCell ref="AO35:AQ35"/>
    <mergeCell ref="AF34:AH34"/>
    <mergeCell ref="AI34:AK34"/>
    <mergeCell ref="AL34:AN34"/>
    <mergeCell ref="AO34:AQ34"/>
    <mergeCell ref="T35:V35"/>
    <mergeCell ref="W35:Y35"/>
    <mergeCell ref="Z35:AB35"/>
    <mergeCell ref="O36:S36"/>
    <mergeCell ref="T36:V36"/>
    <mergeCell ref="W36:Y36"/>
    <mergeCell ref="Z36:AB36"/>
    <mergeCell ref="AC36:AE36"/>
    <mergeCell ref="AF36:AH36"/>
    <mergeCell ref="AF37:AH37"/>
    <mergeCell ref="AI37:AK37"/>
    <mergeCell ref="AR35:AT35"/>
    <mergeCell ref="AU35:AW35"/>
    <mergeCell ref="AU38:AW38"/>
    <mergeCell ref="AX38:BA38"/>
    <mergeCell ref="A39:B39"/>
    <mergeCell ref="C39:E39"/>
    <mergeCell ref="F39:H39"/>
    <mergeCell ref="I39:K39"/>
    <mergeCell ref="L39:N39"/>
    <mergeCell ref="O39:S39"/>
    <mergeCell ref="AX35:BA35"/>
    <mergeCell ref="A36:B36"/>
    <mergeCell ref="C36:E36"/>
    <mergeCell ref="F36:H36"/>
    <mergeCell ref="I36:K36"/>
    <mergeCell ref="L36:N36"/>
    <mergeCell ref="L37:N37"/>
    <mergeCell ref="O37:S37"/>
    <mergeCell ref="T37:V37"/>
    <mergeCell ref="W37:Y37"/>
    <mergeCell ref="Z37:AB37"/>
    <mergeCell ref="AC37:AE37"/>
    <mergeCell ref="AO37:AQ37"/>
    <mergeCell ref="AR37:AT37"/>
    <mergeCell ref="AX39:BA39"/>
    <mergeCell ref="A40:B40"/>
    <mergeCell ref="C40:E40"/>
    <mergeCell ref="F40:H40"/>
    <mergeCell ref="I40:K40"/>
    <mergeCell ref="L40:N40"/>
    <mergeCell ref="A38:B38"/>
    <mergeCell ref="C38:E38"/>
    <mergeCell ref="F38:H38"/>
    <mergeCell ref="I38:K38"/>
    <mergeCell ref="L38:N38"/>
    <mergeCell ref="AR38:AT38"/>
    <mergeCell ref="O38:S38"/>
    <mergeCell ref="T38:V38"/>
    <mergeCell ref="W38:Y38"/>
    <mergeCell ref="Z38:AB38"/>
    <mergeCell ref="AC38:AE38"/>
    <mergeCell ref="AF38:AH38"/>
    <mergeCell ref="AI38:AK38"/>
    <mergeCell ref="AL38:AN38"/>
    <mergeCell ref="AO38:AQ38"/>
    <mergeCell ref="AO41:AQ41"/>
    <mergeCell ref="AR41:AT41"/>
    <mergeCell ref="AU41:AW41"/>
    <mergeCell ref="AX41:BA41"/>
    <mergeCell ref="AO40:AQ40"/>
    <mergeCell ref="AR40:AT40"/>
    <mergeCell ref="AU40:AW40"/>
    <mergeCell ref="AX40:BA40"/>
    <mergeCell ref="AL39:AN39"/>
    <mergeCell ref="AO39:AQ39"/>
    <mergeCell ref="F42:H42"/>
    <mergeCell ref="I42:K42"/>
    <mergeCell ref="L42:N42"/>
    <mergeCell ref="AL41:AN41"/>
    <mergeCell ref="AU42:AW42"/>
    <mergeCell ref="AX42:BA42"/>
    <mergeCell ref="T39:V39"/>
    <mergeCell ref="W39:Y39"/>
    <mergeCell ref="Z39:AB39"/>
    <mergeCell ref="AC39:AE39"/>
    <mergeCell ref="AF39:AH39"/>
    <mergeCell ref="AI39:AK39"/>
    <mergeCell ref="AI40:AK40"/>
    <mergeCell ref="AL40:AN40"/>
    <mergeCell ref="O40:S40"/>
    <mergeCell ref="T40:V40"/>
    <mergeCell ref="W40:Y40"/>
    <mergeCell ref="Z40:AB40"/>
    <mergeCell ref="AC40:AE40"/>
    <mergeCell ref="AF40:AH40"/>
    <mergeCell ref="AR39:AT39"/>
    <mergeCell ref="AU39:AW39"/>
    <mergeCell ref="AC43:AE43"/>
    <mergeCell ref="AF43:AH43"/>
    <mergeCell ref="AI43:AK43"/>
    <mergeCell ref="AF41:AH41"/>
    <mergeCell ref="AI41:AK41"/>
    <mergeCell ref="A43:B43"/>
    <mergeCell ref="C43:E43"/>
    <mergeCell ref="F43:H43"/>
    <mergeCell ref="I43:K43"/>
    <mergeCell ref="L43:N43"/>
    <mergeCell ref="O43:S43"/>
    <mergeCell ref="A42:B42"/>
    <mergeCell ref="C42:E42"/>
    <mergeCell ref="L41:N41"/>
    <mergeCell ref="O41:S41"/>
    <mergeCell ref="T41:V41"/>
    <mergeCell ref="W41:Y41"/>
    <mergeCell ref="Z41:AB41"/>
    <mergeCell ref="AC41:AE41"/>
    <mergeCell ref="AU45:AW45"/>
    <mergeCell ref="AX45:BA45"/>
    <mergeCell ref="AO44:AQ44"/>
    <mergeCell ref="AR44:AT44"/>
    <mergeCell ref="AU44:AW44"/>
    <mergeCell ref="AX44:BA44"/>
    <mergeCell ref="AL45:AN45"/>
    <mergeCell ref="A45:B45"/>
    <mergeCell ref="C45:E45"/>
    <mergeCell ref="F45:H45"/>
    <mergeCell ref="I45:K45"/>
    <mergeCell ref="AI44:AK44"/>
    <mergeCell ref="AL44:AN44"/>
    <mergeCell ref="A41:B41"/>
    <mergeCell ref="C41:E41"/>
    <mergeCell ref="F41:H41"/>
    <mergeCell ref="I41:K41"/>
    <mergeCell ref="AR42:AT42"/>
    <mergeCell ref="O42:S42"/>
    <mergeCell ref="T42:V42"/>
    <mergeCell ref="W42:Y42"/>
    <mergeCell ref="Z42:AB42"/>
    <mergeCell ref="AC42:AE42"/>
    <mergeCell ref="AL43:AN43"/>
    <mergeCell ref="AO43:AQ43"/>
    <mergeCell ref="AF42:AH42"/>
    <mergeCell ref="AI42:AK42"/>
    <mergeCell ref="AL42:AN42"/>
    <mergeCell ref="AO42:AQ42"/>
    <mergeCell ref="T43:V43"/>
    <mergeCell ref="W43:Y43"/>
    <mergeCell ref="Z43:AB43"/>
    <mergeCell ref="O44:S44"/>
    <mergeCell ref="T44:V44"/>
    <mergeCell ref="W44:Y44"/>
    <mergeCell ref="Z44:AB44"/>
    <mergeCell ref="AC44:AE44"/>
    <mergeCell ref="AF44:AH44"/>
    <mergeCell ref="AF45:AH45"/>
    <mergeCell ref="AI45:AK45"/>
    <mergeCell ref="AR43:AT43"/>
    <mergeCell ref="AU43:AW43"/>
    <mergeCell ref="AU46:AW46"/>
    <mergeCell ref="AX46:BA46"/>
    <mergeCell ref="A47:B47"/>
    <mergeCell ref="C47:E47"/>
    <mergeCell ref="F47:H47"/>
    <mergeCell ref="I47:K47"/>
    <mergeCell ref="L47:N47"/>
    <mergeCell ref="O47:S47"/>
    <mergeCell ref="AX43:BA43"/>
    <mergeCell ref="A44:B44"/>
    <mergeCell ref="C44:E44"/>
    <mergeCell ref="F44:H44"/>
    <mergeCell ref="I44:K44"/>
    <mergeCell ref="L44:N44"/>
    <mergeCell ref="L45:N45"/>
    <mergeCell ref="O45:S45"/>
    <mergeCell ref="T45:V45"/>
    <mergeCell ref="W45:Y45"/>
    <mergeCell ref="Z45:AB45"/>
    <mergeCell ref="AC45:AE45"/>
    <mergeCell ref="AO45:AQ45"/>
    <mergeCell ref="AR45:AT45"/>
    <mergeCell ref="AX47:BA47"/>
    <mergeCell ref="A48:B48"/>
    <mergeCell ref="C48:E48"/>
    <mergeCell ref="F48:H48"/>
    <mergeCell ref="I48:K48"/>
    <mergeCell ref="L48:N48"/>
    <mergeCell ref="A46:B46"/>
    <mergeCell ref="C46:E46"/>
    <mergeCell ref="F46:H46"/>
    <mergeCell ref="I46:K46"/>
    <mergeCell ref="L46:N46"/>
    <mergeCell ref="AR46:AT46"/>
    <mergeCell ref="O46:S46"/>
    <mergeCell ref="T46:V46"/>
    <mergeCell ref="W46:Y46"/>
    <mergeCell ref="Z46:AB46"/>
    <mergeCell ref="AC46:AE46"/>
    <mergeCell ref="AF46:AH46"/>
    <mergeCell ref="AI46:AK46"/>
    <mergeCell ref="AL46:AN46"/>
    <mergeCell ref="AO46:AQ46"/>
    <mergeCell ref="AO49:AQ49"/>
    <mergeCell ref="AR49:AT49"/>
    <mergeCell ref="AU49:AW49"/>
    <mergeCell ref="AX49:BA49"/>
    <mergeCell ref="AO48:AQ48"/>
    <mergeCell ref="AR48:AT48"/>
    <mergeCell ref="AU48:AW48"/>
    <mergeCell ref="AX48:BA48"/>
    <mergeCell ref="AL47:AN47"/>
    <mergeCell ref="AO47:AQ47"/>
    <mergeCell ref="F50:H50"/>
    <mergeCell ref="I50:K50"/>
    <mergeCell ref="L50:N50"/>
    <mergeCell ref="AL49:AN49"/>
    <mergeCell ref="AU50:AW50"/>
    <mergeCell ref="AX50:BA50"/>
    <mergeCell ref="T47:V47"/>
    <mergeCell ref="W47:Y47"/>
    <mergeCell ref="Z47:AB47"/>
    <mergeCell ref="AC47:AE47"/>
    <mergeCell ref="AF47:AH47"/>
    <mergeCell ref="AI47:AK47"/>
    <mergeCell ref="AI48:AK48"/>
    <mergeCell ref="AL48:AN48"/>
    <mergeCell ref="O48:S48"/>
    <mergeCell ref="T48:V48"/>
    <mergeCell ref="W48:Y48"/>
    <mergeCell ref="Z48:AB48"/>
    <mergeCell ref="AC48:AE48"/>
    <mergeCell ref="AF48:AH48"/>
    <mergeCell ref="AR47:AT47"/>
    <mergeCell ref="AU47:AW47"/>
    <mergeCell ref="AC51:AE51"/>
    <mergeCell ref="AF51:AH51"/>
    <mergeCell ref="AI51:AK51"/>
    <mergeCell ref="AF49:AH49"/>
    <mergeCell ref="AI49:AK49"/>
    <mergeCell ref="A51:B51"/>
    <mergeCell ref="C51:E51"/>
    <mergeCell ref="F51:H51"/>
    <mergeCell ref="I51:K51"/>
    <mergeCell ref="L51:N51"/>
    <mergeCell ref="O51:S51"/>
    <mergeCell ref="A50:B50"/>
    <mergeCell ref="C50:E50"/>
    <mergeCell ref="L49:N49"/>
    <mergeCell ref="O49:S49"/>
    <mergeCell ref="T49:V49"/>
    <mergeCell ref="W49:Y49"/>
    <mergeCell ref="Z49:AB49"/>
    <mergeCell ref="AC49:AE49"/>
    <mergeCell ref="AU53:AW53"/>
    <mergeCell ref="AX53:BA53"/>
    <mergeCell ref="AO52:AQ52"/>
    <mergeCell ref="AR52:AT52"/>
    <mergeCell ref="AU52:AW52"/>
    <mergeCell ref="AX52:BA52"/>
    <mergeCell ref="AL53:AN53"/>
    <mergeCell ref="A53:B53"/>
    <mergeCell ref="C53:E53"/>
    <mergeCell ref="F53:H53"/>
    <mergeCell ref="I53:K53"/>
    <mergeCell ref="AI52:AK52"/>
    <mergeCell ref="AL52:AN52"/>
    <mergeCell ref="A49:B49"/>
    <mergeCell ref="C49:E49"/>
    <mergeCell ref="F49:H49"/>
    <mergeCell ref="I49:K49"/>
    <mergeCell ref="AR50:AT50"/>
    <mergeCell ref="O50:S50"/>
    <mergeCell ref="T50:V50"/>
    <mergeCell ref="W50:Y50"/>
    <mergeCell ref="Z50:AB50"/>
    <mergeCell ref="AC50:AE50"/>
    <mergeCell ref="AL51:AN51"/>
    <mergeCell ref="AO51:AQ51"/>
    <mergeCell ref="AF50:AH50"/>
    <mergeCell ref="AI50:AK50"/>
    <mergeCell ref="AL50:AN50"/>
    <mergeCell ref="AO50:AQ50"/>
    <mergeCell ref="T51:V51"/>
    <mergeCell ref="W51:Y51"/>
    <mergeCell ref="Z51:AB51"/>
    <mergeCell ref="O52:S52"/>
    <mergeCell ref="T52:V52"/>
    <mergeCell ref="W52:Y52"/>
    <mergeCell ref="Z52:AB52"/>
    <mergeCell ref="AC52:AE52"/>
    <mergeCell ref="AF52:AH52"/>
    <mergeCell ref="AF53:AH53"/>
    <mergeCell ref="AI53:AK53"/>
    <mergeCell ref="AR51:AT51"/>
    <mergeCell ref="AU51:AW51"/>
    <mergeCell ref="AU54:AW54"/>
    <mergeCell ref="AX54:BA54"/>
    <mergeCell ref="A55:B55"/>
    <mergeCell ref="C55:E55"/>
    <mergeCell ref="F55:H55"/>
    <mergeCell ref="I55:K55"/>
    <mergeCell ref="L55:N55"/>
    <mergeCell ref="O55:S55"/>
    <mergeCell ref="AX51:BA51"/>
    <mergeCell ref="A52:B52"/>
    <mergeCell ref="C52:E52"/>
    <mergeCell ref="F52:H52"/>
    <mergeCell ref="I52:K52"/>
    <mergeCell ref="L52:N52"/>
    <mergeCell ref="L53:N53"/>
    <mergeCell ref="O53:S53"/>
    <mergeCell ref="T53:V53"/>
    <mergeCell ref="W53:Y53"/>
    <mergeCell ref="Z53:AB53"/>
    <mergeCell ref="AC53:AE53"/>
    <mergeCell ref="AO53:AQ53"/>
    <mergeCell ref="AR53:AT53"/>
    <mergeCell ref="AX55:BA55"/>
    <mergeCell ref="A56:B56"/>
    <mergeCell ref="C56:E56"/>
    <mergeCell ref="F56:H56"/>
    <mergeCell ref="I56:K56"/>
    <mergeCell ref="L56:N56"/>
    <mergeCell ref="A54:B54"/>
    <mergeCell ref="C54:E54"/>
    <mergeCell ref="F54:H54"/>
    <mergeCell ref="I54:K54"/>
    <mergeCell ref="L54:N54"/>
    <mergeCell ref="AR54:AT54"/>
    <mergeCell ref="O54:S54"/>
    <mergeCell ref="T54:V54"/>
    <mergeCell ref="W54:Y54"/>
    <mergeCell ref="Z54:AB54"/>
    <mergeCell ref="AC54:AE54"/>
    <mergeCell ref="AF54:AH54"/>
    <mergeCell ref="AI54:AK54"/>
    <mergeCell ref="AL54:AN54"/>
    <mergeCell ref="AO54:AQ54"/>
    <mergeCell ref="AO57:AQ57"/>
    <mergeCell ref="AR57:AT57"/>
    <mergeCell ref="AU57:AW57"/>
    <mergeCell ref="AX57:BA57"/>
    <mergeCell ref="AO56:AQ56"/>
    <mergeCell ref="AR56:AT56"/>
    <mergeCell ref="AU56:AW56"/>
    <mergeCell ref="AX56:BA56"/>
    <mergeCell ref="AL55:AN55"/>
    <mergeCell ref="AO55:AQ55"/>
    <mergeCell ref="F58:H58"/>
    <mergeCell ref="I58:K58"/>
    <mergeCell ref="L58:N58"/>
    <mergeCell ref="AL57:AN57"/>
    <mergeCell ref="AU58:AW58"/>
    <mergeCell ref="AX58:BA58"/>
    <mergeCell ref="T55:V55"/>
    <mergeCell ref="W55:Y55"/>
    <mergeCell ref="Z55:AB55"/>
    <mergeCell ref="AC55:AE55"/>
    <mergeCell ref="AF55:AH55"/>
    <mergeCell ref="AI55:AK55"/>
    <mergeCell ref="AI56:AK56"/>
    <mergeCell ref="AL56:AN56"/>
    <mergeCell ref="O56:S56"/>
    <mergeCell ref="T56:V56"/>
    <mergeCell ref="W56:Y56"/>
    <mergeCell ref="Z56:AB56"/>
    <mergeCell ref="AC56:AE56"/>
    <mergeCell ref="AF56:AH56"/>
    <mergeCell ref="AR55:AT55"/>
    <mergeCell ref="AU55:AW55"/>
    <mergeCell ref="AC59:AE59"/>
    <mergeCell ref="AF59:AH59"/>
    <mergeCell ref="AI59:AK59"/>
    <mergeCell ref="AF57:AH57"/>
    <mergeCell ref="AI57:AK57"/>
    <mergeCell ref="A59:B59"/>
    <mergeCell ref="C59:E59"/>
    <mergeCell ref="F59:H59"/>
    <mergeCell ref="I59:K59"/>
    <mergeCell ref="L59:N59"/>
    <mergeCell ref="O59:S59"/>
    <mergeCell ref="A58:B58"/>
    <mergeCell ref="C58:E58"/>
    <mergeCell ref="L57:N57"/>
    <mergeCell ref="O57:S57"/>
    <mergeCell ref="T57:V57"/>
    <mergeCell ref="W57:Y57"/>
    <mergeCell ref="Z57:AB57"/>
    <mergeCell ref="AC57:AE57"/>
    <mergeCell ref="AU61:AW61"/>
    <mergeCell ref="AX61:BA61"/>
    <mergeCell ref="AO60:AQ60"/>
    <mergeCell ref="AR60:AT60"/>
    <mergeCell ref="AU60:AW60"/>
    <mergeCell ref="AX60:BA60"/>
    <mergeCell ref="AL61:AN61"/>
    <mergeCell ref="A61:B61"/>
    <mergeCell ref="C61:E61"/>
    <mergeCell ref="F61:H61"/>
    <mergeCell ref="I61:K61"/>
    <mergeCell ref="AI60:AK60"/>
    <mergeCell ref="AL60:AN60"/>
    <mergeCell ref="A57:B57"/>
    <mergeCell ref="C57:E57"/>
    <mergeCell ref="F57:H57"/>
    <mergeCell ref="I57:K57"/>
    <mergeCell ref="AR58:AT58"/>
    <mergeCell ref="O58:S58"/>
    <mergeCell ref="T58:V58"/>
    <mergeCell ref="W58:Y58"/>
    <mergeCell ref="Z58:AB58"/>
    <mergeCell ref="AC58:AE58"/>
    <mergeCell ref="AL59:AN59"/>
    <mergeCell ref="AO59:AQ59"/>
    <mergeCell ref="AF58:AH58"/>
    <mergeCell ref="AI58:AK58"/>
    <mergeCell ref="AL58:AN58"/>
    <mergeCell ref="AO58:AQ58"/>
    <mergeCell ref="T59:V59"/>
    <mergeCell ref="W59:Y59"/>
    <mergeCell ref="Z59:AB59"/>
    <mergeCell ref="O60:S60"/>
    <mergeCell ref="T60:V60"/>
    <mergeCell ref="W60:Y60"/>
    <mergeCell ref="Z60:AB60"/>
    <mergeCell ref="AC60:AE60"/>
    <mergeCell ref="AF60:AH60"/>
    <mergeCell ref="AF61:AH61"/>
    <mergeCell ref="AI61:AK61"/>
    <mergeCell ref="AR59:AT59"/>
    <mergeCell ref="AU59:AW59"/>
    <mergeCell ref="AU62:AW62"/>
    <mergeCell ref="AX62:BA62"/>
    <mergeCell ref="A63:B63"/>
    <mergeCell ref="C63:E63"/>
    <mergeCell ref="F63:H63"/>
    <mergeCell ref="I63:K63"/>
    <mergeCell ref="L63:N63"/>
    <mergeCell ref="O63:S63"/>
    <mergeCell ref="AX59:BA59"/>
    <mergeCell ref="A60:B60"/>
    <mergeCell ref="C60:E60"/>
    <mergeCell ref="F60:H60"/>
    <mergeCell ref="I60:K60"/>
    <mergeCell ref="L60:N60"/>
    <mergeCell ref="L61:N61"/>
    <mergeCell ref="O61:S61"/>
    <mergeCell ref="T61:V61"/>
    <mergeCell ref="W61:Y61"/>
    <mergeCell ref="Z61:AB61"/>
    <mergeCell ref="AC61:AE61"/>
    <mergeCell ref="AO61:AQ61"/>
    <mergeCell ref="AR61:AT61"/>
    <mergeCell ref="AX63:BA63"/>
    <mergeCell ref="A64:B64"/>
    <mergeCell ref="C64:E64"/>
    <mergeCell ref="F64:H64"/>
    <mergeCell ref="I64:K64"/>
    <mergeCell ref="L64:N64"/>
    <mergeCell ref="A62:B62"/>
    <mergeCell ref="C62:E62"/>
    <mergeCell ref="F62:H62"/>
    <mergeCell ref="I62:K62"/>
    <mergeCell ref="L62:N62"/>
    <mergeCell ref="AR62:AT62"/>
    <mergeCell ref="O62:S62"/>
    <mergeCell ref="T62:V62"/>
    <mergeCell ref="W62:Y62"/>
    <mergeCell ref="Z62:AB62"/>
    <mergeCell ref="AC62:AE62"/>
    <mergeCell ref="AF62:AH62"/>
    <mergeCell ref="AI62:AK62"/>
    <mergeCell ref="AL62:AN62"/>
    <mergeCell ref="AO62:AQ62"/>
    <mergeCell ref="AO65:AQ65"/>
    <mergeCell ref="AR65:AT65"/>
    <mergeCell ref="AU65:AW65"/>
    <mergeCell ref="AX65:BA65"/>
    <mergeCell ref="AO64:AQ64"/>
    <mergeCell ref="AR64:AT64"/>
    <mergeCell ref="AU64:AW64"/>
    <mergeCell ref="AX64:BA64"/>
    <mergeCell ref="AL63:AN63"/>
    <mergeCell ref="AO63:AQ63"/>
    <mergeCell ref="F66:H66"/>
    <mergeCell ref="I66:K66"/>
    <mergeCell ref="L66:N66"/>
    <mergeCell ref="AL65:AN65"/>
    <mergeCell ref="AU66:AW66"/>
    <mergeCell ref="AX66:BA66"/>
    <mergeCell ref="T63:V63"/>
    <mergeCell ref="W63:Y63"/>
    <mergeCell ref="Z63:AB63"/>
    <mergeCell ref="AC63:AE63"/>
    <mergeCell ref="AF63:AH63"/>
    <mergeCell ref="AI63:AK63"/>
    <mergeCell ref="AI64:AK64"/>
    <mergeCell ref="AL64:AN64"/>
    <mergeCell ref="O64:S64"/>
    <mergeCell ref="T64:V64"/>
    <mergeCell ref="W64:Y64"/>
    <mergeCell ref="Z64:AB64"/>
    <mergeCell ref="AC64:AE64"/>
    <mergeCell ref="AF64:AH64"/>
    <mergeCell ref="AR63:AT63"/>
    <mergeCell ref="AU63:AW63"/>
    <mergeCell ref="AC67:AE67"/>
    <mergeCell ref="AF67:AH67"/>
    <mergeCell ref="AI67:AK67"/>
    <mergeCell ref="AF65:AH65"/>
    <mergeCell ref="AI65:AK65"/>
    <mergeCell ref="A67:B67"/>
    <mergeCell ref="C67:E67"/>
    <mergeCell ref="F67:H67"/>
    <mergeCell ref="I67:K67"/>
    <mergeCell ref="L67:N67"/>
    <mergeCell ref="O67:S67"/>
    <mergeCell ref="A66:B66"/>
    <mergeCell ref="C66:E66"/>
    <mergeCell ref="L65:N65"/>
    <mergeCell ref="O65:S65"/>
    <mergeCell ref="T65:V65"/>
    <mergeCell ref="W65:Y65"/>
    <mergeCell ref="Z65:AB65"/>
    <mergeCell ref="AC65:AE65"/>
    <mergeCell ref="AU69:AW69"/>
    <mergeCell ref="AX69:BA69"/>
    <mergeCell ref="AO68:AQ68"/>
    <mergeCell ref="AR68:AT68"/>
    <mergeCell ref="AU68:AW68"/>
    <mergeCell ref="AX68:BA68"/>
    <mergeCell ref="AL69:AN69"/>
    <mergeCell ref="A69:B69"/>
    <mergeCell ref="C69:E69"/>
    <mergeCell ref="F69:H69"/>
    <mergeCell ref="I69:K69"/>
    <mergeCell ref="AI68:AK68"/>
    <mergeCell ref="AL68:AN68"/>
    <mergeCell ref="A65:B65"/>
    <mergeCell ref="C65:E65"/>
    <mergeCell ref="F65:H65"/>
    <mergeCell ref="I65:K65"/>
    <mergeCell ref="AR66:AT66"/>
    <mergeCell ref="O66:S66"/>
    <mergeCell ref="T66:V66"/>
    <mergeCell ref="W66:Y66"/>
    <mergeCell ref="Z66:AB66"/>
    <mergeCell ref="AC66:AE66"/>
    <mergeCell ref="AL67:AN67"/>
    <mergeCell ref="AO67:AQ67"/>
    <mergeCell ref="AF66:AH66"/>
    <mergeCell ref="AI66:AK66"/>
    <mergeCell ref="AL66:AN66"/>
    <mergeCell ref="AO66:AQ66"/>
    <mergeCell ref="T67:V67"/>
    <mergeCell ref="W67:Y67"/>
    <mergeCell ref="Z67:AB67"/>
    <mergeCell ref="O68:S68"/>
    <mergeCell ref="T68:V68"/>
    <mergeCell ref="W68:Y68"/>
    <mergeCell ref="Z68:AB68"/>
    <mergeCell ref="AC68:AE68"/>
    <mergeCell ref="AF68:AH68"/>
    <mergeCell ref="AF69:AH69"/>
    <mergeCell ref="AI69:AK69"/>
    <mergeCell ref="AR67:AT67"/>
    <mergeCell ref="AU67:AW67"/>
    <mergeCell ref="AU70:AW70"/>
    <mergeCell ref="AX70:BA70"/>
    <mergeCell ref="A71:B71"/>
    <mergeCell ref="C71:E71"/>
    <mergeCell ref="F71:H71"/>
    <mergeCell ref="I71:K71"/>
    <mergeCell ref="L71:N71"/>
    <mergeCell ref="O71:S71"/>
    <mergeCell ref="AX67:BA67"/>
    <mergeCell ref="A68:B68"/>
    <mergeCell ref="C68:E68"/>
    <mergeCell ref="F68:H68"/>
    <mergeCell ref="I68:K68"/>
    <mergeCell ref="L68:N68"/>
    <mergeCell ref="L69:N69"/>
    <mergeCell ref="O69:S69"/>
    <mergeCell ref="T69:V69"/>
    <mergeCell ref="W69:Y69"/>
    <mergeCell ref="Z69:AB69"/>
    <mergeCell ref="AC69:AE69"/>
    <mergeCell ref="AO69:AQ69"/>
    <mergeCell ref="AR69:AT69"/>
    <mergeCell ref="AX71:BA71"/>
    <mergeCell ref="A72:B72"/>
    <mergeCell ref="C72:E72"/>
    <mergeCell ref="F72:H72"/>
    <mergeCell ref="I72:K72"/>
    <mergeCell ref="L72:N72"/>
    <mergeCell ref="A70:B70"/>
    <mergeCell ref="C70:E70"/>
    <mergeCell ref="F70:H70"/>
    <mergeCell ref="I70:K70"/>
    <mergeCell ref="L70:N70"/>
    <mergeCell ref="AR70:AT70"/>
    <mergeCell ref="O70:S70"/>
    <mergeCell ref="T70:V70"/>
    <mergeCell ref="W70:Y70"/>
    <mergeCell ref="Z70:AB70"/>
    <mergeCell ref="AC70:AE70"/>
    <mergeCell ref="AF70:AH70"/>
    <mergeCell ref="AI70:AK70"/>
    <mergeCell ref="AL70:AN70"/>
    <mergeCell ref="AO70:AQ70"/>
    <mergeCell ref="AO73:AQ73"/>
    <mergeCell ref="AR73:AT73"/>
    <mergeCell ref="AU73:AW73"/>
    <mergeCell ref="AX73:BA73"/>
    <mergeCell ref="AO72:AQ72"/>
    <mergeCell ref="AR72:AT72"/>
    <mergeCell ref="AU72:AW72"/>
    <mergeCell ref="AX72:BA72"/>
    <mergeCell ref="AL71:AN71"/>
    <mergeCell ref="AO71:AQ71"/>
    <mergeCell ref="F74:H74"/>
    <mergeCell ref="I74:K74"/>
    <mergeCell ref="L74:N74"/>
    <mergeCell ref="AL73:AN73"/>
    <mergeCell ref="AU74:AW74"/>
    <mergeCell ref="AX74:BA74"/>
    <mergeCell ref="T71:V71"/>
    <mergeCell ref="W71:Y71"/>
    <mergeCell ref="Z71:AB71"/>
    <mergeCell ref="AC71:AE71"/>
    <mergeCell ref="AF71:AH71"/>
    <mergeCell ref="AI71:AK71"/>
    <mergeCell ref="AI72:AK72"/>
    <mergeCell ref="AL72:AN72"/>
    <mergeCell ref="O72:S72"/>
    <mergeCell ref="T72:V72"/>
    <mergeCell ref="W72:Y72"/>
    <mergeCell ref="Z72:AB72"/>
    <mergeCell ref="AC72:AE72"/>
    <mergeCell ref="AF72:AH72"/>
    <mergeCell ref="AR71:AT71"/>
    <mergeCell ref="AU71:AW71"/>
    <mergeCell ref="AC75:AE75"/>
    <mergeCell ref="AF75:AH75"/>
    <mergeCell ref="AI75:AK75"/>
    <mergeCell ref="AF73:AH73"/>
    <mergeCell ref="AI73:AK73"/>
    <mergeCell ref="A75:B75"/>
    <mergeCell ref="C75:E75"/>
    <mergeCell ref="F75:H75"/>
    <mergeCell ref="I75:K75"/>
    <mergeCell ref="L75:N75"/>
    <mergeCell ref="O75:S75"/>
    <mergeCell ref="A74:B74"/>
    <mergeCell ref="C74:E74"/>
    <mergeCell ref="L73:N73"/>
    <mergeCell ref="O73:S73"/>
    <mergeCell ref="T73:V73"/>
    <mergeCell ref="W73:Y73"/>
    <mergeCell ref="Z73:AB73"/>
    <mergeCell ref="AC73:AE73"/>
    <mergeCell ref="AU77:AW77"/>
    <mergeCell ref="AX77:BA77"/>
    <mergeCell ref="AO76:AQ76"/>
    <mergeCell ref="AR76:AT76"/>
    <mergeCell ref="AU76:AW76"/>
    <mergeCell ref="AX76:BA76"/>
    <mergeCell ref="AL77:AN77"/>
    <mergeCell ref="A77:B77"/>
    <mergeCell ref="C77:E77"/>
    <mergeCell ref="F77:H77"/>
    <mergeCell ref="I77:K77"/>
    <mergeCell ref="AI76:AK76"/>
    <mergeCell ref="AL76:AN76"/>
    <mergeCell ref="A73:B73"/>
    <mergeCell ref="C73:E73"/>
    <mergeCell ref="F73:H73"/>
    <mergeCell ref="I73:K73"/>
    <mergeCell ref="AR74:AT74"/>
    <mergeCell ref="O74:S74"/>
    <mergeCell ref="T74:V74"/>
    <mergeCell ref="W74:Y74"/>
    <mergeCell ref="Z74:AB74"/>
    <mergeCell ref="AC74:AE74"/>
    <mergeCell ref="AL75:AN75"/>
    <mergeCell ref="AO75:AQ75"/>
    <mergeCell ref="AF74:AH74"/>
    <mergeCell ref="AI74:AK74"/>
    <mergeCell ref="AL74:AN74"/>
    <mergeCell ref="AO74:AQ74"/>
    <mergeCell ref="T75:V75"/>
    <mergeCell ref="W75:Y75"/>
    <mergeCell ref="Z75:AB75"/>
    <mergeCell ref="O76:S76"/>
    <mergeCell ref="T76:V76"/>
    <mergeCell ref="W76:Y76"/>
    <mergeCell ref="Z76:AB76"/>
    <mergeCell ref="AC76:AE76"/>
    <mergeCell ref="AF76:AH76"/>
    <mergeCell ref="AF77:AH77"/>
    <mergeCell ref="AI77:AK77"/>
    <mergeCell ref="AR75:AT75"/>
    <mergeCell ref="AU75:AW75"/>
    <mergeCell ref="AU78:AW78"/>
    <mergeCell ref="AX78:BA78"/>
    <mergeCell ref="A79:B79"/>
    <mergeCell ref="C79:E79"/>
    <mergeCell ref="F79:H79"/>
    <mergeCell ref="I79:K79"/>
    <mergeCell ref="L79:N79"/>
    <mergeCell ref="O79:S79"/>
    <mergeCell ref="AX75:BA75"/>
    <mergeCell ref="A76:B76"/>
    <mergeCell ref="C76:E76"/>
    <mergeCell ref="F76:H76"/>
    <mergeCell ref="I76:K76"/>
    <mergeCell ref="L76:N76"/>
    <mergeCell ref="L77:N77"/>
    <mergeCell ref="O77:S77"/>
    <mergeCell ref="T77:V77"/>
    <mergeCell ref="W77:Y77"/>
    <mergeCell ref="Z77:AB77"/>
    <mergeCell ref="AC77:AE77"/>
    <mergeCell ref="AO77:AQ77"/>
    <mergeCell ref="AR77:AT77"/>
    <mergeCell ref="AX79:BA79"/>
    <mergeCell ref="A80:B80"/>
    <mergeCell ref="C80:E80"/>
    <mergeCell ref="F80:H80"/>
    <mergeCell ref="I80:K80"/>
    <mergeCell ref="L80:N80"/>
    <mergeCell ref="A78:B78"/>
    <mergeCell ref="C78:E78"/>
    <mergeCell ref="F78:H78"/>
    <mergeCell ref="I78:K78"/>
    <mergeCell ref="L78:N78"/>
    <mergeCell ref="AR78:AT78"/>
    <mergeCell ref="O78:S78"/>
    <mergeCell ref="T78:V78"/>
    <mergeCell ref="W78:Y78"/>
    <mergeCell ref="Z78:AB78"/>
    <mergeCell ref="AC78:AE78"/>
    <mergeCell ref="AF78:AH78"/>
    <mergeCell ref="AI78:AK78"/>
    <mergeCell ref="AL78:AN78"/>
    <mergeCell ref="AO78:AQ78"/>
    <mergeCell ref="AO81:AQ81"/>
    <mergeCell ref="AR81:AT81"/>
    <mergeCell ref="AU81:AW81"/>
    <mergeCell ref="AX81:BA81"/>
    <mergeCell ref="AO80:AQ80"/>
    <mergeCell ref="AR80:AT80"/>
    <mergeCell ref="AU80:AW80"/>
    <mergeCell ref="AX80:BA80"/>
    <mergeCell ref="AL79:AN79"/>
    <mergeCell ref="AO79:AQ79"/>
    <mergeCell ref="F82:H82"/>
    <mergeCell ref="I82:K82"/>
    <mergeCell ref="L82:N82"/>
    <mergeCell ref="AL81:AN81"/>
    <mergeCell ref="AU82:AW82"/>
    <mergeCell ref="AX82:BA82"/>
    <mergeCell ref="T79:V79"/>
    <mergeCell ref="W79:Y79"/>
    <mergeCell ref="Z79:AB79"/>
    <mergeCell ref="AC79:AE79"/>
    <mergeCell ref="AF79:AH79"/>
    <mergeCell ref="AI79:AK79"/>
    <mergeCell ref="AI80:AK80"/>
    <mergeCell ref="AL80:AN80"/>
    <mergeCell ref="O80:S80"/>
    <mergeCell ref="T80:V80"/>
    <mergeCell ref="W80:Y80"/>
    <mergeCell ref="Z80:AB80"/>
    <mergeCell ref="AC80:AE80"/>
    <mergeCell ref="AF80:AH80"/>
    <mergeCell ref="AR79:AT79"/>
    <mergeCell ref="AU79:AW79"/>
    <mergeCell ref="AC83:AE83"/>
    <mergeCell ref="AF83:AH83"/>
    <mergeCell ref="AI83:AK83"/>
    <mergeCell ref="AF81:AH81"/>
    <mergeCell ref="AI81:AK81"/>
    <mergeCell ref="A83:B83"/>
    <mergeCell ref="C83:E83"/>
    <mergeCell ref="F83:H83"/>
    <mergeCell ref="I83:K83"/>
    <mergeCell ref="L83:N83"/>
    <mergeCell ref="O83:S83"/>
    <mergeCell ref="A82:B82"/>
    <mergeCell ref="C82:E82"/>
    <mergeCell ref="L81:N81"/>
    <mergeCell ref="O81:S81"/>
    <mergeCell ref="T81:V81"/>
    <mergeCell ref="W81:Y81"/>
    <mergeCell ref="Z81:AB81"/>
    <mergeCell ref="AC81:AE81"/>
    <mergeCell ref="AU85:AW85"/>
    <mergeCell ref="AX85:BA85"/>
    <mergeCell ref="AO84:AQ84"/>
    <mergeCell ref="AR84:AT84"/>
    <mergeCell ref="AU84:AW84"/>
    <mergeCell ref="AX84:BA84"/>
    <mergeCell ref="AL85:AN85"/>
    <mergeCell ref="A85:B85"/>
    <mergeCell ref="C85:E85"/>
    <mergeCell ref="F85:H85"/>
    <mergeCell ref="I85:K85"/>
    <mergeCell ref="AI84:AK84"/>
    <mergeCell ref="AL84:AN84"/>
    <mergeCell ref="A81:B81"/>
    <mergeCell ref="C81:E81"/>
    <mergeCell ref="F81:H81"/>
    <mergeCell ref="I81:K81"/>
    <mergeCell ref="AR82:AT82"/>
    <mergeCell ref="O82:S82"/>
    <mergeCell ref="T82:V82"/>
    <mergeCell ref="W82:Y82"/>
    <mergeCell ref="Z82:AB82"/>
    <mergeCell ref="AC82:AE82"/>
    <mergeCell ref="AL83:AN83"/>
    <mergeCell ref="AO83:AQ83"/>
    <mergeCell ref="AF82:AH82"/>
    <mergeCell ref="AI82:AK82"/>
    <mergeCell ref="AL82:AN82"/>
    <mergeCell ref="AO82:AQ82"/>
    <mergeCell ref="T83:V83"/>
    <mergeCell ref="W83:Y83"/>
    <mergeCell ref="Z83:AB83"/>
    <mergeCell ref="O84:S84"/>
    <mergeCell ref="T84:V84"/>
    <mergeCell ref="W84:Y84"/>
    <mergeCell ref="Z84:AB84"/>
    <mergeCell ref="AC84:AE84"/>
    <mergeCell ref="AF84:AH84"/>
    <mergeCell ref="AF85:AH85"/>
    <mergeCell ref="AI85:AK85"/>
    <mergeCell ref="AR83:AT83"/>
    <mergeCell ref="AU83:AW83"/>
    <mergeCell ref="AU86:AW86"/>
    <mergeCell ref="AX86:BA86"/>
    <mergeCell ref="A87:B87"/>
    <mergeCell ref="C87:E87"/>
    <mergeCell ref="F87:H87"/>
    <mergeCell ref="I87:K87"/>
    <mergeCell ref="L87:N87"/>
    <mergeCell ref="O87:S87"/>
    <mergeCell ref="AX83:BA83"/>
    <mergeCell ref="A84:B84"/>
    <mergeCell ref="C84:E84"/>
    <mergeCell ref="F84:H84"/>
    <mergeCell ref="I84:K84"/>
    <mergeCell ref="L84:N84"/>
    <mergeCell ref="L85:N85"/>
    <mergeCell ref="O85:S85"/>
    <mergeCell ref="T85:V85"/>
    <mergeCell ref="W85:Y85"/>
    <mergeCell ref="Z85:AB85"/>
    <mergeCell ref="AC85:AE85"/>
    <mergeCell ref="AO85:AQ85"/>
    <mergeCell ref="AR85:AT85"/>
    <mergeCell ref="AX87:BA87"/>
    <mergeCell ref="A88:B88"/>
    <mergeCell ref="C88:E88"/>
    <mergeCell ref="F88:H88"/>
    <mergeCell ref="I88:K88"/>
    <mergeCell ref="L88:N88"/>
    <mergeCell ref="A86:B86"/>
    <mergeCell ref="C86:E86"/>
    <mergeCell ref="F86:H86"/>
    <mergeCell ref="I86:K86"/>
    <mergeCell ref="L86:N86"/>
    <mergeCell ref="AR86:AT86"/>
    <mergeCell ref="O86:S86"/>
    <mergeCell ref="T86:V86"/>
    <mergeCell ref="W86:Y86"/>
    <mergeCell ref="Z86:AB86"/>
    <mergeCell ref="AC86:AE86"/>
    <mergeCell ref="AF86:AH86"/>
    <mergeCell ref="AI86:AK86"/>
    <mergeCell ref="AL86:AN86"/>
    <mergeCell ref="AO86:AQ86"/>
    <mergeCell ref="AO89:AQ89"/>
    <mergeCell ref="AR89:AT89"/>
    <mergeCell ref="AU89:AW89"/>
    <mergeCell ref="AX89:BA89"/>
    <mergeCell ref="AO88:AQ88"/>
    <mergeCell ref="AR88:AT88"/>
    <mergeCell ref="AU88:AW88"/>
    <mergeCell ref="AX88:BA88"/>
    <mergeCell ref="AL87:AN87"/>
    <mergeCell ref="AO87:AQ87"/>
    <mergeCell ref="F90:H90"/>
    <mergeCell ref="I90:K90"/>
    <mergeCell ref="L90:N90"/>
    <mergeCell ref="AL89:AN89"/>
    <mergeCell ref="AU90:AW90"/>
    <mergeCell ref="AX90:BA90"/>
    <mergeCell ref="T87:V87"/>
    <mergeCell ref="W87:Y87"/>
    <mergeCell ref="Z87:AB87"/>
    <mergeCell ref="AC87:AE87"/>
    <mergeCell ref="AF87:AH87"/>
    <mergeCell ref="AI87:AK87"/>
    <mergeCell ref="AI88:AK88"/>
    <mergeCell ref="AL88:AN88"/>
    <mergeCell ref="O88:S88"/>
    <mergeCell ref="T88:V88"/>
    <mergeCell ref="W88:Y88"/>
    <mergeCell ref="Z88:AB88"/>
    <mergeCell ref="AC88:AE88"/>
    <mergeCell ref="AF88:AH88"/>
    <mergeCell ref="AR87:AT87"/>
    <mergeCell ref="AU87:AW87"/>
    <mergeCell ref="AC91:AE91"/>
    <mergeCell ref="AF91:AH91"/>
    <mergeCell ref="AI91:AK91"/>
    <mergeCell ref="AF89:AH89"/>
    <mergeCell ref="AI89:AK89"/>
    <mergeCell ref="A91:B91"/>
    <mergeCell ref="C91:E91"/>
    <mergeCell ref="F91:H91"/>
    <mergeCell ref="I91:K91"/>
    <mergeCell ref="L91:N91"/>
    <mergeCell ref="O91:S91"/>
    <mergeCell ref="A90:B90"/>
    <mergeCell ref="C90:E90"/>
    <mergeCell ref="L89:N89"/>
    <mergeCell ref="O89:S89"/>
    <mergeCell ref="T89:V89"/>
    <mergeCell ref="W89:Y89"/>
    <mergeCell ref="Z89:AB89"/>
    <mergeCell ref="AC89:AE89"/>
    <mergeCell ref="AU93:AW93"/>
    <mergeCell ref="AX93:BA93"/>
    <mergeCell ref="AO92:AQ92"/>
    <mergeCell ref="AR92:AT92"/>
    <mergeCell ref="AU92:AW92"/>
    <mergeCell ref="AX92:BA92"/>
    <mergeCell ref="AL93:AN93"/>
    <mergeCell ref="A93:B93"/>
    <mergeCell ref="C93:E93"/>
    <mergeCell ref="F93:H93"/>
    <mergeCell ref="I93:K93"/>
    <mergeCell ref="AI92:AK92"/>
    <mergeCell ref="AL92:AN92"/>
    <mergeCell ref="A89:B89"/>
    <mergeCell ref="C89:E89"/>
    <mergeCell ref="F89:H89"/>
    <mergeCell ref="I89:K89"/>
    <mergeCell ref="AR90:AT90"/>
    <mergeCell ref="O90:S90"/>
    <mergeCell ref="T90:V90"/>
    <mergeCell ref="W90:Y90"/>
    <mergeCell ref="Z90:AB90"/>
    <mergeCell ref="AC90:AE90"/>
    <mergeCell ref="AL91:AN91"/>
    <mergeCell ref="AO91:AQ91"/>
    <mergeCell ref="AF90:AH90"/>
    <mergeCell ref="AI90:AK90"/>
    <mergeCell ref="AL90:AN90"/>
    <mergeCell ref="AO90:AQ90"/>
    <mergeCell ref="T91:V91"/>
    <mergeCell ref="W91:Y91"/>
    <mergeCell ref="Z91:AB91"/>
    <mergeCell ref="O92:S92"/>
    <mergeCell ref="T92:V92"/>
    <mergeCell ref="W92:Y92"/>
    <mergeCell ref="Z92:AB92"/>
    <mergeCell ref="AC92:AE92"/>
    <mergeCell ref="AF92:AH92"/>
    <mergeCell ref="AF93:AH93"/>
    <mergeCell ref="AI93:AK93"/>
    <mergeCell ref="AR91:AT91"/>
    <mergeCell ref="AU91:AW91"/>
    <mergeCell ref="AU94:AW94"/>
    <mergeCell ref="AX94:BA94"/>
    <mergeCell ref="A95:B95"/>
    <mergeCell ref="C95:E95"/>
    <mergeCell ref="F95:H95"/>
    <mergeCell ref="I95:K95"/>
    <mergeCell ref="L95:N95"/>
    <mergeCell ref="O95:S95"/>
    <mergeCell ref="AX91:BA91"/>
    <mergeCell ref="A92:B92"/>
    <mergeCell ref="C92:E92"/>
    <mergeCell ref="F92:H92"/>
    <mergeCell ref="I92:K92"/>
    <mergeCell ref="L92:N92"/>
    <mergeCell ref="L93:N93"/>
    <mergeCell ref="O93:S93"/>
    <mergeCell ref="T93:V93"/>
    <mergeCell ref="W93:Y93"/>
    <mergeCell ref="Z93:AB93"/>
    <mergeCell ref="AC93:AE93"/>
    <mergeCell ref="AO93:AQ93"/>
    <mergeCell ref="AR93:AT93"/>
    <mergeCell ref="AX95:BA95"/>
    <mergeCell ref="A96:B96"/>
    <mergeCell ref="C96:E96"/>
    <mergeCell ref="F96:H96"/>
    <mergeCell ref="I96:K96"/>
    <mergeCell ref="L96:N96"/>
    <mergeCell ref="A94:B94"/>
    <mergeCell ref="C94:E94"/>
    <mergeCell ref="F94:H94"/>
    <mergeCell ref="I94:K94"/>
    <mergeCell ref="L94:N94"/>
    <mergeCell ref="AR94:AT94"/>
    <mergeCell ref="O94:S94"/>
    <mergeCell ref="T94:V94"/>
    <mergeCell ref="W94:Y94"/>
    <mergeCell ref="Z94:AB94"/>
    <mergeCell ref="AC94:AE94"/>
    <mergeCell ref="AF94:AH94"/>
    <mergeCell ref="AI94:AK94"/>
    <mergeCell ref="AL94:AN94"/>
    <mergeCell ref="AO94:AQ94"/>
    <mergeCell ref="AO97:AQ97"/>
    <mergeCell ref="AR97:AT97"/>
    <mergeCell ref="AU97:AW97"/>
    <mergeCell ref="AX97:BA97"/>
    <mergeCell ref="AO96:AQ96"/>
    <mergeCell ref="AR96:AT96"/>
    <mergeCell ref="AU96:AW96"/>
    <mergeCell ref="AX96:BA96"/>
    <mergeCell ref="AL95:AN95"/>
    <mergeCell ref="AO95:AQ95"/>
    <mergeCell ref="F98:H98"/>
    <mergeCell ref="I98:K98"/>
    <mergeCell ref="L98:N98"/>
    <mergeCell ref="AL97:AN97"/>
    <mergeCell ref="AU98:AW98"/>
    <mergeCell ref="AX98:BA98"/>
    <mergeCell ref="T95:V95"/>
    <mergeCell ref="W95:Y95"/>
    <mergeCell ref="Z95:AB95"/>
    <mergeCell ref="AC95:AE95"/>
    <mergeCell ref="AF95:AH95"/>
    <mergeCell ref="AI95:AK95"/>
    <mergeCell ref="AI96:AK96"/>
    <mergeCell ref="AL96:AN96"/>
    <mergeCell ref="O96:S96"/>
    <mergeCell ref="T96:V96"/>
    <mergeCell ref="W96:Y96"/>
    <mergeCell ref="Z96:AB96"/>
    <mergeCell ref="AC96:AE96"/>
    <mergeCell ref="AF96:AH96"/>
    <mergeCell ref="AR95:AT95"/>
    <mergeCell ref="AU95:AW95"/>
    <mergeCell ref="AC99:AE99"/>
    <mergeCell ref="AF99:AH99"/>
    <mergeCell ref="AI99:AK99"/>
    <mergeCell ref="AF97:AH97"/>
    <mergeCell ref="AI97:AK97"/>
    <mergeCell ref="A99:B99"/>
    <mergeCell ref="C99:E99"/>
    <mergeCell ref="F99:H99"/>
    <mergeCell ref="I99:K99"/>
    <mergeCell ref="L99:N99"/>
    <mergeCell ref="O99:S99"/>
    <mergeCell ref="A98:B98"/>
    <mergeCell ref="C98:E98"/>
    <mergeCell ref="L97:N97"/>
    <mergeCell ref="O97:S97"/>
    <mergeCell ref="T97:V97"/>
    <mergeCell ref="W97:Y97"/>
    <mergeCell ref="Z97:AB97"/>
    <mergeCell ref="AC97:AE97"/>
    <mergeCell ref="AU101:AW101"/>
    <mergeCell ref="AX101:BA101"/>
    <mergeCell ref="AO100:AQ100"/>
    <mergeCell ref="AR100:AT100"/>
    <mergeCell ref="AU100:AW100"/>
    <mergeCell ref="AX100:BA100"/>
    <mergeCell ref="AL101:AN101"/>
    <mergeCell ref="A101:B101"/>
    <mergeCell ref="C101:E101"/>
    <mergeCell ref="F101:H101"/>
    <mergeCell ref="I101:K101"/>
    <mergeCell ref="AI100:AK100"/>
    <mergeCell ref="AL100:AN100"/>
    <mergeCell ref="A97:B97"/>
    <mergeCell ref="C97:E97"/>
    <mergeCell ref="F97:H97"/>
    <mergeCell ref="I97:K97"/>
    <mergeCell ref="AR98:AT98"/>
    <mergeCell ref="O98:S98"/>
    <mergeCell ref="T98:V98"/>
    <mergeCell ref="W98:Y98"/>
    <mergeCell ref="Z98:AB98"/>
    <mergeCell ref="AC98:AE98"/>
    <mergeCell ref="AL99:AN99"/>
    <mergeCell ref="AO99:AQ99"/>
    <mergeCell ref="AF98:AH98"/>
    <mergeCell ref="AI98:AK98"/>
    <mergeCell ref="AL98:AN98"/>
    <mergeCell ref="AO98:AQ98"/>
    <mergeCell ref="T99:V99"/>
    <mergeCell ref="W99:Y99"/>
    <mergeCell ref="Z99:AB99"/>
    <mergeCell ref="O100:S100"/>
    <mergeCell ref="T100:V100"/>
    <mergeCell ref="W100:Y100"/>
    <mergeCell ref="Z100:AB100"/>
    <mergeCell ref="AC100:AE100"/>
    <mergeCell ref="AF100:AH100"/>
    <mergeCell ref="AF101:AH101"/>
    <mergeCell ref="AI101:AK101"/>
    <mergeCell ref="AR99:AT99"/>
    <mergeCell ref="AU99:AW99"/>
    <mergeCell ref="AU102:AW102"/>
    <mergeCell ref="AX102:BA102"/>
    <mergeCell ref="A103:B103"/>
    <mergeCell ref="C103:E103"/>
    <mergeCell ref="F103:H103"/>
    <mergeCell ref="I103:K103"/>
    <mergeCell ref="L103:N103"/>
    <mergeCell ref="O103:S103"/>
    <mergeCell ref="AX99:BA99"/>
    <mergeCell ref="A100:B100"/>
    <mergeCell ref="C100:E100"/>
    <mergeCell ref="F100:H100"/>
    <mergeCell ref="I100:K100"/>
    <mergeCell ref="L100:N100"/>
    <mergeCell ref="L101:N101"/>
    <mergeCell ref="O101:S101"/>
    <mergeCell ref="T101:V101"/>
    <mergeCell ref="W101:Y101"/>
    <mergeCell ref="Z101:AB101"/>
    <mergeCell ref="AC101:AE101"/>
    <mergeCell ref="AO101:AQ101"/>
    <mergeCell ref="AR101:AT101"/>
    <mergeCell ref="AX103:BA103"/>
    <mergeCell ref="A104:B104"/>
    <mergeCell ref="C104:E104"/>
    <mergeCell ref="F104:H104"/>
    <mergeCell ref="I104:K104"/>
    <mergeCell ref="L104:N104"/>
    <mergeCell ref="A102:B102"/>
    <mergeCell ref="C102:E102"/>
    <mergeCell ref="F102:H102"/>
    <mergeCell ref="I102:K102"/>
    <mergeCell ref="L102:N102"/>
    <mergeCell ref="AR102:AT102"/>
    <mergeCell ref="O102:S102"/>
    <mergeCell ref="T102:V102"/>
    <mergeCell ref="W102:Y102"/>
    <mergeCell ref="Z102:AB102"/>
    <mergeCell ref="AC102:AE102"/>
    <mergeCell ref="AF102:AH102"/>
    <mergeCell ref="AI102:AK102"/>
    <mergeCell ref="AL102:AN102"/>
    <mergeCell ref="AO102:AQ102"/>
    <mergeCell ref="AO105:AQ105"/>
    <mergeCell ref="AR105:AT105"/>
    <mergeCell ref="AU105:AW105"/>
    <mergeCell ref="AX105:BA105"/>
    <mergeCell ref="AO104:AQ104"/>
    <mergeCell ref="AR104:AT104"/>
    <mergeCell ref="AU104:AW104"/>
    <mergeCell ref="AX104:BA104"/>
    <mergeCell ref="AL103:AN103"/>
    <mergeCell ref="AO103:AQ103"/>
    <mergeCell ref="F106:H106"/>
    <mergeCell ref="I106:K106"/>
    <mergeCell ref="L106:N106"/>
    <mergeCell ref="AL105:AN105"/>
    <mergeCell ref="AU106:AW106"/>
    <mergeCell ref="AX106:BA106"/>
    <mergeCell ref="T103:V103"/>
    <mergeCell ref="W103:Y103"/>
    <mergeCell ref="Z103:AB103"/>
    <mergeCell ref="AC103:AE103"/>
    <mergeCell ref="AF103:AH103"/>
    <mergeCell ref="AI103:AK103"/>
    <mergeCell ref="AI104:AK104"/>
    <mergeCell ref="AL104:AN104"/>
    <mergeCell ref="O104:S104"/>
    <mergeCell ref="T104:V104"/>
    <mergeCell ref="W104:Y104"/>
    <mergeCell ref="Z104:AB104"/>
    <mergeCell ref="AC104:AE104"/>
    <mergeCell ref="AF104:AH104"/>
    <mergeCell ref="AR103:AT103"/>
    <mergeCell ref="AU103:AW103"/>
    <mergeCell ref="AC107:AE107"/>
    <mergeCell ref="AF107:AH107"/>
    <mergeCell ref="AI107:AK107"/>
    <mergeCell ref="AF105:AH105"/>
    <mergeCell ref="AI105:AK105"/>
    <mergeCell ref="A107:B107"/>
    <mergeCell ref="C107:E107"/>
    <mergeCell ref="F107:H107"/>
    <mergeCell ref="I107:K107"/>
    <mergeCell ref="L107:N107"/>
    <mergeCell ref="O107:S107"/>
    <mergeCell ref="A106:B106"/>
    <mergeCell ref="C106:E106"/>
    <mergeCell ref="L105:N105"/>
    <mergeCell ref="O105:S105"/>
    <mergeCell ref="T105:V105"/>
    <mergeCell ref="W105:Y105"/>
    <mergeCell ref="Z105:AB105"/>
    <mergeCell ref="AC105:AE105"/>
    <mergeCell ref="AU109:AW109"/>
    <mergeCell ref="AX109:BA109"/>
    <mergeCell ref="AO108:AQ108"/>
    <mergeCell ref="AR108:AT108"/>
    <mergeCell ref="AU108:AW108"/>
    <mergeCell ref="AX108:BA108"/>
    <mergeCell ref="AL109:AN109"/>
    <mergeCell ref="A109:B109"/>
    <mergeCell ref="C109:E109"/>
    <mergeCell ref="F109:H109"/>
    <mergeCell ref="I109:K109"/>
    <mergeCell ref="AI108:AK108"/>
    <mergeCell ref="AL108:AN108"/>
    <mergeCell ref="A105:B105"/>
    <mergeCell ref="C105:E105"/>
    <mergeCell ref="F105:H105"/>
    <mergeCell ref="I105:K105"/>
    <mergeCell ref="AR106:AT106"/>
    <mergeCell ref="O106:S106"/>
    <mergeCell ref="T106:V106"/>
    <mergeCell ref="W106:Y106"/>
    <mergeCell ref="Z106:AB106"/>
    <mergeCell ref="AC106:AE106"/>
    <mergeCell ref="AL107:AN107"/>
    <mergeCell ref="AO107:AQ107"/>
    <mergeCell ref="AF106:AH106"/>
    <mergeCell ref="AI106:AK106"/>
    <mergeCell ref="AL106:AN106"/>
    <mergeCell ref="AO106:AQ106"/>
    <mergeCell ref="T107:V107"/>
    <mergeCell ref="W107:Y107"/>
    <mergeCell ref="Z107:AB107"/>
    <mergeCell ref="O108:S108"/>
    <mergeCell ref="T108:V108"/>
    <mergeCell ref="W108:Y108"/>
    <mergeCell ref="Z108:AB108"/>
    <mergeCell ref="AC108:AE108"/>
    <mergeCell ref="AF108:AH108"/>
    <mergeCell ref="AF109:AH109"/>
    <mergeCell ref="AI109:AK109"/>
    <mergeCell ref="AR107:AT107"/>
    <mergeCell ref="AU107:AW107"/>
    <mergeCell ref="AU110:AW110"/>
    <mergeCell ref="AX110:BA110"/>
    <mergeCell ref="A111:B111"/>
    <mergeCell ref="C111:E111"/>
    <mergeCell ref="F111:H111"/>
    <mergeCell ref="I111:K111"/>
    <mergeCell ref="L111:N111"/>
    <mergeCell ref="O111:S111"/>
    <mergeCell ref="AX107:BA107"/>
    <mergeCell ref="A108:B108"/>
    <mergeCell ref="C108:E108"/>
    <mergeCell ref="F108:H108"/>
    <mergeCell ref="I108:K108"/>
    <mergeCell ref="L108:N108"/>
    <mergeCell ref="L109:N109"/>
    <mergeCell ref="O109:S109"/>
    <mergeCell ref="T109:V109"/>
    <mergeCell ref="W109:Y109"/>
    <mergeCell ref="Z109:AB109"/>
    <mergeCell ref="AC109:AE109"/>
    <mergeCell ref="AO109:AQ109"/>
    <mergeCell ref="AR109:AT109"/>
    <mergeCell ref="AX111:BA111"/>
    <mergeCell ref="A112:B112"/>
    <mergeCell ref="C112:E112"/>
    <mergeCell ref="F112:H112"/>
    <mergeCell ref="I112:K112"/>
    <mergeCell ref="L112:N112"/>
    <mergeCell ref="A110:B110"/>
    <mergeCell ref="C110:E110"/>
    <mergeCell ref="F110:H110"/>
    <mergeCell ref="I110:K110"/>
    <mergeCell ref="L110:N110"/>
    <mergeCell ref="AR110:AT110"/>
    <mergeCell ref="O110:S110"/>
    <mergeCell ref="T110:V110"/>
    <mergeCell ref="W110:Y110"/>
    <mergeCell ref="Z110:AB110"/>
    <mergeCell ref="AC110:AE110"/>
    <mergeCell ref="AF110:AH110"/>
    <mergeCell ref="AI110:AK110"/>
    <mergeCell ref="AL110:AN110"/>
    <mergeCell ref="AO110:AQ110"/>
    <mergeCell ref="AO113:AQ113"/>
    <mergeCell ref="AR113:AT113"/>
    <mergeCell ref="AU113:AW113"/>
    <mergeCell ref="AX113:BA113"/>
    <mergeCell ref="AO112:AQ112"/>
    <mergeCell ref="AR112:AT112"/>
    <mergeCell ref="AU112:AW112"/>
    <mergeCell ref="AX112:BA112"/>
    <mergeCell ref="AL111:AN111"/>
    <mergeCell ref="AO111:AQ111"/>
    <mergeCell ref="F114:H114"/>
    <mergeCell ref="I114:K114"/>
    <mergeCell ref="L114:N114"/>
    <mergeCell ref="AL113:AN113"/>
    <mergeCell ref="AU114:AW114"/>
    <mergeCell ref="AX114:BA114"/>
    <mergeCell ref="T111:V111"/>
    <mergeCell ref="W111:Y111"/>
    <mergeCell ref="Z111:AB111"/>
    <mergeCell ref="AC111:AE111"/>
    <mergeCell ref="AF111:AH111"/>
    <mergeCell ref="AI111:AK111"/>
    <mergeCell ref="AI112:AK112"/>
    <mergeCell ref="AL112:AN112"/>
    <mergeCell ref="O112:S112"/>
    <mergeCell ref="T112:V112"/>
    <mergeCell ref="W112:Y112"/>
    <mergeCell ref="Z112:AB112"/>
    <mergeCell ref="AC112:AE112"/>
    <mergeCell ref="AF112:AH112"/>
    <mergeCell ref="AR111:AT111"/>
    <mergeCell ref="AU111:AW111"/>
    <mergeCell ref="AC115:AE115"/>
    <mergeCell ref="AF115:AH115"/>
    <mergeCell ref="AI115:AK115"/>
    <mergeCell ref="AF113:AH113"/>
    <mergeCell ref="AI113:AK113"/>
    <mergeCell ref="A115:B115"/>
    <mergeCell ref="C115:E115"/>
    <mergeCell ref="F115:H115"/>
    <mergeCell ref="I115:K115"/>
    <mergeCell ref="L115:N115"/>
    <mergeCell ref="O115:S115"/>
    <mergeCell ref="A114:B114"/>
    <mergeCell ref="C114:E114"/>
    <mergeCell ref="L113:N113"/>
    <mergeCell ref="O113:S113"/>
    <mergeCell ref="T113:V113"/>
    <mergeCell ref="W113:Y113"/>
    <mergeCell ref="Z113:AB113"/>
    <mergeCell ref="AC113:AE113"/>
    <mergeCell ref="AU117:AW117"/>
    <mergeCell ref="AX117:BA117"/>
    <mergeCell ref="AO116:AQ116"/>
    <mergeCell ref="AR116:AT116"/>
    <mergeCell ref="AU116:AW116"/>
    <mergeCell ref="AX116:BA116"/>
    <mergeCell ref="AL117:AN117"/>
    <mergeCell ref="A117:B117"/>
    <mergeCell ref="C117:E117"/>
    <mergeCell ref="F117:H117"/>
    <mergeCell ref="I117:K117"/>
    <mergeCell ref="AI116:AK116"/>
    <mergeCell ref="AL116:AN116"/>
    <mergeCell ref="A113:B113"/>
    <mergeCell ref="C113:E113"/>
    <mergeCell ref="F113:H113"/>
    <mergeCell ref="I113:K113"/>
    <mergeCell ref="AR114:AT114"/>
    <mergeCell ref="O114:S114"/>
    <mergeCell ref="T114:V114"/>
    <mergeCell ref="W114:Y114"/>
    <mergeCell ref="Z114:AB114"/>
    <mergeCell ref="AC114:AE114"/>
    <mergeCell ref="AL115:AN115"/>
    <mergeCell ref="AO115:AQ115"/>
    <mergeCell ref="AF114:AH114"/>
    <mergeCell ref="AI114:AK114"/>
    <mergeCell ref="AL114:AN114"/>
    <mergeCell ref="AO114:AQ114"/>
    <mergeCell ref="T115:V115"/>
    <mergeCell ref="W115:Y115"/>
    <mergeCell ref="Z115:AB115"/>
    <mergeCell ref="O116:S116"/>
    <mergeCell ref="T116:V116"/>
    <mergeCell ref="W116:Y116"/>
    <mergeCell ref="Z116:AB116"/>
    <mergeCell ref="AC116:AE116"/>
    <mergeCell ref="AF116:AH116"/>
    <mergeCell ref="AF117:AH117"/>
    <mergeCell ref="AI117:AK117"/>
    <mergeCell ref="AR115:AT115"/>
    <mergeCell ref="AU115:AW115"/>
    <mergeCell ref="AU118:AW118"/>
    <mergeCell ref="AX118:BA118"/>
    <mergeCell ref="A119:B119"/>
    <mergeCell ref="C119:E119"/>
    <mergeCell ref="F119:H119"/>
    <mergeCell ref="I119:K119"/>
    <mergeCell ref="L119:N119"/>
    <mergeCell ref="O119:S119"/>
    <mergeCell ref="AX115:BA115"/>
    <mergeCell ref="A116:B116"/>
    <mergeCell ref="C116:E116"/>
    <mergeCell ref="F116:H116"/>
    <mergeCell ref="I116:K116"/>
    <mergeCell ref="L116:N116"/>
    <mergeCell ref="L117:N117"/>
    <mergeCell ref="O117:S117"/>
    <mergeCell ref="T117:V117"/>
    <mergeCell ref="W117:Y117"/>
    <mergeCell ref="Z117:AB117"/>
    <mergeCell ref="AC117:AE117"/>
    <mergeCell ref="AO117:AQ117"/>
    <mergeCell ref="AR117:AT117"/>
    <mergeCell ref="AX119:BA119"/>
    <mergeCell ref="A120:B120"/>
    <mergeCell ref="C120:E120"/>
    <mergeCell ref="F120:H120"/>
    <mergeCell ref="I120:K120"/>
    <mergeCell ref="L120:N120"/>
    <mergeCell ref="A118:B118"/>
    <mergeCell ref="C118:E118"/>
    <mergeCell ref="F118:H118"/>
    <mergeCell ref="I118:K118"/>
    <mergeCell ref="L118:N118"/>
    <mergeCell ref="AR118:AT118"/>
    <mergeCell ref="O118:S118"/>
    <mergeCell ref="T118:V118"/>
    <mergeCell ref="W118:Y118"/>
    <mergeCell ref="Z118:AB118"/>
    <mergeCell ref="AC118:AE118"/>
    <mergeCell ref="AF118:AH118"/>
    <mergeCell ref="AI118:AK118"/>
    <mergeCell ref="AL118:AN118"/>
    <mergeCell ref="AO118:AQ118"/>
    <mergeCell ref="AO121:AQ121"/>
    <mergeCell ref="AR121:AT121"/>
    <mergeCell ref="AU121:AW121"/>
    <mergeCell ref="AX121:BA121"/>
    <mergeCell ref="AO120:AQ120"/>
    <mergeCell ref="AR120:AT120"/>
    <mergeCell ref="AU120:AW120"/>
    <mergeCell ref="AX120:BA120"/>
    <mergeCell ref="AL119:AN119"/>
    <mergeCell ref="AO119:AQ119"/>
    <mergeCell ref="F122:H122"/>
    <mergeCell ref="I122:K122"/>
    <mergeCell ref="L122:N122"/>
    <mergeCell ref="AL121:AN121"/>
    <mergeCell ref="AU122:AW122"/>
    <mergeCell ref="AX122:BA122"/>
    <mergeCell ref="T119:V119"/>
    <mergeCell ref="W119:Y119"/>
    <mergeCell ref="Z119:AB119"/>
    <mergeCell ref="AC119:AE119"/>
    <mergeCell ref="AF119:AH119"/>
    <mergeCell ref="AI119:AK119"/>
    <mergeCell ref="AI120:AK120"/>
    <mergeCell ref="AL120:AN120"/>
    <mergeCell ref="O120:S120"/>
    <mergeCell ref="T120:V120"/>
    <mergeCell ref="W120:Y120"/>
    <mergeCell ref="Z120:AB120"/>
    <mergeCell ref="AC120:AE120"/>
    <mergeCell ref="AF120:AH120"/>
    <mergeCell ref="AR119:AT119"/>
    <mergeCell ref="AU119:AW119"/>
    <mergeCell ref="AC123:AE123"/>
    <mergeCell ref="AF123:AH123"/>
    <mergeCell ref="AI123:AK123"/>
    <mergeCell ref="AF121:AH121"/>
    <mergeCell ref="AI121:AK121"/>
    <mergeCell ref="A123:B123"/>
    <mergeCell ref="C123:E123"/>
    <mergeCell ref="F123:H123"/>
    <mergeCell ref="I123:K123"/>
    <mergeCell ref="L123:N123"/>
    <mergeCell ref="O123:S123"/>
    <mergeCell ref="A122:B122"/>
    <mergeCell ref="C122:E122"/>
    <mergeCell ref="L121:N121"/>
    <mergeCell ref="O121:S121"/>
    <mergeCell ref="T121:V121"/>
    <mergeCell ref="W121:Y121"/>
    <mergeCell ref="Z121:AB121"/>
    <mergeCell ref="AC121:AE121"/>
    <mergeCell ref="AU125:AW125"/>
    <mergeCell ref="AX125:BA125"/>
    <mergeCell ref="AO124:AQ124"/>
    <mergeCell ref="AR124:AT124"/>
    <mergeCell ref="AU124:AW124"/>
    <mergeCell ref="AX124:BA124"/>
    <mergeCell ref="AL125:AN125"/>
    <mergeCell ref="A125:B125"/>
    <mergeCell ref="C125:E125"/>
    <mergeCell ref="F125:H125"/>
    <mergeCell ref="I125:K125"/>
    <mergeCell ref="AI124:AK124"/>
    <mergeCell ref="AL124:AN124"/>
    <mergeCell ref="A121:B121"/>
    <mergeCell ref="C121:E121"/>
    <mergeCell ref="F121:H121"/>
    <mergeCell ref="I121:K121"/>
    <mergeCell ref="AR122:AT122"/>
    <mergeCell ref="O122:S122"/>
    <mergeCell ref="T122:V122"/>
    <mergeCell ref="W122:Y122"/>
    <mergeCell ref="Z122:AB122"/>
    <mergeCell ref="AC122:AE122"/>
    <mergeCell ref="AL123:AN123"/>
    <mergeCell ref="AO123:AQ123"/>
    <mergeCell ref="AF122:AH122"/>
    <mergeCell ref="AI122:AK122"/>
    <mergeCell ref="AL122:AN122"/>
    <mergeCell ref="AO122:AQ122"/>
    <mergeCell ref="T123:V123"/>
    <mergeCell ref="W123:Y123"/>
    <mergeCell ref="Z123:AB123"/>
    <mergeCell ref="O124:S124"/>
    <mergeCell ref="T124:V124"/>
    <mergeCell ref="W124:Y124"/>
    <mergeCell ref="Z124:AB124"/>
    <mergeCell ref="AC124:AE124"/>
    <mergeCell ref="AF124:AH124"/>
    <mergeCell ref="AF125:AH125"/>
    <mergeCell ref="AI125:AK125"/>
    <mergeCell ref="AR123:AT123"/>
    <mergeCell ref="AU123:AW123"/>
    <mergeCell ref="AU126:AW126"/>
    <mergeCell ref="AX126:BA126"/>
    <mergeCell ref="A127:B127"/>
    <mergeCell ref="C127:E127"/>
    <mergeCell ref="F127:H127"/>
    <mergeCell ref="I127:K127"/>
    <mergeCell ref="L127:N127"/>
    <mergeCell ref="O127:S127"/>
    <mergeCell ref="AX123:BA123"/>
    <mergeCell ref="A124:B124"/>
    <mergeCell ref="C124:E124"/>
    <mergeCell ref="F124:H124"/>
    <mergeCell ref="I124:K124"/>
    <mergeCell ref="L124:N124"/>
    <mergeCell ref="L125:N125"/>
    <mergeCell ref="O125:S125"/>
    <mergeCell ref="T125:V125"/>
    <mergeCell ref="W125:Y125"/>
    <mergeCell ref="Z125:AB125"/>
    <mergeCell ref="AC125:AE125"/>
    <mergeCell ref="AO125:AQ125"/>
    <mergeCell ref="AR125:AT125"/>
    <mergeCell ref="AX127:BA127"/>
    <mergeCell ref="A128:B128"/>
    <mergeCell ref="C128:E128"/>
    <mergeCell ref="F128:H128"/>
    <mergeCell ref="I128:K128"/>
    <mergeCell ref="L128:N128"/>
    <mergeCell ref="A126:B126"/>
    <mergeCell ref="C126:E126"/>
    <mergeCell ref="F126:H126"/>
    <mergeCell ref="I126:K126"/>
    <mergeCell ref="L126:N126"/>
    <mergeCell ref="AR126:AT126"/>
    <mergeCell ref="O126:S126"/>
    <mergeCell ref="T126:V126"/>
    <mergeCell ref="W126:Y126"/>
    <mergeCell ref="Z126:AB126"/>
    <mergeCell ref="AC126:AE126"/>
    <mergeCell ref="AF126:AH126"/>
    <mergeCell ref="AI126:AK126"/>
    <mergeCell ref="AL126:AN126"/>
    <mergeCell ref="AO126:AQ126"/>
    <mergeCell ref="AO129:AQ129"/>
    <mergeCell ref="AR129:AT129"/>
    <mergeCell ref="AU129:AW129"/>
    <mergeCell ref="AX129:BA129"/>
    <mergeCell ref="AO128:AQ128"/>
    <mergeCell ref="AR128:AT128"/>
    <mergeCell ref="AU128:AW128"/>
    <mergeCell ref="AX128:BA128"/>
    <mergeCell ref="AL127:AN127"/>
    <mergeCell ref="AO127:AQ127"/>
    <mergeCell ref="F130:H130"/>
    <mergeCell ref="I130:K130"/>
    <mergeCell ref="L130:N130"/>
    <mergeCell ref="AL129:AN129"/>
    <mergeCell ref="AU130:AW130"/>
    <mergeCell ref="AX130:BA130"/>
    <mergeCell ref="T127:V127"/>
    <mergeCell ref="W127:Y127"/>
    <mergeCell ref="Z127:AB127"/>
    <mergeCell ref="AC127:AE127"/>
    <mergeCell ref="AF127:AH127"/>
    <mergeCell ref="AI127:AK127"/>
    <mergeCell ref="AI128:AK128"/>
    <mergeCell ref="AL128:AN128"/>
    <mergeCell ref="O128:S128"/>
    <mergeCell ref="T128:V128"/>
    <mergeCell ref="W128:Y128"/>
    <mergeCell ref="Z128:AB128"/>
    <mergeCell ref="AC128:AE128"/>
    <mergeCell ref="AF128:AH128"/>
    <mergeCell ref="AR127:AT127"/>
    <mergeCell ref="AU127:AW127"/>
    <mergeCell ref="AC131:AE131"/>
    <mergeCell ref="AF131:AH131"/>
    <mergeCell ref="AI131:AK131"/>
    <mergeCell ref="AF129:AH129"/>
    <mergeCell ref="AI129:AK129"/>
    <mergeCell ref="A131:B131"/>
    <mergeCell ref="C131:E131"/>
    <mergeCell ref="F131:H131"/>
    <mergeCell ref="I131:K131"/>
    <mergeCell ref="L131:N131"/>
    <mergeCell ref="O131:S131"/>
    <mergeCell ref="A130:B130"/>
    <mergeCell ref="C130:E130"/>
    <mergeCell ref="L129:N129"/>
    <mergeCell ref="O129:S129"/>
    <mergeCell ref="T129:V129"/>
    <mergeCell ref="W129:Y129"/>
    <mergeCell ref="Z129:AB129"/>
    <mergeCell ref="AC129:AE129"/>
    <mergeCell ref="AU133:AW133"/>
    <mergeCell ref="AX133:BA133"/>
    <mergeCell ref="AO132:AQ132"/>
    <mergeCell ref="AR132:AT132"/>
    <mergeCell ref="AU132:AW132"/>
    <mergeCell ref="AX132:BA132"/>
    <mergeCell ref="AL133:AN133"/>
    <mergeCell ref="A133:B133"/>
    <mergeCell ref="C133:E133"/>
    <mergeCell ref="F133:H133"/>
    <mergeCell ref="I133:K133"/>
    <mergeCell ref="AI132:AK132"/>
    <mergeCell ref="AL132:AN132"/>
    <mergeCell ref="A129:B129"/>
    <mergeCell ref="C129:E129"/>
    <mergeCell ref="F129:H129"/>
    <mergeCell ref="I129:K129"/>
    <mergeCell ref="AR130:AT130"/>
    <mergeCell ref="O130:S130"/>
    <mergeCell ref="T130:V130"/>
    <mergeCell ref="W130:Y130"/>
    <mergeCell ref="Z130:AB130"/>
    <mergeCell ref="AC130:AE130"/>
    <mergeCell ref="AL131:AN131"/>
    <mergeCell ref="AO131:AQ131"/>
    <mergeCell ref="AF130:AH130"/>
    <mergeCell ref="AI130:AK130"/>
    <mergeCell ref="AL130:AN130"/>
    <mergeCell ref="AO130:AQ130"/>
    <mergeCell ref="T131:V131"/>
    <mergeCell ref="W131:Y131"/>
    <mergeCell ref="Z131:AB131"/>
    <mergeCell ref="O132:S132"/>
    <mergeCell ref="T132:V132"/>
    <mergeCell ref="W132:Y132"/>
    <mergeCell ref="Z132:AB132"/>
    <mergeCell ref="AC132:AE132"/>
    <mergeCell ref="AF132:AH132"/>
    <mergeCell ref="AF133:AH133"/>
    <mergeCell ref="AI133:AK133"/>
    <mergeCell ref="AR131:AT131"/>
    <mergeCell ref="AU131:AW131"/>
    <mergeCell ref="AU134:AW134"/>
    <mergeCell ref="AX134:BA134"/>
    <mergeCell ref="A135:B135"/>
    <mergeCell ref="C135:E135"/>
    <mergeCell ref="F135:H135"/>
    <mergeCell ref="I135:K135"/>
    <mergeCell ref="L135:N135"/>
    <mergeCell ref="O135:S135"/>
    <mergeCell ref="AX131:BA131"/>
    <mergeCell ref="A132:B132"/>
    <mergeCell ref="C132:E132"/>
    <mergeCell ref="F132:H132"/>
    <mergeCell ref="I132:K132"/>
    <mergeCell ref="L132:N132"/>
    <mergeCell ref="L133:N133"/>
    <mergeCell ref="O133:S133"/>
    <mergeCell ref="T133:V133"/>
    <mergeCell ref="W133:Y133"/>
    <mergeCell ref="Z133:AB133"/>
    <mergeCell ref="AC133:AE133"/>
    <mergeCell ref="AO133:AQ133"/>
    <mergeCell ref="AR133:AT133"/>
    <mergeCell ref="AX135:BA135"/>
    <mergeCell ref="A136:B136"/>
    <mergeCell ref="C136:E136"/>
    <mergeCell ref="F136:H136"/>
    <mergeCell ref="I136:K136"/>
    <mergeCell ref="L136:N136"/>
    <mergeCell ref="A134:B134"/>
    <mergeCell ref="C134:E134"/>
    <mergeCell ref="F134:H134"/>
    <mergeCell ref="I134:K134"/>
    <mergeCell ref="L134:N134"/>
    <mergeCell ref="AR134:AT134"/>
    <mergeCell ref="O134:S134"/>
    <mergeCell ref="T134:V134"/>
    <mergeCell ref="W134:Y134"/>
    <mergeCell ref="Z134:AB134"/>
    <mergeCell ref="AC134:AE134"/>
    <mergeCell ref="AF134:AH134"/>
    <mergeCell ref="AI134:AK134"/>
    <mergeCell ref="AL134:AN134"/>
    <mergeCell ref="AO134:AQ134"/>
    <mergeCell ref="AO137:AQ137"/>
    <mergeCell ref="AR137:AT137"/>
    <mergeCell ref="AU137:AW137"/>
    <mergeCell ref="AX137:BA137"/>
    <mergeCell ref="AO136:AQ136"/>
    <mergeCell ref="AR136:AT136"/>
    <mergeCell ref="AU136:AW136"/>
    <mergeCell ref="AX136:BA136"/>
    <mergeCell ref="AL135:AN135"/>
    <mergeCell ref="AO135:AQ135"/>
    <mergeCell ref="F138:H138"/>
    <mergeCell ref="I138:K138"/>
    <mergeCell ref="L138:N138"/>
    <mergeCell ref="AL137:AN137"/>
    <mergeCell ref="AU138:AW138"/>
    <mergeCell ref="AX138:BA138"/>
    <mergeCell ref="T135:V135"/>
    <mergeCell ref="W135:Y135"/>
    <mergeCell ref="Z135:AB135"/>
    <mergeCell ref="AC135:AE135"/>
    <mergeCell ref="AF135:AH135"/>
    <mergeCell ref="AI135:AK135"/>
    <mergeCell ref="AI136:AK136"/>
    <mergeCell ref="AL136:AN136"/>
    <mergeCell ref="O136:S136"/>
    <mergeCell ref="T136:V136"/>
    <mergeCell ref="W136:Y136"/>
    <mergeCell ref="Z136:AB136"/>
    <mergeCell ref="AC136:AE136"/>
    <mergeCell ref="AF136:AH136"/>
    <mergeCell ref="AR135:AT135"/>
    <mergeCell ref="AU135:AW135"/>
    <mergeCell ref="AC139:AE139"/>
    <mergeCell ref="AF139:AH139"/>
    <mergeCell ref="AI139:AK139"/>
    <mergeCell ref="AF137:AH137"/>
    <mergeCell ref="AI137:AK137"/>
    <mergeCell ref="A139:B139"/>
    <mergeCell ref="C139:E139"/>
    <mergeCell ref="F139:H139"/>
    <mergeCell ref="I139:K139"/>
    <mergeCell ref="L139:N139"/>
    <mergeCell ref="O139:S139"/>
    <mergeCell ref="A138:B138"/>
    <mergeCell ref="C138:E138"/>
    <mergeCell ref="L137:N137"/>
    <mergeCell ref="O137:S137"/>
    <mergeCell ref="T137:V137"/>
    <mergeCell ref="W137:Y137"/>
    <mergeCell ref="Z137:AB137"/>
    <mergeCell ref="AC137:AE137"/>
    <mergeCell ref="AU141:AW141"/>
    <mergeCell ref="AX141:BA141"/>
    <mergeCell ref="AO140:AQ140"/>
    <mergeCell ref="AR140:AT140"/>
    <mergeCell ref="AU140:AW140"/>
    <mergeCell ref="AX140:BA140"/>
    <mergeCell ref="AL141:AN141"/>
    <mergeCell ref="A141:B141"/>
    <mergeCell ref="C141:E141"/>
    <mergeCell ref="F141:H141"/>
    <mergeCell ref="I141:K141"/>
    <mergeCell ref="AI140:AK140"/>
    <mergeCell ref="AL140:AN140"/>
    <mergeCell ref="A137:B137"/>
    <mergeCell ref="C137:E137"/>
    <mergeCell ref="F137:H137"/>
    <mergeCell ref="I137:K137"/>
    <mergeCell ref="AR138:AT138"/>
    <mergeCell ref="O138:S138"/>
    <mergeCell ref="T138:V138"/>
    <mergeCell ref="W138:Y138"/>
    <mergeCell ref="Z138:AB138"/>
    <mergeCell ref="AC138:AE138"/>
    <mergeCell ref="AL139:AN139"/>
    <mergeCell ref="AO139:AQ139"/>
    <mergeCell ref="AF138:AH138"/>
    <mergeCell ref="AI138:AK138"/>
    <mergeCell ref="AL138:AN138"/>
    <mergeCell ref="AO138:AQ138"/>
    <mergeCell ref="T139:V139"/>
    <mergeCell ref="W139:Y139"/>
    <mergeCell ref="Z139:AB139"/>
    <mergeCell ref="O140:S140"/>
    <mergeCell ref="T140:V140"/>
    <mergeCell ref="W140:Y140"/>
    <mergeCell ref="Z140:AB140"/>
    <mergeCell ref="AC140:AE140"/>
    <mergeCell ref="AF140:AH140"/>
    <mergeCell ref="AF141:AH141"/>
    <mergeCell ref="AI141:AK141"/>
    <mergeCell ref="AR139:AT139"/>
    <mergeCell ref="AU139:AW139"/>
    <mergeCell ref="AU142:AW142"/>
    <mergeCell ref="AX142:BA142"/>
    <mergeCell ref="A143:B143"/>
    <mergeCell ref="C143:E143"/>
    <mergeCell ref="F143:H143"/>
    <mergeCell ref="I143:K143"/>
    <mergeCell ref="L143:N143"/>
    <mergeCell ref="O143:S143"/>
    <mergeCell ref="AX139:BA139"/>
    <mergeCell ref="A140:B140"/>
    <mergeCell ref="C140:E140"/>
    <mergeCell ref="F140:H140"/>
    <mergeCell ref="I140:K140"/>
    <mergeCell ref="L140:N140"/>
    <mergeCell ref="L141:N141"/>
    <mergeCell ref="O141:S141"/>
    <mergeCell ref="T141:V141"/>
    <mergeCell ref="W141:Y141"/>
    <mergeCell ref="Z141:AB141"/>
    <mergeCell ref="AC141:AE141"/>
    <mergeCell ref="AO141:AQ141"/>
    <mergeCell ref="AR141:AT141"/>
    <mergeCell ref="AX143:BA143"/>
    <mergeCell ref="A144:B144"/>
    <mergeCell ref="C144:E144"/>
    <mergeCell ref="F144:H144"/>
    <mergeCell ref="I144:K144"/>
    <mergeCell ref="L144:N144"/>
    <mergeCell ref="A142:B142"/>
    <mergeCell ref="C142:E142"/>
    <mergeCell ref="F142:H142"/>
    <mergeCell ref="I142:K142"/>
    <mergeCell ref="L142:N142"/>
    <mergeCell ref="AR142:AT142"/>
    <mergeCell ref="O142:S142"/>
    <mergeCell ref="T142:V142"/>
    <mergeCell ref="W142:Y142"/>
    <mergeCell ref="Z142:AB142"/>
    <mergeCell ref="AC142:AE142"/>
    <mergeCell ref="AF142:AH142"/>
    <mergeCell ref="AI142:AK142"/>
    <mergeCell ref="AL142:AN142"/>
    <mergeCell ref="AO142:AQ142"/>
    <mergeCell ref="AO145:AQ145"/>
    <mergeCell ref="AR145:AT145"/>
    <mergeCell ref="AU145:AW145"/>
    <mergeCell ref="AX145:BA145"/>
    <mergeCell ref="AO144:AQ144"/>
    <mergeCell ref="AR144:AT144"/>
    <mergeCell ref="AU144:AW144"/>
    <mergeCell ref="AX144:BA144"/>
    <mergeCell ref="AL143:AN143"/>
    <mergeCell ref="AO143:AQ143"/>
    <mergeCell ref="F146:H146"/>
    <mergeCell ref="I146:K146"/>
    <mergeCell ref="L146:N146"/>
    <mergeCell ref="AL145:AN145"/>
    <mergeCell ref="AU146:AW146"/>
    <mergeCell ref="AX146:BA146"/>
    <mergeCell ref="T143:V143"/>
    <mergeCell ref="W143:Y143"/>
    <mergeCell ref="Z143:AB143"/>
    <mergeCell ref="AC143:AE143"/>
    <mergeCell ref="AF143:AH143"/>
    <mergeCell ref="AI143:AK143"/>
    <mergeCell ref="AI144:AK144"/>
    <mergeCell ref="AL144:AN144"/>
    <mergeCell ref="O144:S144"/>
    <mergeCell ref="T144:V144"/>
    <mergeCell ref="W144:Y144"/>
    <mergeCell ref="Z144:AB144"/>
    <mergeCell ref="AC144:AE144"/>
    <mergeCell ref="AF144:AH144"/>
    <mergeCell ref="AR143:AT143"/>
    <mergeCell ref="AU143:AW143"/>
    <mergeCell ref="AC147:AE147"/>
    <mergeCell ref="AF147:AH147"/>
    <mergeCell ref="AI147:AK147"/>
    <mergeCell ref="AF145:AH145"/>
    <mergeCell ref="AI145:AK145"/>
    <mergeCell ref="A147:B147"/>
    <mergeCell ref="C147:E147"/>
    <mergeCell ref="F147:H147"/>
    <mergeCell ref="I147:K147"/>
    <mergeCell ref="L147:N147"/>
    <mergeCell ref="O147:S147"/>
    <mergeCell ref="A146:B146"/>
    <mergeCell ref="C146:E146"/>
    <mergeCell ref="L145:N145"/>
    <mergeCell ref="O145:S145"/>
    <mergeCell ref="T145:V145"/>
    <mergeCell ref="W145:Y145"/>
    <mergeCell ref="Z145:AB145"/>
    <mergeCell ref="AC145:AE145"/>
    <mergeCell ref="AU149:AW149"/>
    <mergeCell ref="AX149:BA149"/>
    <mergeCell ref="AO148:AQ148"/>
    <mergeCell ref="AR148:AT148"/>
    <mergeCell ref="AU148:AW148"/>
    <mergeCell ref="AX148:BA148"/>
    <mergeCell ref="AL149:AN149"/>
    <mergeCell ref="A149:B149"/>
    <mergeCell ref="C149:E149"/>
    <mergeCell ref="F149:H149"/>
    <mergeCell ref="I149:K149"/>
    <mergeCell ref="AI148:AK148"/>
    <mergeCell ref="AL148:AN148"/>
    <mergeCell ref="A145:B145"/>
    <mergeCell ref="C145:E145"/>
    <mergeCell ref="F145:H145"/>
    <mergeCell ref="I145:K145"/>
    <mergeCell ref="AR146:AT146"/>
    <mergeCell ref="O146:S146"/>
    <mergeCell ref="T146:V146"/>
    <mergeCell ref="W146:Y146"/>
    <mergeCell ref="Z146:AB146"/>
    <mergeCell ref="AC146:AE146"/>
    <mergeCell ref="AL147:AN147"/>
    <mergeCell ref="AO147:AQ147"/>
    <mergeCell ref="AF146:AH146"/>
    <mergeCell ref="AI146:AK146"/>
    <mergeCell ref="AL146:AN146"/>
    <mergeCell ref="AO146:AQ146"/>
    <mergeCell ref="T147:V147"/>
    <mergeCell ref="W147:Y147"/>
    <mergeCell ref="Z147:AB147"/>
    <mergeCell ref="O148:S148"/>
    <mergeCell ref="T148:V148"/>
    <mergeCell ref="W148:Y148"/>
    <mergeCell ref="Z148:AB148"/>
    <mergeCell ref="AC148:AE148"/>
    <mergeCell ref="AF148:AH148"/>
    <mergeCell ref="AF149:AH149"/>
    <mergeCell ref="AI149:AK149"/>
    <mergeCell ref="AR147:AT147"/>
    <mergeCell ref="AU147:AW147"/>
    <mergeCell ref="AU150:AW150"/>
    <mergeCell ref="AX150:BA150"/>
    <mergeCell ref="A151:B151"/>
    <mergeCell ref="C151:E151"/>
    <mergeCell ref="F151:H151"/>
    <mergeCell ref="I151:K151"/>
    <mergeCell ref="L151:N151"/>
    <mergeCell ref="O151:S151"/>
    <mergeCell ref="AX147:BA147"/>
    <mergeCell ref="A148:B148"/>
    <mergeCell ref="C148:E148"/>
    <mergeCell ref="F148:H148"/>
    <mergeCell ref="I148:K148"/>
    <mergeCell ref="L148:N148"/>
    <mergeCell ref="L149:N149"/>
    <mergeCell ref="O149:S149"/>
    <mergeCell ref="T149:V149"/>
    <mergeCell ref="W149:Y149"/>
    <mergeCell ref="Z149:AB149"/>
    <mergeCell ref="AC149:AE149"/>
    <mergeCell ref="AO149:AQ149"/>
    <mergeCell ref="AR149:AT149"/>
    <mergeCell ref="AX151:BA151"/>
    <mergeCell ref="A152:B152"/>
    <mergeCell ref="C152:E152"/>
    <mergeCell ref="F152:H152"/>
    <mergeCell ref="I152:K152"/>
    <mergeCell ref="L152:N152"/>
    <mergeCell ref="A150:B150"/>
    <mergeCell ref="C150:E150"/>
    <mergeCell ref="F150:H150"/>
    <mergeCell ref="I150:K150"/>
    <mergeCell ref="L150:N150"/>
    <mergeCell ref="AR150:AT150"/>
    <mergeCell ref="O150:S150"/>
    <mergeCell ref="T150:V150"/>
    <mergeCell ref="W150:Y150"/>
    <mergeCell ref="Z150:AB150"/>
    <mergeCell ref="AC150:AE150"/>
    <mergeCell ref="AF150:AH150"/>
    <mergeCell ref="AI150:AK150"/>
    <mergeCell ref="AL150:AN150"/>
    <mergeCell ref="AO150:AQ150"/>
    <mergeCell ref="AO153:AQ153"/>
    <mergeCell ref="AR153:AT153"/>
    <mergeCell ref="AU153:AW153"/>
    <mergeCell ref="AX153:BA153"/>
    <mergeCell ref="AO152:AQ152"/>
    <mergeCell ref="AR152:AT152"/>
    <mergeCell ref="AU152:AW152"/>
    <mergeCell ref="AX152:BA152"/>
    <mergeCell ref="AL151:AN151"/>
    <mergeCell ref="AO151:AQ151"/>
    <mergeCell ref="F154:H154"/>
    <mergeCell ref="I154:K154"/>
    <mergeCell ref="L154:N154"/>
    <mergeCell ref="AL153:AN153"/>
    <mergeCell ref="AU154:AW154"/>
    <mergeCell ref="AX154:BA154"/>
    <mergeCell ref="T151:V151"/>
    <mergeCell ref="W151:Y151"/>
    <mergeCell ref="Z151:AB151"/>
    <mergeCell ref="AC151:AE151"/>
    <mergeCell ref="AF151:AH151"/>
    <mergeCell ref="AI151:AK151"/>
    <mergeCell ref="AI152:AK152"/>
    <mergeCell ref="AL152:AN152"/>
    <mergeCell ref="O152:S152"/>
    <mergeCell ref="T152:V152"/>
    <mergeCell ref="W152:Y152"/>
    <mergeCell ref="Z152:AB152"/>
    <mergeCell ref="AC152:AE152"/>
    <mergeCell ref="AF152:AH152"/>
    <mergeCell ref="AR151:AT151"/>
    <mergeCell ref="AU151:AW151"/>
    <mergeCell ref="AC155:AE155"/>
    <mergeCell ref="AF155:AH155"/>
    <mergeCell ref="AI155:AK155"/>
    <mergeCell ref="AF153:AH153"/>
    <mergeCell ref="AI153:AK153"/>
    <mergeCell ref="A155:B155"/>
    <mergeCell ref="C155:E155"/>
    <mergeCell ref="F155:H155"/>
    <mergeCell ref="I155:K155"/>
    <mergeCell ref="L155:N155"/>
    <mergeCell ref="O155:S155"/>
    <mergeCell ref="A154:B154"/>
    <mergeCell ref="C154:E154"/>
    <mergeCell ref="L153:N153"/>
    <mergeCell ref="O153:S153"/>
    <mergeCell ref="T153:V153"/>
    <mergeCell ref="W153:Y153"/>
    <mergeCell ref="Z153:AB153"/>
    <mergeCell ref="AC153:AE153"/>
    <mergeCell ref="AU157:AW157"/>
    <mergeCell ref="AX157:BA157"/>
    <mergeCell ref="AO156:AQ156"/>
    <mergeCell ref="AR156:AT156"/>
    <mergeCell ref="AU156:AW156"/>
    <mergeCell ref="AX156:BA156"/>
    <mergeCell ref="AL157:AN157"/>
    <mergeCell ref="A157:B157"/>
    <mergeCell ref="C157:E157"/>
    <mergeCell ref="F157:H157"/>
    <mergeCell ref="I157:K157"/>
    <mergeCell ref="AI156:AK156"/>
    <mergeCell ref="AL156:AN156"/>
    <mergeCell ref="A153:B153"/>
    <mergeCell ref="C153:E153"/>
    <mergeCell ref="F153:H153"/>
    <mergeCell ref="I153:K153"/>
    <mergeCell ref="AR154:AT154"/>
    <mergeCell ref="O154:S154"/>
    <mergeCell ref="T154:V154"/>
    <mergeCell ref="W154:Y154"/>
    <mergeCell ref="Z154:AB154"/>
    <mergeCell ref="AC154:AE154"/>
    <mergeCell ref="AL155:AN155"/>
    <mergeCell ref="AO155:AQ155"/>
    <mergeCell ref="AF154:AH154"/>
    <mergeCell ref="AI154:AK154"/>
    <mergeCell ref="AL154:AN154"/>
    <mergeCell ref="AO154:AQ154"/>
    <mergeCell ref="T155:V155"/>
    <mergeCell ref="W155:Y155"/>
    <mergeCell ref="Z155:AB155"/>
    <mergeCell ref="O156:S156"/>
    <mergeCell ref="T156:V156"/>
    <mergeCell ref="W156:Y156"/>
    <mergeCell ref="Z156:AB156"/>
    <mergeCell ref="AC156:AE156"/>
    <mergeCell ref="AF156:AH156"/>
    <mergeCell ref="AF157:AH157"/>
    <mergeCell ref="AI157:AK157"/>
    <mergeCell ref="AR155:AT155"/>
    <mergeCell ref="AU155:AW155"/>
    <mergeCell ref="AU158:AW158"/>
    <mergeCell ref="AX158:BA158"/>
    <mergeCell ref="A159:B159"/>
    <mergeCell ref="C159:E159"/>
    <mergeCell ref="F159:H159"/>
    <mergeCell ref="I159:K159"/>
    <mergeCell ref="L159:N159"/>
    <mergeCell ref="O159:S159"/>
    <mergeCell ref="AX155:BA155"/>
    <mergeCell ref="A156:B156"/>
    <mergeCell ref="C156:E156"/>
    <mergeCell ref="F156:H156"/>
    <mergeCell ref="I156:K156"/>
    <mergeCell ref="L156:N156"/>
    <mergeCell ref="L157:N157"/>
    <mergeCell ref="O157:S157"/>
    <mergeCell ref="T157:V157"/>
    <mergeCell ref="W157:Y157"/>
    <mergeCell ref="Z157:AB157"/>
    <mergeCell ref="AC157:AE157"/>
    <mergeCell ref="AO157:AQ157"/>
    <mergeCell ref="AR157:AT157"/>
    <mergeCell ref="AX159:BA159"/>
    <mergeCell ref="A160:B160"/>
    <mergeCell ref="C160:E160"/>
    <mergeCell ref="F160:H160"/>
    <mergeCell ref="I160:K160"/>
    <mergeCell ref="L160:N160"/>
    <mergeCell ref="A158:B158"/>
    <mergeCell ref="C158:E158"/>
    <mergeCell ref="F158:H158"/>
    <mergeCell ref="I158:K158"/>
    <mergeCell ref="L158:N158"/>
    <mergeCell ref="AR158:AT158"/>
    <mergeCell ref="O158:S158"/>
    <mergeCell ref="T158:V158"/>
    <mergeCell ref="W158:Y158"/>
    <mergeCell ref="Z158:AB158"/>
    <mergeCell ref="AC158:AE158"/>
    <mergeCell ref="AF158:AH158"/>
    <mergeCell ref="AI158:AK158"/>
    <mergeCell ref="AL158:AN158"/>
    <mergeCell ref="AO158:AQ158"/>
    <mergeCell ref="AO161:AQ161"/>
    <mergeCell ref="AR161:AT161"/>
    <mergeCell ref="AU161:AW161"/>
    <mergeCell ref="AX161:BA161"/>
    <mergeCell ref="AO160:AQ160"/>
    <mergeCell ref="AR160:AT160"/>
    <mergeCell ref="AU160:AW160"/>
    <mergeCell ref="AX160:BA160"/>
    <mergeCell ref="AL159:AN159"/>
    <mergeCell ref="AO159:AQ159"/>
    <mergeCell ref="F162:H162"/>
    <mergeCell ref="I162:K162"/>
    <mergeCell ref="L162:N162"/>
    <mergeCell ref="AL161:AN161"/>
    <mergeCell ref="AU162:AW162"/>
    <mergeCell ref="AX162:BA162"/>
    <mergeCell ref="T159:V159"/>
    <mergeCell ref="W159:Y159"/>
    <mergeCell ref="Z159:AB159"/>
    <mergeCell ref="AC159:AE159"/>
    <mergeCell ref="AF159:AH159"/>
    <mergeCell ref="AI159:AK159"/>
    <mergeCell ref="AI160:AK160"/>
    <mergeCell ref="AL160:AN160"/>
    <mergeCell ref="O160:S160"/>
    <mergeCell ref="T160:V160"/>
    <mergeCell ref="W160:Y160"/>
    <mergeCell ref="Z160:AB160"/>
    <mergeCell ref="AC160:AE160"/>
    <mergeCell ref="AF160:AH160"/>
    <mergeCell ref="AR159:AT159"/>
    <mergeCell ref="AU159:AW159"/>
    <mergeCell ref="AC163:AE163"/>
    <mergeCell ref="AF163:AH163"/>
    <mergeCell ref="AI163:AK163"/>
    <mergeCell ref="AF161:AH161"/>
    <mergeCell ref="AI161:AK161"/>
    <mergeCell ref="A163:B163"/>
    <mergeCell ref="C163:E163"/>
    <mergeCell ref="F163:H163"/>
    <mergeCell ref="I163:K163"/>
    <mergeCell ref="L163:N163"/>
    <mergeCell ref="O163:S163"/>
    <mergeCell ref="A162:B162"/>
    <mergeCell ref="C162:E162"/>
    <mergeCell ref="L161:N161"/>
    <mergeCell ref="O161:S161"/>
    <mergeCell ref="T161:V161"/>
    <mergeCell ref="W161:Y161"/>
    <mergeCell ref="Z161:AB161"/>
    <mergeCell ref="AC161:AE161"/>
    <mergeCell ref="AU165:AW165"/>
    <mergeCell ref="AX165:BA165"/>
    <mergeCell ref="AO164:AQ164"/>
    <mergeCell ref="AR164:AT164"/>
    <mergeCell ref="AU164:AW164"/>
    <mergeCell ref="AX164:BA164"/>
    <mergeCell ref="AL165:AN165"/>
    <mergeCell ref="A165:B165"/>
    <mergeCell ref="C165:E165"/>
    <mergeCell ref="F165:H165"/>
    <mergeCell ref="I165:K165"/>
    <mergeCell ref="AI164:AK164"/>
    <mergeCell ref="AL164:AN164"/>
    <mergeCell ref="A161:B161"/>
    <mergeCell ref="C161:E161"/>
    <mergeCell ref="F161:H161"/>
    <mergeCell ref="I161:K161"/>
    <mergeCell ref="AR162:AT162"/>
    <mergeCell ref="O162:S162"/>
    <mergeCell ref="T162:V162"/>
    <mergeCell ref="W162:Y162"/>
    <mergeCell ref="Z162:AB162"/>
    <mergeCell ref="AC162:AE162"/>
    <mergeCell ref="AL163:AN163"/>
    <mergeCell ref="AO163:AQ163"/>
    <mergeCell ref="AF162:AH162"/>
    <mergeCell ref="AI162:AK162"/>
    <mergeCell ref="AL162:AN162"/>
    <mergeCell ref="AO162:AQ162"/>
    <mergeCell ref="T163:V163"/>
    <mergeCell ref="W163:Y163"/>
    <mergeCell ref="Z163:AB163"/>
    <mergeCell ref="O164:S164"/>
    <mergeCell ref="T164:V164"/>
    <mergeCell ref="W164:Y164"/>
    <mergeCell ref="Z164:AB164"/>
    <mergeCell ref="AC164:AE164"/>
    <mergeCell ref="AF164:AH164"/>
    <mergeCell ref="AF165:AH165"/>
    <mergeCell ref="AI165:AK165"/>
    <mergeCell ref="AR163:AT163"/>
    <mergeCell ref="AU163:AW163"/>
    <mergeCell ref="AU166:AW166"/>
    <mergeCell ref="AX166:BA166"/>
    <mergeCell ref="A167:B167"/>
    <mergeCell ref="C167:E167"/>
    <mergeCell ref="F167:H167"/>
    <mergeCell ref="I167:K167"/>
    <mergeCell ref="L167:N167"/>
    <mergeCell ref="O167:S167"/>
    <mergeCell ref="AX163:BA163"/>
    <mergeCell ref="A164:B164"/>
    <mergeCell ref="C164:E164"/>
    <mergeCell ref="F164:H164"/>
    <mergeCell ref="I164:K164"/>
    <mergeCell ref="L164:N164"/>
    <mergeCell ref="L165:N165"/>
    <mergeCell ref="O165:S165"/>
    <mergeCell ref="T165:V165"/>
    <mergeCell ref="W165:Y165"/>
    <mergeCell ref="Z165:AB165"/>
    <mergeCell ref="AC165:AE165"/>
    <mergeCell ref="AO165:AQ165"/>
    <mergeCell ref="AR165:AT165"/>
    <mergeCell ref="AX167:BA167"/>
    <mergeCell ref="A168:B168"/>
    <mergeCell ref="C168:E168"/>
    <mergeCell ref="F168:H168"/>
    <mergeCell ref="I168:K168"/>
    <mergeCell ref="L168:N168"/>
    <mergeCell ref="A166:B166"/>
    <mergeCell ref="C166:E166"/>
    <mergeCell ref="F166:H166"/>
    <mergeCell ref="I166:K166"/>
    <mergeCell ref="L166:N166"/>
    <mergeCell ref="AR166:AT166"/>
    <mergeCell ref="O166:S166"/>
    <mergeCell ref="T166:V166"/>
    <mergeCell ref="W166:Y166"/>
    <mergeCell ref="Z166:AB166"/>
    <mergeCell ref="AC166:AE166"/>
    <mergeCell ref="AF166:AH166"/>
    <mergeCell ref="AI166:AK166"/>
    <mergeCell ref="AL166:AN166"/>
    <mergeCell ref="AO166:AQ166"/>
    <mergeCell ref="AO169:AQ169"/>
    <mergeCell ref="AR169:AT169"/>
    <mergeCell ref="AU169:AW169"/>
    <mergeCell ref="AX169:BA169"/>
    <mergeCell ref="AO168:AQ168"/>
    <mergeCell ref="AR168:AT168"/>
    <mergeCell ref="AU168:AW168"/>
    <mergeCell ref="AX168:BA168"/>
    <mergeCell ref="AL167:AN167"/>
    <mergeCell ref="AO167:AQ167"/>
    <mergeCell ref="F170:H170"/>
    <mergeCell ref="I170:K170"/>
    <mergeCell ref="L170:N170"/>
    <mergeCell ref="AL169:AN169"/>
    <mergeCell ref="AU170:AW170"/>
    <mergeCell ref="AX170:BA170"/>
    <mergeCell ref="T167:V167"/>
    <mergeCell ref="W167:Y167"/>
    <mergeCell ref="Z167:AB167"/>
    <mergeCell ref="AC167:AE167"/>
    <mergeCell ref="AF167:AH167"/>
    <mergeCell ref="AI167:AK167"/>
    <mergeCell ref="AI168:AK168"/>
    <mergeCell ref="AL168:AN168"/>
    <mergeCell ref="O168:S168"/>
    <mergeCell ref="T168:V168"/>
    <mergeCell ref="W168:Y168"/>
    <mergeCell ref="Z168:AB168"/>
    <mergeCell ref="AC168:AE168"/>
    <mergeCell ref="AF168:AH168"/>
    <mergeCell ref="AR167:AT167"/>
    <mergeCell ref="AU167:AW167"/>
    <mergeCell ref="AC171:AE171"/>
    <mergeCell ref="AF171:AH171"/>
    <mergeCell ref="AI171:AK171"/>
    <mergeCell ref="AF169:AH169"/>
    <mergeCell ref="AI169:AK169"/>
    <mergeCell ref="A171:B171"/>
    <mergeCell ref="C171:E171"/>
    <mergeCell ref="F171:H171"/>
    <mergeCell ref="I171:K171"/>
    <mergeCell ref="L171:N171"/>
    <mergeCell ref="O171:S171"/>
    <mergeCell ref="A170:B170"/>
    <mergeCell ref="C170:E170"/>
    <mergeCell ref="L169:N169"/>
    <mergeCell ref="O169:S169"/>
    <mergeCell ref="T169:V169"/>
    <mergeCell ref="W169:Y169"/>
    <mergeCell ref="Z169:AB169"/>
    <mergeCell ref="AC169:AE169"/>
    <mergeCell ref="AU173:AW173"/>
    <mergeCell ref="AX173:BA173"/>
    <mergeCell ref="AO172:AQ172"/>
    <mergeCell ref="AR172:AT172"/>
    <mergeCell ref="AU172:AW172"/>
    <mergeCell ref="AX172:BA172"/>
    <mergeCell ref="AL173:AN173"/>
    <mergeCell ref="A173:B173"/>
    <mergeCell ref="C173:E173"/>
    <mergeCell ref="F173:H173"/>
    <mergeCell ref="I173:K173"/>
    <mergeCell ref="AI172:AK172"/>
    <mergeCell ref="AL172:AN172"/>
    <mergeCell ref="A169:B169"/>
    <mergeCell ref="C169:E169"/>
    <mergeCell ref="F169:H169"/>
    <mergeCell ref="I169:K169"/>
    <mergeCell ref="AR170:AT170"/>
    <mergeCell ref="O170:S170"/>
    <mergeCell ref="T170:V170"/>
    <mergeCell ref="W170:Y170"/>
    <mergeCell ref="Z170:AB170"/>
    <mergeCell ref="AC170:AE170"/>
    <mergeCell ref="AL171:AN171"/>
    <mergeCell ref="AO171:AQ171"/>
    <mergeCell ref="AF170:AH170"/>
    <mergeCell ref="AI170:AK170"/>
    <mergeCell ref="AL170:AN170"/>
    <mergeCell ref="AO170:AQ170"/>
    <mergeCell ref="T171:V171"/>
    <mergeCell ref="W171:Y171"/>
    <mergeCell ref="Z171:AB171"/>
    <mergeCell ref="O172:S172"/>
    <mergeCell ref="T172:V172"/>
    <mergeCell ref="W172:Y172"/>
    <mergeCell ref="Z172:AB172"/>
    <mergeCell ref="AC172:AE172"/>
    <mergeCell ref="AF172:AH172"/>
    <mergeCell ref="AF173:AH173"/>
    <mergeCell ref="AI173:AK173"/>
    <mergeCell ref="AR171:AT171"/>
    <mergeCell ref="AU171:AW171"/>
    <mergeCell ref="AU174:AW174"/>
    <mergeCell ref="AX174:BA174"/>
    <mergeCell ref="A175:B175"/>
    <mergeCell ref="C175:E175"/>
    <mergeCell ref="F175:H175"/>
    <mergeCell ref="I175:K175"/>
    <mergeCell ref="L175:N175"/>
    <mergeCell ref="O175:S175"/>
    <mergeCell ref="AX171:BA171"/>
    <mergeCell ref="A172:B172"/>
    <mergeCell ref="C172:E172"/>
    <mergeCell ref="F172:H172"/>
    <mergeCell ref="I172:K172"/>
    <mergeCell ref="L172:N172"/>
    <mergeCell ref="L173:N173"/>
    <mergeCell ref="O173:S173"/>
    <mergeCell ref="T173:V173"/>
    <mergeCell ref="W173:Y173"/>
    <mergeCell ref="Z173:AB173"/>
    <mergeCell ref="AC173:AE173"/>
    <mergeCell ref="AO173:AQ173"/>
    <mergeCell ref="AR173:AT173"/>
    <mergeCell ref="AX175:BA175"/>
    <mergeCell ref="A176:B176"/>
    <mergeCell ref="C176:E176"/>
    <mergeCell ref="F176:H176"/>
    <mergeCell ref="I176:K176"/>
    <mergeCell ref="L176:N176"/>
    <mergeCell ref="A174:B174"/>
    <mergeCell ref="C174:E174"/>
    <mergeCell ref="F174:H174"/>
    <mergeCell ref="I174:K174"/>
    <mergeCell ref="L174:N174"/>
    <mergeCell ref="AR174:AT174"/>
    <mergeCell ref="O174:S174"/>
    <mergeCell ref="T174:V174"/>
    <mergeCell ref="W174:Y174"/>
    <mergeCell ref="Z174:AB174"/>
    <mergeCell ref="AC174:AE174"/>
    <mergeCell ref="AF174:AH174"/>
    <mergeCell ref="AI174:AK174"/>
    <mergeCell ref="AL174:AN174"/>
    <mergeCell ref="AO174:AQ174"/>
    <mergeCell ref="AO177:AQ177"/>
    <mergeCell ref="AR177:AT177"/>
    <mergeCell ref="AU177:AW177"/>
    <mergeCell ref="AX177:BA177"/>
    <mergeCell ref="AO176:AQ176"/>
    <mergeCell ref="AR176:AT176"/>
    <mergeCell ref="AU176:AW176"/>
    <mergeCell ref="AX176:BA176"/>
    <mergeCell ref="AL175:AN175"/>
    <mergeCell ref="AO175:AQ175"/>
    <mergeCell ref="F178:H178"/>
    <mergeCell ref="I178:K178"/>
    <mergeCell ref="L178:N178"/>
    <mergeCell ref="AL177:AN177"/>
    <mergeCell ref="AU178:AW178"/>
    <mergeCell ref="AX178:BA178"/>
    <mergeCell ref="T175:V175"/>
    <mergeCell ref="W175:Y175"/>
    <mergeCell ref="Z175:AB175"/>
    <mergeCell ref="AC175:AE175"/>
    <mergeCell ref="AF175:AH175"/>
    <mergeCell ref="AI175:AK175"/>
    <mergeCell ref="AI176:AK176"/>
    <mergeCell ref="AL176:AN176"/>
    <mergeCell ref="O176:S176"/>
    <mergeCell ref="T176:V176"/>
    <mergeCell ref="W176:Y176"/>
    <mergeCell ref="Z176:AB176"/>
    <mergeCell ref="AC176:AE176"/>
    <mergeCell ref="AF176:AH176"/>
    <mergeCell ref="AR175:AT175"/>
    <mergeCell ref="AU175:AW175"/>
    <mergeCell ref="AC179:AE179"/>
    <mergeCell ref="AF179:AH179"/>
    <mergeCell ref="AI179:AK179"/>
    <mergeCell ref="AF177:AH177"/>
    <mergeCell ref="AI177:AK177"/>
    <mergeCell ref="A179:B179"/>
    <mergeCell ref="C179:E179"/>
    <mergeCell ref="F179:H179"/>
    <mergeCell ref="I179:K179"/>
    <mergeCell ref="L179:N179"/>
    <mergeCell ref="O179:S179"/>
    <mergeCell ref="A178:B178"/>
    <mergeCell ref="C178:E178"/>
    <mergeCell ref="L177:N177"/>
    <mergeCell ref="O177:S177"/>
    <mergeCell ref="T177:V177"/>
    <mergeCell ref="W177:Y177"/>
    <mergeCell ref="Z177:AB177"/>
    <mergeCell ref="AC177:AE177"/>
    <mergeCell ref="AU181:AW181"/>
    <mergeCell ref="AX181:BA181"/>
    <mergeCell ref="AO180:AQ180"/>
    <mergeCell ref="AR180:AT180"/>
    <mergeCell ref="AU180:AW180"/>
    <mergeCell ref="AX180:BA180"/>
    <mergeCell ref="AL181:AN181"/>
    <mergeCell ref="A181:B181"/>
    <mergeCell ref="C181:E181"/>
    <mergeCell ref="F181:H181"/>
    <mergeCell ref="I181:K181"/>
    <mergeCell ref="AI180:AK180"/>
    <mergeCell ref="AL180:AN180"/>
    <mergeCell ref="A177:B177"/>
    <mergeCell ref="C177:E177"/>
    <mergeCell ref="F177:H177"/>
    <mergeCell ref="I177:K177"/>
    <mergeCell ref="AR178:AT178"/>
    <mergeCell ref="O178:S178"/>
    <mergeCell ref="T178:V178"/>
    <mergeCell ref="W178:Y178"/>
    <mergeCell ref="Z178:AB178"/>
    <mergeCell ref="AC178:AE178"/>
    <mergeCell ref="AL179:AN179"/>
    <mergeCell ref="AO179:AQ179"/>
    <mergeCell ref="AF178:AH178"/>
    <mergeCell ref="AI178:AK178"/>
    <mergeCell ref="AL178:AN178"/>
    <mergeCell ref="AO178:AQ178"/>
    <mergeCell ref="T179:V179"/>
    <mergeCell ref="W179:Y179"/>
    <mergeCell ref="Z179:AB179"/>
    <mergeCell ref="O180:S180"/>
    <mergeCell ref="T180:V180"/>
    <mergeCell ref="W180:Y180"/>
    <mergeCell ref="Z180:AB180"/>
    <mergeCell ref="AC180:AE180"/>
    <mergeCell ref="AF180:AH180"/>
    <mergeCell ref="AF181:AH181"/>
    <mergeCell ref="AI181:AK181"/>
    <mergeCell ref="AR179:AT179"/>
    <mergeCell ref="AU179:AW179"/>
    <mergeCell ref="AU182:AW182"/>
    <mergeCell ref="AX182:BA182"/>
    <mergeCell ref="A183:B183"/>
    <mergeCell ref="C183:E183"/>
    <mergeCell ref="F183:H183"/>
    <mergeCell ref="I183:K183"/>
    <mergeCell ref="L183:N183"/>
    <mergeCell ref="O183:S183"/>
    <mergeCell ref="AX179:BA179"/>
    <mergeCell ref="A180:B180"/>
    <mergeCell ref="C180:E180"/>
    <mergeCell ref="F180:H180"/>
    <mergeCell ref="I180:K180"/>
    <mergeCell ref="L180:N180"/>
    <mergeCell ref="L181:N181"/>
    <mergeCell ref="O181:S181"/>
    <mergeCell ref="T181:V181"/>
    <mergeCell ref="W181:Y181"/>
    <mergeCell ref="Z181:AB181"/>
    <mergeCell ref="AC181:AE181"/>
    <mergeCell ref="AO181:AQ181"/>
    <mergeCell ref="AR181:AT181"/>
    <mergeCell ref="AX183:BA183"/>
    <mergeCell ref="A184:B184"/>
    <mergeCell ref="C184:E184"/>
    <mergeCell ref="F184:H184"/>
    <mergeCell ref="I184:K184"/>
    <mergeCell ref="L184:N184"/>
    <mergeCell ref="A182:B182"/>
    <mergeCell ref="C182:E182"/>
    <mergeCell ref="F182:H182"/>
    <mergeCell ref="I182:K182"/>
    <mergeCell ref="L182:N182"/>
    <mergeCell ref="AR182:AT182"/>
    <mergeCell ref="O182:S182"/>
    <mergeCell ref="T182:V182"/>
    <mergeCell ref="W182:Y182"/>
    <mergeCell ref="Z182:AB182"/>
    <mergeCell ref="AC182:AE182"/>
    <mergeCell ref="AF182:AH182"/>
    <mergeCell ref="AI182:AK182"/>
    <mergeCell ref="AL182:AN182"/>
    <mergeCell ref="AO182:AQ182"/>
    <mergeCell ref="AO185:AQ185"/>
    <mergeCell ref="AR185:AT185"/>
    <mergeCell ref="AU185:AW185"/>
    <mergeCell ref="AX185:BA185"/>
    <mergeCell ref="AO184:AQ184"/>
    <mergeCell ref="AR184:AT184"/>
    <mergeCell ref="AU184:AW184"/>
    <mergeCell ref="AX184:BA184"/>
    <mergeCell ref="AL183:AN183"/>
    <mergeCell ref="AO183:AQ183"/>
    <mergeCell ref="F186:H186"/>
    <mergeCell ref="I186:K186"/>
    <mergeCell ref="L186:N186"/>
    <mergeCell ref="AL185:AN185"/>
    <mergeCell ref="AU186:AW186"/>
    <mergeCell ref="AX186:BA186"/>
    <mergeCell ref="T183:V183"/>
    <mergeCell ref="W183:Y183"/>
    <mergeCell ref="Z183:AB183"/>
    <mergeCell ref="AC183:AE183"/>
    <mergeCell ref="AF183:AH183"/>
    <mergeCell ref="AI183:AK183"/>
    <mergeCell ref="AI184:AK184"/>
    <mergeCell ref="AL184:AN184"/>
    <mergeCell ref="O184:S184"/>
    <mergeCell ref="T184:V184"/>
    <mergeCell ref="W184:Y184"/>
    <mergeCell ref="Z184:AB184"/>
    <mergeCell ref="AC184:AE184"/>
    <mergeCell ref="AF184:AH184"/>
    <mergeCell ref="AR183:AT183"/>
    <mergeCell ref="AU183:AW183"/>
    <mergeCell ref="AC187:AE187"/>
    <mergeCell ref="AF187:AH187"/>
    <mergeCell ref="AI187:AK187"/>
    <mergeCell ref="AF185:AH185"/>
    <mergeCell ref="AI185:AK185"/>
    <mergeCell ref="A187:B187"/>
    <mergeCell ref="C187:E187"/>
    <mergeCell ref="F187:H187"/>
    <mergeCell ref="I187:K187"/>
    <mergeCell ref="L187:N187"/>
    <mergeCell ref="O187:S187"/>
    <mergeCell ref="A186:B186"/>
    <mergeCell ref="C186:E186"/>
    <mergeCell ref="L185:N185"/>
    <mergeCell ref="O185:S185"/>
    <mergeCell ref="T185:V185"/>
    <mergeCell ref="W185:Y185"/>
    <mergeCell ref="Z185:AB185"/>
    <mergeCell ref="AC185:AE185"/>
    <mergeCell ref="AU189:AW189"/>
    <mergeCell ref="AX189:BA189"/>
    <mergeCell ref="AO188:AQ188"/>
    <mergeCell ref="AR188:AT188"/>
    <mergeCell ref="AU188:AW188"/>
    <mergeCell ref="AX188:BA188"/>
    <mergeCell ref="AL189:AN189"/>
    <mergeCell ref="A189:B189"/>
    <mergeCell ref="C189:E189"/>
    <mergeCell ref="F189:H189"/>
    <mergeCell ref="I189:K189"/>
    <mergeCell ref="AI188:AK188"/>
    <mergeCell ref="AL188:AN188"/>
    <mergeCell ref="A185:B185"/>
    <mergeCell ref="C185:E185"/>
    <mergeCell ref="F185:H185"/>
    <mergeCell ref="I185:K185"/>
    <mergeCell ref="AR186:AT186"/>
    <mergeCell ref="O186:S186"/>
    <mergeCell ref="T186:V186"/>
    <mergeCell ref="W186:Y186"/>
    <mergeCell ref="Z186:AB186"/>
    <mergeCell ref="AC186:AE186"/>
    <mergeCell ref="AL187:AN187"/>
    <mergeCell ref="AO187:AQ187"/>
    <mergeCell ref="AF186:AH186"/>
    <mergeCell ref="AI186:AK186"/>
    <mergeCell ref="AL186:AN186"/>
    <mergeCell ref="AO186:AQ186"/>
    <mergeCell ref="T187:V187"/>
    <mergeCell ref="W187:Y187"/>
    <mergeCell ref="Z187:AB187"/>
    <mergeCell ref="O188:S188"/>
    <mergeCell ref="T188:V188"/>
    <mergeCell ref="W188:Y188"/>
    <mergeCell ref="Z188:AB188"/>
    <mergeCell ref="AC188:AE188"/>
    <mergeCell ref="AF188:AH188"/>
    <mergeCell ref="AF189:AH189"/>
    <mergeCell ref="AI189:AK189"/>
    <mergeCell ref="AR187:AT187"/>
    <mergeCell ref="AU187:AW187"/>
    <mergeCell ref="AU190:AW190"/>
    <mergeCell ref="AX190:BA190"/>
    <mergeCell ref="A191:B191"/>
    <mergeCell ref="C191:E191"/>
    <mergeCell ref="F191:H191"/>
    <mergeCell ref="I191:K191"/>
    <mergeCell ref="L191:N191"/>
    <mergeCell ref="O191:S191"/>
    <mergeCell ref="AX187:BA187"/>
    <mergeCell ref="A188:B188"/>
    <mergeCell ref="C188:E188"/>
    <mergeCell ref="F188:H188"/>
    <mergeCell ref="I188:K188"/>
    <mergeCell ref="L188:N188"/>
    <mergeCell ref="L189:N189"/>
    <mergeCell ref="O189:S189"/>
    <mergeCell ref="T189:V189"/>
    <mergeCell ref="W189:Y189"/>
    <mergeCell ref="Z189:AB189"/>
    <mergeCell ref="AC189:AE189"/>
    <mergeCell ref="AO189:AQ189"/>
    <mergeCell ref="AR189:AT189"/>
    <mergeCell ref="AX191:BA191"/>
    <mergeCell ref="A192:B192"/>
    <mergeCell ref="C192:E192"/>
    <mergeCell ref="F192:H192"/>
    <mergeCell ref="I192:K192"/>
    <mergeCell ref="L192:N192"/>
    <mergeCell ref="A190:B190"/>
    <mergeCell ref="C190:E190"/>
    <mergeCell ref="F190:H190"/>
    <mergeCell ref="I190:K190"/>
    <mergeCell ref="L190:N190"/>
    <mergeCell ref="AR190:AT190"/>
    <mergeCell ref="O190:S190"/>
    <mergeCell ref="T190:V190"/>
    <mergeCell ref="W190:Y190"/>
    <mergeCell ref="Z190:AB190"/>
    <mergeCell ref="AC190:AE190"/>
    <mergeCell ref="AF190:AH190"/>
    <mergeCell ref="AI190:AK190"/>
    <mergeCell ref="AL190:AN190"/>
    <mergeCell ref="AO190:AQ190"/>
    <mergeCell ref="AO193:AQ193"/>
    <mergeCell ref="AR193:AT193"/>
    <mergeCell ref="AU193:AW193"/>
    <mergeCell ref="AX193:BA193"/>
    <mergeCell ref="AO192:AQ192"/>
    <mergeCell ref="AR192:AT192"/>
    <mergeCell ref="AU192:AW192"/>
    <mergeCell ref="AX192:BA192"/>
    <mergeCell ref="AL191:AN191"/>
    <mergeCell ref="AO191:AQ191"/>
    <mergeCell ref="F194:H194"/>
    <mergeCell ref="I194:K194"/>
    <mergeCell ref="L194:N194"/>
    <mergeCell ref="AL193:AN193"/>
    <mergeCell ref="AU194:AW194"/>
    <mergeCell ref="AX194:BA194"/>
    <mergeCell ref="T191:V191"/>
    <mergeCell ref="W191:Y191"/>
    <mergeCell ref="Z191:AB191"/>
    <mergeCell ref="AC191:AE191"/>
    <mergeCell ref="AF191:AH191"/>
    <mergeCell ref="AI191:AK191"/>
    <mergeCell ref="AI192:AK192"/>
    <mergeCell ref="AL192:AN192"/>
    <mergeCell ref="O192:S192"/>
    <mergeCell ref="T192:V192"/>
    <mergeCell ref="W192:Y192"/>
    <mergeCell ref="Z192:AB192"/>
    <mergeCell ref="AC192:AE192"/>
    <mergeCell ref="AF192:AH192"/>
    <mergeCell ref="AR191:AT191"/>
    <mergeCell ref="AU191:AW191"/>
    <mergeCell ref="AC195:AE195"/>
    <mergeCell ref="AF195:AH195"/>
    <mergeCell ref="AI195:AK195"/>
    <mergeCell ref="AF193:AH193"/>
    <mergeCell ref="AI193:AK193"/>
    <mergeCell ref="A195:B195"/>
    <mergeCell ref="C195:E195"/>
    <mergeCell ref="F195:H195"/>
    <mergeCell ref="I195:K195"/>
    <mergeCell ref="L195:N195"/>
    <mergeCell ref="O195:S195"/>
    <mergeCell ref="A194:B194"/>
    <mergeCell ref="C194:E194"/>
    <mergeCell ref="L193:N193"/>
    <mergeCell ref="O193:S193"/>
    <mergeCell ref="T193:V193"/>
    <mergeCell ref="W193:Y193"/>
    <mergeCell ref="Z193:AB193"/>
    <mergeCell ref="AC193:AE193"/>
    <mergeCell ref="AU197:AW197"/>
    <mergeCell ref="AX197:BA197"/>
    <mergeCell ref="AO196:AQ196"/>
    <mergeCell ref="AR196:AT196"/>
    <mergeCell ref="AU196:AW196"/>
    <mergeCell ref="AX196:BA196"/>
    <mergeCell ref="AL197:AN197"/>
    <mergeCell ref="A197:B197"/>
    <mergeCell ref="C197:E197"/>
    <mergeCell ref="F197:H197"/>
    <mergeCell ref="I197:K197"/>
    <mergeCell ref="AI196:AK196"/>
    <mergeCell ref="AL196:AN196"/>
    <mergeCell ref="A193:B193"/>
    <mergeCell ref="C193:E193"/>
    <mergeCell ref="F193:H193"/>
    <mergeCell ref="I193:K193"/>
    <mergeCell ref="AR194:AT194"/>
    <mergeCell ref="O194:S194"/>
    <mergeCell ref="T194:V194"/>
    <mergeCell ref="W194:Y194"/>
    <mergeCell ref="Z194:AB194"/>
    <mergeCell ref="AC194:AE194"/>
    <mergeCell ref="AL195:AN195"/>
    <mergeCell ref="AO195:AQ195"/>
    <mergeCell ref="AF194:AH194"/>
    <mergeCell ref="AI194:AK194"/>
    <mergeCell ref="AL194:AN194"/>
    <mergeCell ref="AO194:AQ194"/>
    <mergeCell ref="T195:V195"/>
    <mergeCell ref="W195:Y195"/>
    <mergeCell ref="Z195:AB195"/>
    <mergeCell ref="O196:S196"/>
    <mergeCell ref="T196:V196"/>
    <mergeCell ref="W196:Y196"/>
    <mergeCell ref="Z196:AB196"/>
    <mergeCell ref="AC196:AE196"/>
    <mergeCell ref="AF196:AH196"/>
    <mergeCell ref="AF197:AH197"/>
    <mergeCell ref="AI197:AK197"/>
    <mergeCell ref="AR195:AT195"/>
    <mergeCell ref="AU195:AW195"/>
    <mergeCell ref="AU198:AW198"/>
    <mergeCell ref="AX198:BA198"/>
    <mergeCell ref="A199:B199"/>
    <mergeCell ref="C199:E199"/>
    <mergeCell ref="F199:H199"/>
    <mergeCell ref="I199:K199"/>
    <mergeCell ref="L199:N199"/>
    <mergeCell ref="O199:S199"/>
    <mergeCell ref="AX195:BA195"/>
    <mergeCell ref="A196:B196"/>
    <mergeCell ref="C196:E196"/>
    <mergeCell ref="F196:H196"/>
    <mergeCell ref="I196:K196"/>
    <mergeCell ref="L196:N196"/>
    <mergeCell ref="L197:N197"/>
    <mergeCell ref="O197:S197"/>
    <mergeCell ref="T197:V197"/>
    <mergeCell ref="W197:Y197"/>
    <mergeCell ref="Z197:AB197"/>
    <mergeCell ref="AC197:AE197"/>
    <mergeCell ref="AO197:AQ197"/>
    <mergeCell ref="AR197:AT197"/>
    <mergeCell ref="AX199:BA199"/>
    <mergeCell ref="A200:B200"/>
    <mergeCell ref="C200:E200"/>
    <mergeCell ref="F200:H200"/>
    <mergeCell ref="I200:K200"/>
    <mergeCell ref="L200:N200"/>
    <mergeCell ref="A198:B198"/>
    <mergeCell ref="C198:E198"/>
    <mergeCell ref="F198:H198"/>
    <mergeCell ref="I198:K198"/>
    <mergeCell ref="L198:N198"/>
    <mergeCell ref="AR198:AT198"/>
    <mergeCell ref="O198:S198"/>
    <mergeCell ref="T198:V198"/>
    <mergeCell ref="W198:Y198"/>
    <mergeCell ref="Z198:AB198"/>
    <mergeCell ref="AC198:AE198"/>
    <mergeCell ref="AF198:AH198"/>
    <mergeCell ref="AI198:AK198"/>
    <mergeCell ref="AL198:AN198"/>
    <mergeCell ref="AO198:AQ198"/>
    <mergeCell ref="AO201:AQ201"/>
    <mergeCell ref="AR201:AT201"/>
    <mergeCell ref="AU201:AW201"/>
    <mergeCell ref="AX201:BA201"/>
    <mergeCell ref="AO200:AQ200"/>
    <mergeCell ref="AR200:AT200"/>
    <mergeCell ref="AU200:AW200"/>
    <mergeCell ref="AX200:BA200"/>
    <mergeCell ref="AL199:AN199"/>
    <mergeCell ref="AO199:AQ199"/>
    <mergeCell ref="F202:H202"/>
    <mergeCell ref="I202:K202"/>
    <mergeCell ref="L202:N202"/>
    <mergeCell ref="AL201:AN201"/>
    <mergeCell ref="AU202:AW202"/>
    <mergeCell ref="AX202:BA202"/>
    <mergeCell ref="T199:V199"/>
    <mergeCell ref="W199:Y199"/>
    <mergeCell ref="Z199:AB199"/>
    <mergeCell ref="AC199:AE199"/>
    <mergeCell ref="AF199:AH199"/>
    <mergeCell ref="AI199:AK199"/>
    <mergeCell ref="AI200:AK200"/>
    <mergeCell ref="AL200:AN200"/>
    <mergeCell ref="O200:S200"/>
    <mergeCell ref="T200:V200"/>
    <mergeCell ref="W200:Y200"/>
    <mergeCell ref="Z200:AB200"/>
    <mergeCell ref="AC200:AE200"/>
    <mergeCell ref="AF200:AH200"/>
    <mergeCell ref="AR199:AT199"/>
    <mergeCell ref="AU199:AW199"/>
    <mergeCell ref="AC203:AE203"/>
    <mergeCell ref="AF203:AH203"/>
    <mergeCell ref="AI203:AK203"/>
    <mergeCell ref="AF201:AH201"/>
    <mergeCell ref="AI201:AK201"/>
    <mergeCell ref="A203:B203"/>
    <mergeCell ref="C203:E203"/>
    <mergeCell ref="F203:H203"/>
    <mergeCell ref="I203:K203"/>
    <mergeCell ref="L203:N203"/>
    <mergeCell ref="O203:S203"/>
    <mergeCell ref="A202:B202"/>
    <mergeCell ref="C202:E202"/>
    <mergeCell ref="L201:N201"/>
    <mergeCell ref="O201:S201"/>
    <mergeCell ref="T201:V201"/>
    <mergeCell ref="W201:Y201"/>
    <mergeCell ref="Z201:AB201"/>
    <mergeCell ref="AC201:AE201"/>
    <mergeCell ref="AU205:AW205"/>
    <mergeCell ref="AX205:BA205"/>
    <mergeCell ref="AO204:AQ204"/>
    <mergeCell ref="AR204:AT204"/>
    <mergeCell ref="AU204:AW204"/>
    <mergeCell ref="AX204:BA204"/>
    <mergeCell ref="AL205:AN205"/>
    <mergeCell ref="A205:B205"/>
    <mergeCell ref="C205:E205"/>
    <mergeCell ref="F205:H205"/>
    <mergeCell ref="I205:K205"/>
    <mergeCell ref="AI204:AK204"/>
    <mergeCell ref="AL204:AN204"/>
    <mergeCell ref="A201:B201"/>
    <mergeCell ref="C201:E201"/>
    <mergeCell ref="F201:H201"/>
    <mergeCell ref="I201:K201"/>
    <mergeCell ref="AR202:AT202"/>
    <mergeCell ref="O202:S202"/>
    <mergeCell ref="T202:V202"/>
    <mergeCell ref="W202:Y202"/>
    <mergeCell ref="Z202:AB202"/>
    <mergeCell ref="AC202:AE202"/>
    <mergeCell ref="AL203:AN203"/>
    <mergeCell ref="AO203:AQ203"/>
    <mergeCell ref="AF202:AH202"/>
    <mergeCell ref="AI202:AK202"/>
    <mergeCell ref="AL202:AN202"/>
    <mergeCell ref="AO202:AQ202"/>
    <mergeCell ref="T203:V203"/>
    <mergeCell ref="W203:Y203"/>
    <mergeCell ref="Z203:AB203"/>
    <mergeCell ref="O204:S204"/>
    <mergeCell ref="T204:V204"/>
    <mergeCell ref="W204:Y204"/>
    <mergeCell ref="Z204:AB204"/>
    <mergeCell ref="AC204:AE204"/>
    <mergeCell ref="AF204:AH204"/>
    <mergeCell ref="AF205:AH205"/>
    <mergeCell ref="AI205:AK205"/>
    <mergeCell ref="AR203:AT203"/>
    <mergeCell ref="AU203:AW203"/>
    <mergeCell ref="AU206:AW206"/>
    <mergeCell ref="AX206:BA206"/>
    <mergeCell ref="A207:B207"/>
    <mergeCell ref="C207:E207"/>
    <mergeCell ref="F207:H207"/>
    <mergeCell ref="I207:K207"/>
    <mergeCell ref="L207:N207"/>
    <mergeCell ref="O207:S207"/>
    <mergeCell ref="AX203:BA203"/>
    <mergeCell ref="A204:B204"/>
    <mergeCell ref="C204:E204"/>
    <mergeCell ref="F204:H204"/>
    <mergeCell ref="I204:K204"/>
    <mergeCell ref="L204:N204"/>
    <mergeCell ref="L205:N205"/>
    <mergeCell ref="O205:S205"/>
    <mergeCell ref="T205:V205"/>
    <mergeCell ref="W205:Y205"/>
    <mergeCell ref="Z205:AB205"/>
    <mergeCell ref="AC205:AE205"/>
    <mergeCell ref="AO205:AQ205"/>
    <mergeCell ref="AR205:AT205"/>
    <mergeCell ref="AX207:BA207"/>
    <mergeCell ref="A208:B208"/>
    <mergeCell ref="C208:E208"/>
    <mergeCell ref="F208:H208"/>
    <mergeCell ref="I208:K208"/>
    <mergeCell ref="L208:N208"/>
    <mergeCell ref="A206:B206"/>
    <mergeCell ref="C206:E206"/>
    <mergeCell ref="F206:H206"/>
    <mergeCell ref="I206:K206"/>
    <mergeCell ref="L206:N206"/>
    <mergeCell ref="AR206:AT206"/>
    <mergeCell ref="O206:S206"/>
    <mergeCell ref="T206:V206"/>
    <mergeCell ref="W206:Y206"/>
    <mergeCell ref="Z206:AB206"/>
    <mergeCell ref="AC206:AE206"/>
    <mergeCell ref="AF206:AH206"/>
    <mergeCell ref="AI206:AK206"/>
    <mergeCell ref="AL206:AN206"/>
    <mergeCell ref="AO206:AQ206"/>
    <mergeCell ref="AO209:AQ209"/>
    <mergeCell ref="AR209:AT209"/>
    <mergeCell ref="AU209:AW209"/>
    <mergeCell ref="AX209:BA209"/>
    <mergeCell ref="AO208:AQ208"/>
    <mergeCell ref="AR208:AT208"/>
    <mergeCell ref="AU208:AW208"/>
    <mergeCell ref="AX208:BA208"/>
    <mergeCell ref="AL207:AN207"/>
    <mergeCell ref="AO207:AQ207"/>
    <mergeCell ref="F210:H210"/>
    <mergeCell ref="I210:K210"/>
    <mergeCell ref="L210:N210"/>
    <mergeCell ref="AL209:AN209"/>
    <mergeCell ref="AU210:AW210"/>
    <mergeCell ref="AX210:BA210"/>
    <mergeCell ref="T207:V207"/>
    <mergeCell ref="W207:Y207"/>
    <mergeCell ref="Z207:AB207"/>
    <mergeCell ref="AC207:AE207"/>
    <mergeCell ref="AF207:AH207"/>
    <mergeCell ref="AI207:AK207"/>
    <mergeCell ref="AI208:AK208"/>
    <mergeCell ref="AL208:AN208"/>
    <mergeCell ref="O208:S208"/>
    <mergeCell ref="T208:V208"/>
    <mergeCell ref="W208:Y208"/>
    <mergeCell ref="Z208:AB208"/>
    <mergeCell ref="AC208:AE208"/>
    <mergeCell ref="AF208:AH208"/>
    <mergeCell ref="AR207:AT207"/>
    <mergeCell ref="AU207:AW207"/>
    <mergeCell ref="AC211:AE211"/>
    <mergeCell ref="AF211:AH211"/>
    <mergeCell ref="AI211:AK211"/>
    <mergeCell ref="AF209:AH209"/>
    <mergeCell ref="AI209:AK209"/>
    <mergeCell ref="A211:B211"/>
    <mergeCell ref="C211:E211"/>
    <mergeCell ref="F211:H211"/>
    <mergeCell ref="I211:K211"/>
    <mergeCell ref="L211:N211"/>
    <mergeCell ref="O211:S211"/>
    <mergeCell ref="A210:B210"/>
    <mergeCell ref="C210:E210"/>
    <mergeCell ref="L209:N209"/>
    <mergeCell ref="O209:S209"/>
    <mergeCell ref="T209:V209"/>
    <mergeCell ref="W209:Y209"/>
    <mergeCell ref="Z209:AB209"/>
    <mergeCell ref="AC209:AE209"/>
    <mergeCell ref="AU213:AW213"/>
    <mergeCell ref="AX213:BA213"/>
    <mergeCell ref="AO212:AQ212"/>
    <mergeCell ref="AR212:AT212"/>
    <mergeCell ref="AU212:AW212"/>
    <mergeCell ref="AX212:BA212"/>
    <mergeCell ref="AL213:AN213"/>
    <mergeCell ref="A213:B213"/>
    <mergeCell ref="C213:E213"/>
    <mergeCell ref="F213:H213"/>
    <mergeCell ref="I213:K213"/>
    <mergeCell ref="AI212:AK212"/>
    <mergeCell ref="AL212:AN212"/>
    <mergeCell ref="A209:B209"/>
    <mergeCell ref="C209:E209"/>
    <mergeCell ref="F209:H209"/>
    <mergeCell ref="I209:K209"/>
    <mergeCell ref="AR210:AT210"/>
    <mergeCell ref="O210:S210"/>
    <mergeCell ref="T210:V210"/>
    <mergeCell ref="W210:Y210"/>
    <mergeCell ref="Z210:AB210"/>
    <mergeCell ref="AC210:AE210"/>
    <mergeCell ref="AL211:AN211"/>
    <mergeCell ref="AO211:AQ211"/>
    <mergeCell ref="AF210:AH210"/>
    <mergeCell ref="AI210:AK210"/>
    <mergeCell ref="AL210:AN210"/>
    <mergeCell ref="AO210:AQ210"/>
    <mergeCell ref="T211:V211"/>
    <mergeCell ref="W211:Y211"/>
    <mergeCell ref="Z211:AB211"/>
    <mergeCell ref="O212:S212"/>
    <mergeCell ref="T212:V212"/>
    <mergeCell ref="W212:Y212"/>
    <mergeCell ref="Z212:AB212"/>
    <mergeCell ref="AC212:AE212"/>
    <mergeCell ref="AF212:AH212"/>
    <mergeCell ref="AF213:AH213"/>
    <mergeCell ref="AI213:AK213"/>
    <mergeCell ref="AR211:AT211"/>
    <mergeCell ref="AU211:AW211"/>
    <mergeCell ref="AU214:AW214"/>
    <mergeCell ref="AX214:BA214"/>
    <mergeCell ref="A215:B215"/>
    <mergeCell ref="C215:E215"/>
    <mergeCell ref="F215:H215"/>
    <mergeCell ref="I215:K215"/>
    <mergeCell ref="L215:N215"/>
    <mergeCell ref="O215:S215"/>
    <mergeCell ref="AX211:BA211"/>
    <mergeCell ref="A212:B212"/>
    <mergeCell ref="C212:E212"/>
    <mergeCell ref="F212:H212"/>
    <mergeCell ref="I212:K212"/>
    <mergeCell ref="L212:N212"/>
    <mergeCell ref="L213:N213"/>
    <mergeCell ref="O213:S213"/>
    <mergeCell ref="T213:V213"/>
    <mergeCell ref="W213:Y213"/>
    <mergeCell ref="Z213:AB213"/>
    <mergeCell ref="AC213:AE213"/>
    <mergeCell ref="AO213:AQ213"/>
    <mergeCell ref="AR213:AT213"/>
    <mergeCell ref="O216:S216"/>
    <mergeCell ref="T216:V216"/>
    <mergeCell ref="W216:Y216"/>
    <mergeCell ref="Z216:AB216"/>
    <mergeCell ref="AC216:AE216"/>
    <mergeCell ref="AF216:AH216"/>
    <mergeCell ref="AR215:AT215"/>
    <mergeCell ref="AU215:AW215"/>
    <mergeCell ref="AX215:BA215"/>
    <mergeCell ref="A216:B216"/>
    <mergeCell ref="C216:E216"/>
    <mergeCell ref="F216:H216"/>
    <mergeCell ref="I216:K216"/>
    <mergeCell ref="L216:N216"/>
    <mergeCell ref="A214:B214"/>
    <mergeCell ref="C214:E214"/>
    <mergeCell ref="F214:H214"/>
    <mergeCell ref="I214:K214"/>
    <mergeCell ref="L214:N214"/>
    <mergeCell ref="AR214:AT214"/>
    <mergeCell ref="O214:S214"/>
    <mergeCell ref="T214:V214"/>
    <mergeCell ref="W214:Y214"/>
    <mergeCell ref="Z214:AB214"/>
    <mergeCell ref="AC214:AE214"/>
    <mergeCell ref="AF214:AH214"/>
    <mergeCell ref="AI214:AK214"/>
    <mergeCell ref="AL214:AN214"/>
    <mergeCell ref="AO214:AQ214"/>
    <mergeCell ref="AX217:BA217"/>
    <mergeCell ref="AO216:AQ216"/>
    <mergeCell ref="AR216:AT216"/>
    <mergeCell ref="AU216:AW216"/>
    <mergeCell ref="AX216:BA216"/>
    <mergeCell ref="AL215:AN215"/>
    <mergeCell ref="AO215:AQ215"/>
    <mergeCell ref="A218:B218"/>
    <mergeCell ref="C218:E218"/>
    <mergeCell ref="F218:H218"/>
    <mergeCell ref="I218:K218"/>
    <mergeCell ref="L218:N218"/>
    <mergeCell ref="AL217:AN217"/>
    <mergeCell ref="A217:B217"/>
    <mergeCell ref="C217:E217"/>
    <mergeCell ref="F217:H217"/>
    <mergeCell ref="I217:K217"/>
    <mergeCell ref="AR218:AT218"/>
    <mergeCell ref="O218:S218"/>
    <mergeCell ref="T218:V218"/>
    <mergeCell ref="W218:Y218"/>
    <mergeCell ref="Z218:AB218"/>
    <mergeCell ref="AC218:AE218"/>
    <mergeCell ref="T215:V215"/>
    <mergeCell ref="W215:Y215"/>
    <mergeCell ref="Z215:AB215"/>
    <mergeCell ref="AC215:AE215"/>
    <mergeCell ref="AF215:AH215"/>
    <mergeCell ref="AI215:AK215"/>
    <mergeCell ref="AI216:AK216"/>
    <mergeCell ref="AL216:AN216"/>
    <mergeCell ref="AI218:AK218"/>
    <mergeCell ref="AL218:AN218"/>
    <mergeCell ref="AO218:AQ218"/>
    <mergeCell ref="T219:V219"/>
    <mergeCell ref="W219:Y219"/>
    <mergeCell ref="Z219:AB219"/>
    <mergeCell ref="AC219:AE219"/>
    <mergeCell ref="AF219:AH219"/>
    <mergeCell ref="AI219:AK219"/>
    <mergeCell ref="AF217:AH217"/>
    <mergeCell ref="AI217:AK217"/>
    <mergeCell ref="AI220:AK220"/>
    <mergeCell ref="AL220:AN220"/>
    <mergeCell ref="AU218:AW218"/>
    <mergeCell ref="L217:N217"/>
    <mergeCell ref="O217:S217"/>
    <mergeCell ref="T217:V217"/>
    <mergeCell ref="W217:Y217"/>
    <mergeCell ref="Z217:AB217"/>
    <mergeCell ref="AC217:AE217"/>
    <mergeCell ref="AO217:AQ217"/>
    <mergeCell ref="AR217:AT217"/>
    <mergeCell ref="AU217:AW217"/>
    <mergeCell ref="AX218:BA218"/>
    <mergeCell ref="A219:B219"/>
    <mergeCell ref="C219:E219"/>
    <mergeCell ref="F219:H219"/>
    <mergeCell ref="I219:K219"/>
    <mergeCell ref="L219:N219"/>
    <mergeCell ref="O219:S219"/>
    <mergeCell ref="O220:S220"/>
    <mergeCell ref="T220:V220"/>
    <mergeCell ref="W220:Y220"/>
    <mergeCell ref="Z220:AB220"/>
    <mergeCell ref="AC220:AE220"/>
    <mergeCell ref="AF220:AH220"/>
    <mergeCell ref="AF221:AH221"/>
    <mergeCell ref="AI221:AK221"/>
    <mergeCell ref="AR219:AT219"/>
    <mergeCell ref="AU219:AW219"/>
    <mergeCell ref="AX219:BA219"/>
    <mergeCell ref="A220:B220"/>
    <mergeCell ref="C220:E220"/>
    <mergeCell ref="F220:H220"/>
    <mergeCell ref="I220:K220"/>
    <mergeCell ref="L220:N220"/>
    <mergeCell ref="L221:N221"/>
    <mergeCell ref="O221:S221"/>
    <mergeCell ref="T221:V221"/>
    <mergeCell ref="W221:Y221"/>
    <mergeCell ref="Z221:AB221"/>
    <mergeCell ref="AC221:AE221"/>
    <mergeCell ref="AL219:AN219"/>
    <mergeCell ref="AO219:AQ219"/>
    <mergeCell ref="AF218:AH218"/>
    <mergeCell ref="AO224:AQ224"/>
    <mergeCell ref="AR224:AT224"/>
    <mergeCell ref="AU224:AW224"/>
    <mergeCell ref="AX224:BA224"/>
    <mergeCell ref="AO221:AQ221"/>
    <mergeCell ref="AR221:AT221"/>
    <mergeCell ref="AU221:AW221"/>
    <mergeCell ref="AX221:BA221"/>
    <mergeCell ref="AO220:AQ220"/>
    <mergeCell ref="AR220:AT220"/>
    <mergeCell ref="AU220:AW220"/>
    <mergeCell ref="AX220:BA220"/>
    <mergeCell ref="A222:B222"/>
    <mergeCell ref="C222:E222"/>
    <mergeCell ref="F222:H222"/>
    <mergeCell ref="I222:K222"/>
    <mergeCell ref="L222:N222"/>
    <mergeCell ref="AL221:AN221"/>
    <mergeCell ref="A221:B221"/>
    <mergeCell ref="C221:E221"/>
    <mergeCell ref="F221:H221"/>
    <mergeCell ref="I221:K221"/>
    <mergeCell ref="AF222:AH222"/>
    <mergeCell ref="AI222:AK222"/>
    <mergeCell ref="AL222:AN222"/>
    <mergeCell ref="AO222:AQ222"/>
    <mergeCell ref="AR222:AT222"/>
    <mergeCell ref="O222:S222"/>
    <mergeCell ref="T222:V222"/>
    <mergeCell ref="W222:Y222"/>
    <mergeCell ref="Z222:AB222"/>
    <mergeCell ref="AC222:AE222"/>
    <mergeCell ref="AR223:AT223"/>
    <mergeCell ref="AU223:AW223"/>
    <mergeCell ref="AX223:BA223"/>
    <mergeCell ref="AO223:AQ223"/>
    <mergeCell ref="W223:Y223"/>
    <mergeCell ref="Z223:AB223"/>
    <mergeCell ref="AC223:AE223"/>
    <mergeCell ref="AF223:AH223"/>
    <mergeCell ref="AI223:AK223"/>
    <mergeCell ref="AL223:AN223"/>
    <mergeCell ref="AL224:AN224"/>
    <mergeCell ref="AU222:AW222"/>
    <mergeCell ref="AX222:BA222"/>
    <mergeCell ref="A223:B223"/>
    <mergeCell ref="C223:E223"/>
    <mergeCell ref="F223:H223"/>
    <mergeCell ref="I223:K223"/>
    <mergeCell ref="L223:N223"/>
    <mergeCell ref="O223:S223"/>
    <mergeCell ref="T223:V223"/>
    <mergeCell ref="T224:V224"/>
    <mergeCell ref="W224:Y224"/>
    <mergeCell ref="Z224:AB224"/>
    <mergeCell ref="AC224:AE224"/>
    <mergeCell ref="AF224:AH224"/>
    <mergeCell ref="AI224:AK224"/>
    <mergeCell ref="A224:B224"/>
    <mergeCell ref="C224:E224"/>
    <mergeCell ref="F224:H224"/>
    <mergeCell ref="I224:K224"/>
    <mergeCell ref="L224:N224"/>
    <mergeCell ref="O224:S22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2D95B-E37B-4461-9EB8-6D3C64A49408}">
  <dimension ref="A1"/>
  <sheetViews>
    <sheetView workbookViewId="0">
      <selection activeCell="G19" sqref="G1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0FB80-955A-49A3-A351-46119BF848A9}">
  <dimension ref="A1:BA44"/>
  <sheetViews>
    <sheetView showGridLines="0" workbookViewId="0">
      <selection activeCell="I23" sqref="I23:K23"/>
    </sheetView>
  </sheetViews>
  <sheetFormatPr defaultRowHeight="15" x14ac:dyDescent="0.25"/>
  <cols>
    <col min="1" max="1" width="0.5703125" style="7" customWidth="1"/>
    <col min="2" max="2" width="43.85546875" style="7" customWidth="1"/>
    <col min="3" max="3" width="2.42578125" style="7" customWidth="1"/>
    <col min="4" max="4" width="2" style="7" customWidth="1"/>
    <col min="5" max="5" width="9" style="7" customWidth="1"/>
    <col min="6" max="6" width="2.42578125" style="7" customWidth="1"/>
    <col min="7" max="7" width="2" style="7" customWidth="1"/>
    <col min="8" max="8" width="9" style="7" customWidth="1"/>
    <col min="9" max="9" width="2.42578125" style="7" customWidth="1"/>
    <col min="10" max="10" width="2" style="7" customWidth="1"/>
    <col min="11" max="11" width="9" style="7" customWidth="1"/>
    <col min="12" max="12" width="2.42578125" style="7" customWidth="1"/>
    <col min="13" max="13" width="2" style="7" customWidth="1"/>
    <col min="14" max="14" width="9" style="7" customWidth="1"/>
    <col min="15" max="15" width="2.42578125" style="7" customWidth="1"/>
    <col min="16" max="16" width="1.140625" style="7" customWidth="1"/>
    <col min="17" max="17" width="0.5703125" style="7" customWidth="1"/>
    <col min="18" max="18" width="0.140625" style="7" customWidth="1"/>
    <col min="19" max="19" width="9" style="7" customWidth="1"/>
    <col min="20" max="20" width="2.42578125" style="7" customWidth="1"/>
    <col min="21" max="21" width="2" style="7" customWidth="1"/>
    <col min="22" max="22" width="9" style="7" customWidth="1"/>
    <col min="23" max="23" width="2.42578125" style="7" customWidth="1"/>
    <col min="24" max="24" width="2" style="7" customWidth="1"/>
    <col min="25" max="25" width="9" style="7" customWidth="1"/>
    <col min="26" max="26" width="2.42578125" style="7" customWidth="1"/>
    <col min="27" max="27" width="2" style="7" customWidth="1"/>
    <col min="28" max="28" width="9" style="7" customWidth="1"/>
    <col min="29" max="29" width="2.42578125" style="7" customWidth="1"/>
    <col min="30" max="30" width="2" style="7" customWidth="1"/>
    <col min="31" max="31" width="9" style="7" customWidth="1"/>
    <col min="32" max="32" width="2.42578125" style="7" customWidth="1"/>
    <col min="33" max="33" width="2" style="7" customWidth="1"/>
    <col min="34" max="34" width="9" style="7" customWidth="1"/>
    <col min="35" max="35" width="2.42578125" style="7" customWidth="1"/>
    <col min="36" max="36" width="2" style="7" customWidth="1"/>
    <col min="37" max="37" width="9" style="7" customWidth="1"/>
    <col min="38" max="38" width="2.42578125" style="7" customWidth="1"/>
    <col min="39" max="39" width="2" style="7" customWidth="1"/>
    <col min="40" max="40" width="9" style="7" customWidth="1"/>
    <col min="41" max="41" width="2.42578125" style="7" customWidth="1"/>
    <col min="42" max="42" width="2" style="7" customWidth="1"/>
    <col min="43" max="43" width="9" style="7" customWidth="1"/>
    <col min="44" max="44" width="2.42578125" style="7" customWidth="1"/>
    <col min="45" max="45" width="2" style="7" customWidth="1"/>
    <col min="46" max="46" width="9" style="7" customWidth="1"/>
    <col min="47" max="47" width="2.42578125" style="7" customWidth="1"/>
    <col min="48" max="48" width="2" style="7" customWidth="1"/>
    <col min="49" max="49" width="9" style="7" customWidth="1"/>
    <col min="50" max="50" width="2.42578125" style="7" customWidth="1"/>
    <col min="51" max="51" width="2" style="7" customWidth="1"/>
    <col min="52" max="52" width="6.5703125" style="7" customWidth="1"/>
    <col min="53" max="53" width="2.42578125" style="7" customWidth="1"/>
    <col min="54" max="16384" width="9.140625" style="6"/>
  </cols>
  <sheetData>
    <row r="1" spans="1:53" ht="20.45" customHeight="1" x14ac:dyDescent="0.25">
      <c r="B1" s="170" t="s">
        <v>0</v>
      </c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</row>
    <row r="2" spans="1:53" ht="13.15" customHeight="1" x14ac:dyDescent="0.25">
      <c r="A2" s="165"/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</row>
    <row r="3" spans="1:53" ht="19.149999999999999" customHeight="1" x14ac:dyDescent="0.25">
      <c r="A3" s="171" t="s">
        <v>280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2"/>
      <c r="AF3" s="172"/>
      <c r="AG3" s="172"/>
      <c r="AH3" s="172"/>
      <c r="AI3" s="172"/>
      <c r="AJ3" s="172"/>
      <c r="AK3" s="172"/>
      <c r="AL3" s="172"/>
      <c r="AM3" s="172"/>
      <c r="AN3" s="172"/>
      <c r="AO3" s="172"/>
      <c r="AP3" s="172"/>
      <c r="AQ3" s="172"/>
      <c r="AR3" s="172"/>
      <c r="AS3" s="172"/>
      <c r="AT3" s="172"/>
      <c r="AU3" s="172"/>
      <c r="AV3" s="172"/>
      <c r="AW3" s="172"/>
      <c r="AX3" s="172"/>
      <c r="AY3" s="172"/>
      <c r="AZ3" s="172"/>
    </row>
    <row r="4" spans="1:53" ht="13.15" customHeight="1" x14ac:dyDescent="0.25">
      <c r="A4" s="165"/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</row>
    <row r="5" spans="1:53" ht="14.45" customHeight="1" x14ac:dyDescent="0.25">
      <c r="A5" s="173" t="s">
        <v>2</v>
      </c>
      <c r="B5" s="165"/>
      <c r="C5" s="167"/>
      <c r="D5" s="168" t="s">
        <v>3</v>
      </c>
      <c r="E5" s="165"/>
      <c r="F5" s="167"/>
      <c r="G5" s="168" t="s">
        <v>4</v>
      </c>
      <c r="H5" s="165"/>
      <c r="I5" s="167"/>
      <c r="J5" s="168" t="s">
        <v>5</v>
      </c>
      <c r="K5" s="165"/>
      <c r="L5" s="167"/>
      <c r="M5" s="168" t="s">
        <v>6</v>
      </c>
      <c r="N5" s="165"/>
      <c r="O5" s="167"/>
      <c r="P5" s="168" t="s">
        <v>7</v>
      </c>
      <c r="Q5" s="165"/>
      <c r="R5" s="165"/>
      <c r="S5" s="165"/>
      <c r="T5" s="167"/>
      <c r="U5" s="168" t="s">
        <v>8</v>
      </c>
      <c r="V5" s="165"/>
      <c r="W5" s="167"/>
      <c r="X5" s="168" t="s">
        <v>9</v>
      </c>
      <c r="Y5" s="165"/>
      <c r="Z5" s="167"/>
      <c r="AA5" s="168" t="s">
        <v>10</v>
      </c>
      <c r="AB5" s="165"/>
      <c r="AC5" s="167"/>
      <c r="AD5" s="168" t="s">
        <v>11</v>
      </c>
      <c r="AE5" s="165"/>
      <c r="AF5" s="167"/>
      <c r="AG5" s="168" t="s">
        <v>12</v>
      </c>
      <c r="AH5" s="165"/>
      <c r="AI5" s="167"/>
      <c r="AJ5" s="168" t="s">
        <v>13</v>
      </c>
      <c r="AK5" s="165"/>
      <c r="AL5" s="167"/>
      <c r="AM5" s="168" t="s">
        <v>14</v>
      </c>
      <c r="AN5" s="165"/>
      <c r="AO5" s="167"/>
      <c r="AP5" s="168" t="s">
        <v>15</v>
      </c>
      <c r="AQ5" s="165"/>
      <c r="AR5" s="167"/>
      <c r="AS5" s="168" t="s">
        <v>16</v>
      </c>
      <c r="AT5" s="165"/>
      <c r="AU5" s="167"/>
      <c r="AV5" s="168" t="s">
        <v>17</v>
      </c>
      <c r="AW5" s="165"/>
      <c r="AX5" s="167"/>
      <c r="AY5" s="168" t="s">
        <v>18</v>
      </c>
      <c r="AZ5" s="165"/>
      <c r="BA5" s="165"/>
    </row>
    <row r="6" spans="1:53" ht="14.45" customHeight="1" x14ac:dyDescent="0.25">
      <c r="A6" s="156"/>
      <c r="B6" s="156"/>
      <c r="C6" s="156"/>
      <c r="D6" s="169" t="s">
        <v>19</v>
      </c>
      <c r="E6" s="156"/>
      <c r="F6" s="156"/>
      <c r="G6" s="169" t="s">
        <v>19</v>
      </c>
      <c r="H6" s="156"/>
      <c r="I6" s="156"/>
      <c r="J6" s="169" t="s">
        <v>19</v>
      </c>
      <c r="K6" s="156"/>
      <c r="L6" s="156"/>
      <c r="M6" s="169" t="s">
        <v>19</v>
      </c>
      <c r="N6" s="156"/>
      <c r="O6" s="156"/>
      <c r="P6" s="169" t="s">
        <v>19</v>
      </c>
      <c r="Q6" s="156"/>
      <c r="R6" s="156"/>
      <c r="S6" s="156"/>
      <c r="T6" s="156"/>
      <c r="U6" s="169" t="s">
        <v>19</v>
      </c>
      <c r="V6" s="156"/>
      <c r="W6" s="156"/>
      <c r="X6" s="169" t="s">
        <v>19</v>
      </c>
      <c r="Y6" s="156"/>
      <c r="Z6" s="156"/>
      <c r="AA6" s="169" t="s">
        <v>19</v>
      </c>
      <c r="AB6" s="156"/>
      <c r="AC6" s="156"/>
      <c r="AD6" s="169" t="s">
        <v>19</v>
      </c>
      <c r="AE6" s="156"/>
      <c r="AF6" s="156"/>
      <c r="AG6" s="169" t="s">
        <v>19</v>
      </c>
      <c r="AH6" s="156"/>
      <c r="AI6" s="156"/>
      <c r="AJ6" s="169" t="s">
        <v>19</v>
      </c>
      <c r="AK6" s="156"/>
      <c r="AL6" s="156"/>
      <c r="AM6" s="169" t="s">
        <v>19</v>
      </c>
      <c r="AN6" s="156"/>
      <c r="AO6" s="156"/>
      <c r="AP6" s="169" t="s">
        <v>19</v>
      </c>
      <c r="AQ6" s="156"/>
      <c r="AR6" s="156"/>
      <c r="AS6" s="169" t="s">
        <v>19</v>
      </c>
      <c r="AT6" s="156"/>
      <c r="AU6" s="156"/>
      <c r="AV6" s="169" t="s">
        <v>19</v>
      </c>
      <c r="AW6" s="156"/>
      <c r="AX6" s="156"/>
      <c r="AY6" s="169" t="s">
        <v>19</v>
      </c>
      <c r="AZ6" s="156"/>
      <c r="BA6" s="156"/>
    </row>
    <row r="7" spans="1:53" ht="14.45" customHeight="1" x14ac:dyDescent="0.25">
      <c r="A7" s="165"/>
      <c r="B7" s="165"/>
      <c r="C7" s="165"/>
      <c r="D7" s="165"/>
      <c r="E7" s="9" t="s">
        <v>20</v>
      </c>
      <c r="F7" s="165"/>
      <c r="G7" s="165"/>
      <c r="H7" s="9" t="s">
        <v>20</v>
      </c>
      <c r="I7" s="165"/>
      <c r="J7" s="165"/>
      <c r="K7" s="9" t="s">
        <v>20</v>
      </c>
      <c r="L7" s="165"/>
      <c r="M7" s="165"/>
      <c r="N7" s="9" t="s">
        <v>20</v>
      </c>
      <c r="O7" s="165"/>
      <c r="P7" s="165"/>
      <c r="Q7" s="165"/>
      <c r="R7" s="165"/>
      <c r="S7" s="9" t="s">
        <v>20</v>
      </c>
      <c r="T7" s="165"/>
      <c r="U7" s="165"/>
      <c r="V7" s="9" t="s">
        <v>20</v>
      </c>
      <c r="W7" s="165"/>
      <c r="X7" s="165"/>
      <c r="Y7" s="9" t="s">
        <v>20</v>
      </c>
      <c r="Z7" s="165"/>
      <c r="AA7" s="165"/>
      <c r="AB7" s="9" t="s">
        <v>20</v>
      </c>
      <c r="AC7" s="165"/>
      <c r="AD7" s="165"/>
      <c r="AE7" s="9" t="s">
        <v>20</v>
      </c>
      <c r="AF7" s="165"/>
      <c r="AG7" s="165"/>
      <c r="AH7" s="9" t="s">
        <v>20</v>
      </c>
      <c r="AI7" s="165"/>
      <c r="AJ7" s="165"/>
      <c r="AK7" s="9" t="s">
        <v>20</v>
      </c>
      <c r="AL7" s="165"/>
      <c r="AM7" s="165"/>
      <c r="AN7" s="9" t="s">
        <v>20</v>
      </c>
      <c r="AO7" s="165"/>
      <c r="AP7" s="165"/>
      <c r="AQ7" s="9" t="s">
        <v>20</v>
      </c>
      <c r="AR7" s="165"/>
      <c r="AS7" s="165"/>
      <c r="AT7" s="9" t="s">
        <v>20</v>
      </c>
      <c r="AU7" s="165"/>
      <c r="AV7" s="165"/>
      <c r="AW7" s="9" t="s">
        <v>20</v>
      </c>
      <c r="AX7" s="165"/>
      <c r="AY7" s="165"/>
      <c r="AZ7" s="166" t="s">
        <v>20</v>
      </c>
      <c r="BA7" s="165"/>
    </row>
    <row r="8" spans="1:53" ht="14.45" customHeight="1" x14ac:dyDescent="0.25">
      <c r="A8" s="165"/>
      <c r="B8" s="165"/>
      <c r="C8" s="165"/>
      <c r="D8" s="165"/>
      <c r="E8" s="9" t="s">
        <v>21</v>
      </c>
      <c r="F8" s="165"/>
      <c r="G8" s="165"/>
      <c r="I8" s="165"/>
      <c r="J8" s="165"/>
      <c r="K8" s="9" t="s">
        <v>21</v>
      </c>
      <c r="L8" s="165"/>
      <c r="M8" s="165"/>
      <c r="N8" s="9" t="s">
        <v>21</v>
      </c>
      <c r="O8" s="165"/>
      <c r="P8" s="165"/>
      <c r="Q8" s="165"/>
      <c r="R8" s="165"/>
      <c r="S8" s="9" t="s">
        <v>21</v>
      </c>
      <c r="T8" s="165"/>
      <c r="U8" s="165"/>
      <c r="V8" s="9" t="s">
        <v>21</v>
      </c>
      <c r="W8" s="165"/>
      <c r="X8" s="165"/>
      <c r="Z8" s="165"/>
      <c r="AA8" s="165"/>
      <c r="AC8" s="165"/>
      <c r="AD8" s="165"/>
      <c r="AF8" s="165"/>
      <c r="AG8" s="165"/>
      <c r="AI8" s="165"/>
      <c r="AJ8" s="165"/>
      <c r="AL8" s="165"/>
      <c r="AM8" s="165"/>
      <c r="AO8" s="165"/>
      <c r="AP8" s="165"/>
      <c r="AR8" s="165"/>
      <c r="AS8" s="165"/>
      <c r="AU8" s="165"/>
      <c r="AV8" s="165"/>
      <c r="AX8" s="165"/>
      <c r="AY8" s="165"/>
      <c r="AZ8" s="165"/>
      <c r="BA8" s="165"/>
    </row>
    <row r="9" spans="1:53" ht="14.45" customHeight="1" x14ac:dyDescent="0.25">
      <c r="A9" s="156"/>
      <c r="B9" s="156"/>
      <c r="C9" s="156"/>
      <c r="D9" s="156"/>
      <c r="E9" s="8" t="s">
        <v>22</v>
      </c>
      <c r="F9" s="156"/>
      <c r="G9" s="156"/>
      <c r="H9" s="8" t="s">
        <v>22</v>
      </c>
      <c r="I9" s="156"/>
      <c r="J9" s="156"/>
      <c r="K9" s="8" t="s">
        <v>22</v>
      </c>
      <c r="L9" s="156"/>
      <c r="M9" s="156"/>
      <c r="N9" s="8" t="s">
        <v>22</v>
      </c>
      <c r="O9" s="156"/>
      <c r="P9" s="156"/>
      <c r="Q9" s="156"/>
      <c r="R9" s="156"/>
      <c r="S9" s="8" t="s">
        <v>22</v>
      </c>
      <c r="T9" s="156"/>
      <c r="U9" s="156"/>
      <c r="V9" s="8" t="s">
        <v>22</v>
      </c>
      <c r="W9" s="156"/>
      <c r="X9" s="156"/>
      <c r="Y9" s="8" t="s">
        <v>22</v>
      </c>
      <c r="Z9" s="156"/>
      <c r="AA9" s="156"/>
      <c r="AB9" s="8" t="s">
        <v>22</v>
      </c>
      <c r="AC9" s="156"/>
      <c r="AD9" s="156"/>
      <c r="AE9" s="8" t="s">
        <v>22</v>
      </c>
      <c r="AF9" s="156"/>
      <c r="AG9" s="156"/>
      <c r="AH9" s="8" t="s">
        <v>22</v>
      </c>
      <c r="AI9" s="156"/>
      <c r="AJ9" s="156"/>
      <c r="AK9" s="8" t="s">
        <v>22</v>
      </c>
      <c r="AL9" s="156"/>
      <c r="AM9" s="156"/>
      <c r="AN9" s="8" t="s">
        <v>23</v>
      </c>
      <c r="AO9" s="156"/>
      <c r="AP9" s="156"/>
      <c r="AQ9" s="8" t="s">
        <v>23</v>
      </c>
      <c r="AR9" s="156"/>
      <c r="AS9" s="156"/>
      <c r="AT9" s="8" t="s">
        <v>23</v>
      </c>
      <c r="AU9" s="156"/>
      <c r="AV9" s="156"/>
      <c r="AW9" s="8" t="s">
        <v>23</v>
      </c>
      <c r="AX9" s="156"/>
      <c r="AY9" s="156"/>
      <c r="AZ9" s="157" t="s">
        <v>23</v>
      </c>
      <c r="BA9" s="156"/>
    </row>
    <row r="10" spans="1:53" ht="14.45" customHeight="1" x14ac:dyDescent="0.25">
      <c r="A10" s="158" t="s">
        <v>281</v>
      </c>
      <c r="B10" s="156"/>
      <c r="C10" s="159">
        <v>1050803.57</v>
      </c>
      <c r="D10" s="156"/>
      <c r="E10" s="156"/>
      <c r="F10" s="159">
        <v>574886.9</v>
      </c>
      <c r="G10" s="156"/>
      <c r="H10" s="156"/>
      <c r="I10" s="159">
        <v>550454.79</v>
      </c>
      <c r="J10" s="156"/>
      <c r="K10" s="156"/>
      <c r="L10" s="159">
        <v>525301.86</v>
      </c>
      <c r="M10" s="156"/>
      <c r="N10" s="156"/>
      <c r="O10" s="159">
        <v>494772.9</v>
      </c>
      <c r="P10" s="156"/>
      <c r="Q10" s="156"/>
      <c r="R10" s="156"/>
      <c r="S10" s="156"/>
      <c r="T10" s="159">
        <v>518420.66</v>
      </c>
      <c r="U10" s="156"/>
      <c r="V10" s="156"/>
      <c r="W10" s="159">
        <v>465219.06</v>
      </c>
      <c r="X10" s="156"/>
      <c r="Y10" s="156"/>
      <c r="Z10" s="159">
        <v>384318.31</v>
      </c>
      <c r="AA10" s="156"/>
      <c r="AB10" s="156"/>
      <c r="AC10" s="159">
        <v>3833186.14</v>
      </c>
      <c r="AD10" s="156"/>
      <c r="AE10" s="156"/>
      <c r="AF10" s="159">
        <v>4028457.79</v>
      </c>
      <c r="AG10" s="156"/>
      <c r="AH10" s="156"/>
      <c r="AI10" s="159">
        <v>4364147.4800000004</v>
      </c>
      <c r="AJ10" s="156"/>
      <c r="AK10" s="156"/>
      <c r="AL10" s="157" t="s">
        <v>28</v>
      </c>
      <c r="AM10" s="156"/>
      <c r="AN10" s="156"/>
      <c r="AO10" s="157" t="s">
        <v>28</v>
      </c>
      <c r="AP10" s="156"/>
      <c r="AQ10" s="156"/>
      <c r="AR10" s="157" t="s">
        <v>28</v>
      </c>
      <c r="AS10" s="156"/>
      <c r="AT10" s="156"/>
      <c r="AU10" s="157" t="s">
        <v>28</v>
      </c>
      <c r="AV10" s="156"/>
      <c r="AW10" s="156"/>
      <c r="AX10" s="157" t="s">
        <v>28</v>
      </c>
      <c r="AY10" s="156"/>
      <c r="AZ10" s="156"/>
      <c r="BA10" s="156"/>
    </row>
    <row r="11" spans="1:53" ht="14.45" customHeight="1" x14ac:dyDescent="0.25">
      <c r="A11" s="158" t="s">
        <v>282</v>
      </c>
      <c r="B11" s="156"/>
      <c r="C11" s="159">
        <v>494952.59</v>
      </c>
      <c r="D11" s="156"/>
      <c r="E11" s="156"/>
      <c r="F11" s="159">
        <v>415433.11</v>
      </c>
      <c r="G11" s="156"/>
      <c r="H11" s="156"/>
      <c r="I11" s="159">
        <v>357984.86</v>
      </c>
      <c r="J11" s="156"/>
      <c r="K11" s="156"/>
      <c r="L11" s="159">
        <v>317189.71000000002</v>
      </c>
      <c r="M11" s="156"/>
      <c r="N11" s="156"/>
      <c r="O11" s="159">
        <v>318706.93</v>
      </c>
      <c r="P11" s="156"/>
      <c r="Q11" s="156"/>
      <c r="R11" s="156"/>
      <c r="S11" s="156"/>
      <c r="T11" s="159">
        <v>230272.77</v>
      </c>
      <c r="U11" s="156"/>
      <c r="V11" s="156"/>
      <c r="W11" s="159">
        <v>211741.24</v>
      </c>
      <c r="X11" s="156"/>
      <c r="Y11" s="156"/>
      <c r="Z11" s="159">
        <v>212945.87</v>
      </c>
      <c r="AA11" s="156"/>
      <c r="AB11" s="156"/>
      <c r="AC11" s="159">
        <v>253638.35</v>
      </c>
      <c r="AD11" s="156"/>
      <c r="AE11" s="156"/>
      <c r="AF11" s="159">
        <v>291041.36</v>
      </c>
      <c r="AG11" s="156"/>
      <c r="AH11" s="156"/>
      <c r="AI11" s="159">
        <v>285391.12</v>
      </c>
      <c r="AJ11" s="156"/>
      <c r="AK11" s="156"/>
      <c r="AL11" s="157" t="s">
        <v>28</v>
      </c>
      <c r="AM11" s="156"/>
      <c r="AN11" s="156"/>
      <c r="AO11" s="157" t="s">
        <v>28</v>
      </c>
      <c r="AP11" s="156"/>
      <c r="AQ11" s="156"/>
      <c r="AR11" s="157" t="s">
        <v>28</v>
      </c>
      <c r="AS11" s="156"/>
      <c r="AT11" s="156"/>
      <c r="AU11" s="157" t="s">
        <v>28</v>
      </c>
      <c r="AV11" s="156"/>
      <c r="AW11" s="156"/>
      <c r="AX11" s="157" t="s">
        <v>28</v>
      </c>
      <c r="AY11" s="156"/>
      <c r="AZ11" s="156"/>
      <c r="BA11" s="156"/>
    </row>
    <row r="12" spans="1:53" ht="14.45" customHeight="1" x14ac:dyDescent="0.25">
      <c r="A12" s="158" t="s">
        <v>283</v>
      </c>
      <c r="B12" s="156"/>
      <c r="C12" s="159">
        <v>151906.5</v>
      </c>
      <c r="D12" s="156"/>
      <c r="E12" s="156"/>
      <c r="F12" s="159">
        <v>99856.08</v>
      </c>
      <c r="G12" s="156"/>
      <c r="H12" s="156"/>
      <c r="I12" s="159">
        <v>85053.37</v>
      </c>
      <c r="J12" s="156"/>
      <c r="K12" s="156"/>
      <c r="L12" s="159">
        <v>71996.34</v>
      </c>
      <c r="M12" s="156"/>
      <c r="N12" s="156"/>
      <c r="O12" s="159">
        <v>82388.27</v>
      </c>
      <c r="P12" s="156"/>
      <c r="Q12" s="156"/>
      <c r="R12" s="156"/>
      <c r="S12" s="156"/>
      <c r="T12" s="159">
        <v>66058.080000000002</v>
      </c>
      <c r="U12" s="156"/>
      <c r="V12" s="156"/>
      <c r="W12" s="159">
        <v>58878.49</v>
      </c>
      <c r="X12" s="156"/>
      <c r="Y12" s="156"/>
      <c r="Z12" s="159">
        <v>51064.47</v>
      </c>
      <c r="AA12" s="156"/>
      <c r="AB12" s="156"/>
      <c r="AC12" s="159">
        <v>56768.93</v>
      </c>
      <c r="AD12" s="156"/>
      <c r="AE12" s="156"/>
      <c r="AF12" s="159">
        <v>18723.38</v>
      </c>
      <c r="AG12" s="156"/>
      <c r="AH12" s="156"/>
      <c r="AI12" s="159">
        <v>12473.75</v>
      </c>
      <c r="AJ12" s="156"/>
      <c r="AK12" s="156"/>
      <c r="AL12" s="157" t="s">
        <v>28</v>
      </c>
      <c r="AM12" s="156"/>
      <c r="AN12" s="156"/>
      <c r="AO12" s="157" t="s">
        <v>28</v>
      </c>
      <c r="AP12" s="156"/>
      <c r="AQ12" s="156"/>
      <c r="AR12" s="157" t="s">
        <v>28</v>
      </c>
      <c r="AS12" s="156"/>
      <c r="AT12" s="156"/>
      <c r="AU12" s="157" t="s">
        <v>28</v>
      </c>
      <c r="AV12" s="156"/>
      <c r="AW12" s="156"/>
      <c r="AX12" s="157" t="s">
        <v>28</v>
      </c>
      <c r="AY12" s="156"/>
      <c r="AZ12" s="156"/>
      <c r="BA12" s="156"/>
    </row>
    <row r="13" spans="1:53" ht="14.45" customHeight="1" x14ac:dyDescent="0.25">
      <c r="A13" s="158" t="s">
        <v>284</v>
      </c>
      <c r="B13" s="156"/>
      <c r="C13" s="159">
        <v>0</v>
      </c>
      <c r="D13" s="156"/>
      <c r="E13" s="156"/>
      <c r="F13" s="159">
        <v>0</v>
      </c>
      <c r="G13" s="156"/>
      <c r="H13" s="156"/>
      <c r="I13" s="159">
        <v>0</v>
      </c>
      <c r="J13" s="156"/>
      <c r="K13" s="156"/>
      <c r="L13" s="159">
        <v>0</v>
      </c>
      <c r="M13" s="156"/>
      <c r="N13" s="156"/>
      <c r="O13" s="159">
        <v>0</v>
      </c>
      <c r="P13" s="156"/>
      <c r="Q13" s="156"/>
      <c r="R13" s="156"/>
      <c r="S13" s="156"/>
      <c r="T13" s="159">
        <v>0</v>
      </c>
      <c r="U13" s="156"/>
      <c r="V13" s="156"/>
      <c r="W13" s="159">
        <v>0</v>
      </c>
      <c r="X13" s="156"/>
      <c r="Y13" s="156"/>
      <c r="Z13" s="159">
        <v>0</v>
      </c>
      <c r="AA13" s="156"/>
      <c r="AB13" s="156"/>
      <c r="AC13" s="159">
        <v>0</v>
      </c>
      <c r="AD13" s="156"/>
      <c r="AE13" s="156"/>
      <c r="AF13" s="159">
        <v>0</v>
      </c>
      <c r="AG13" s="156"/>
      <c r="AH13" s="156"/>
      <c r="AI13" s="159">
        <v>0</v>
      </c>
      <c r="AJ13" s="156"/>
      <c r="AK13" s="156"/>
      <c r="AL13" s="157" t="s">
        <v>28</v>
      </c>
      <c r="AM13" s="156"/>
      <c r="AN13" s="156"/>
      <c r="AO13" s="157" t="s">
        <v>28</v>
      </c>
      <c r="AP13" s="156"/>
      <c r="AQ13" s="156"/>
      <c r="AR13" s="157" t="s">
        <v>28</v>
      </c>
      <c r="AS13" s="156"/>
      <c r="AT13" s="156"/>
      <c r="AU13" s="157" t="s">
        <v>28</v>
      </c>
      <c r="AV13" s="156"/>
      <c r="AW13" s="156"/>
      <c r="AX13" s="157" t="s">
        <v>28</v>
      </c>
      <c r="AY13" s="156"/>
      <c r="AZ13" s="156"/>
      <c r="BA13" s="156"/>
    </row>
    <row r="14" spans="1:53" ht="14.45" customHeight="1" x14ac:dyDescent="0.25">
      <c r="A14" s="158" t="s">
        <v>285</v>
      </c>
      <c r="B14" s="156"/>
      <c r="C14" s="159">
        <v>39743.360000000001</v>
      </c>
      <c r="D14" s="156"/>
      <c r="E14" s="156"/>
      <c r="F14" s="159">
        <v>30301.32</v>
      </c>
      <c r="G14" s="156"/>
      <c r="H14" s="156"/>
      <c r="I14" s="159">
        <v>34015.279999999999</v>
      </c>
      <c r="J14" s="156"/>
      <c r="K14" s="156"/>
      <c r="L14" s="159">
        <v>22354.37</v>
      </c>
      <c r="M14" s="156"/>
      <c r="N14" s="156"/>
      <c r="O14" s="159">
        <v>43443.16</v>
      </c>
      <c r="P14" s="156"/>
      <c r="Q14" s="156"/>
      <c r="R14" s="156"/>
      <c r="S14" s="156"/>
      <c r="T14" s="159">
        <v>23569.05</v>
      </c>
      <c r="U14" s="156"/>
      <c r="V14" s="156"/>
      <c r="W14" s="159">
        <v>5466.59</v>
      </c>
      <c r="X14" s="156"/>
      <c r="Y14" s="156"/>
      <c r="Z14" s="159">
        <v>4487.96</v>
      </c>
      <c r="AA14" s="156"/>
      <c r="AB14" s="156"/>
      <c r="AC14" s="159">
        <v>20340.78</v>
      </c>
      <c r="AD14" s="156"/>
      <c r="AE14" s="156"/>
      <c r="AF14" s="159">
        <v>6322.79</v>
      </c>
      <c r="AG14" s="156"/>
      <c r="AH14" s="156"/>
      <c r="AI14" s="159">
        <v>10369.31</v>
      </c>
      <c r="AJ14" s="156"/>
      <c r="AK14" s="156"/>
      <c r="AL14" s="157" t="s">
        <v>28</v>
      </c>
      <c r="AM14" s="156"/>
      <c r="AN14" s="156"/>
      <c r="AO14" s="157" t="s">
        <v>28</v>
      </c>
      <c r="AP14" s="156"/>
      <c r="AQ14" s="156"/>
      <c r="AR14" s="157" t="s">
        <v>28</v>
      </c>
      <c r="AS14" s="156"/>
      <c r="AT14" s="156"/>
      <c r="AU14" s="157" t="s">
        <v>28</v>
      </c>
      <c r="AV14" s="156"/>
      <c r="AW14" s="156"/>
      <c r="AX14" s="157" t="s">
        <v>28</v>
      </c>
      <c r="AY14" s="156"/>
      <c r="AZ14" s="156"/>
      <c r="BA14" s="156"/>
    </row>
    <row r="15" spans="1:53" ht="14.45" customHeight="1" x14ac:dyDescent="0.25">
      <c r="A15" s="158" t="s">
        <v>286</v>
      </c>
      <c r="B15" s="156"/>
      <c r="C15" s="159">
        <v>1926.19</v>
      </c>
      <c r="D15" s="156"/>
      <c r="E15" s="156"/>
      <c r="F15" s="159">
        <v>1327.92</v>
      </c>
      <c r="G15" s="156"/>
      <c r="H15" s="156"/>
      <c r="I15" s="159">
        <v>2591.12</v>
      </c>
      <c r="J15" s="156"/>
      <c r="K15" s="156"/>
      <c r="L15" s="159">
        <v>1329.65</v>
      </c>
      <c r="M15" s="156"/>
      <c r="N15" s="156"/>
      <c r="O15" s="159">
        <v>1254.3</v>
      </c>
      <c r="P15" s="156"/>
      <c r="Q15" s="156"/>
      <c r="R15" s="156"/>
      <c r="S15" s="156"/>
      <c r="T15" s="159">
        <v>1199.8499999999999</v>
      </c>
      <c r="U15" s="156"/>
      <c r="V15" s="156"/>
      <c r="W15" s="159">
        <v>808.83</v>
      </c>
      <c r="X15" s="156"/>
      <c r="Y15" s="156"/>
      <c r="Z15" s="159">
        <v>439.08</v>
      </c>
      <c r="AA15" s="156"/>
      <c r="AB15" s="156"/>
      <c r="AC15" s="159">
        <v>770.47</v>
      </c>
      <c r="AD15" s="156"/>
      <c r="AE15" s="156"/>
      <c r="AF15" s="159">
        <v>7664.75</v>
      </c>
      <c r="AG15" s="156"/>
      <c r="AH15" s="156"/>
      <c r="AI15" s="159">
        <v>1412.14</v>
      </c>
      <c r="AJ15" s="156"/>
      <c r="AK15" s="156"/>
      <c r="AL15" s="157" t="s">
        <v>28</v>
      </c>
      <c r="AM15" s="156"/>
      <c r="AN15" s="156"/>
      <c r="AO15" s="157" t="s">
        <v>28</v>
      </c>
      <c r="AP15" s="156"/>
      <c r="AQ15" s="156"/>
      <c r="AR15" s="157" t="s">
        <v>28</v>
      </c>
      <c r="AS15" s="156"/>
      <c r="AT15" s="156"/>
      <c r="AU15" s="157" t="s">
        <v>28</v>
      </c>
      <c r="AV15" s="156"/>
      <c r="AW15" s="156"/>
      <c r="AX15" s="157" t="s">
        <v>28</v>
      </c>
      <c r="AY15" s="156"/>
      <c r="AZ15" s="156"/>
      <c r="BA15" s="156"/>
    </row>
    <row r="16" spans="1:53" ht="14.45" customHeight="1" x14ac:dyDescent="0.25">
      <c r="A16" s="158" t="s">
        <v>287</v>
      </c>
      <c r="B16" s="156"/>
      <c r="C16" s="159">
        <v>155343.45000000001</v>
      </c>
      <c r="D16" s="156"/>
      <c r="E16" s="156"/>
      <c r="F16" s="159">
        <v>141159.12</v>
      </c>
      <c r="G16" s="156"/>
      <c r="H16" s="156"/>
      <c r="I16" s="159">
        <v>156696.73000000001</v>
      </c>
      <c r="J16" s="156"/>
      <c r="K16" s="156"/>
      <c r="L16" s="159">
        <v>127422.31</v>
      </c>
      <c r="M16" s="156"/>
      <c r="N16" s="156"/>
      <c r="O16" s="159">
        <v>98401.76</v>
      </c>
      <c r="P16" s="156"/>
      <c r="Q16" s="156"/>
      <c r="R16" s="156"/>
      <c r="S16" s="156"/>
      <c r="T16" s="159">
        <v>74075.13</v>
      </c>
      <c r="U16" s="156"/>
      <c r="V16" s="156"/>
      <c r="W16" s="159">
        <v>63971.29</v>
      </c>
      <c r="X16" s="156"/>
      <c r="Y16" s="156"/>
      <c r="Z16" s="159">
        <v>69183.710000000006</v>
      </c>
      <c r="AA16" s="156"/>
      <c r="AB16" s="156"/>
      <c r="AC16" s="159">
        <v>76489.3</v>
      </c>
      <c r="AD16" s="156"/>
      <c r="AE16" s="156"/>
      <c r="AF16" s="159">
        <v>116949.58</v>
      </c>
      <c r="AG16" s="156"/>
      <c r="AH16" s="156"/>
      <c r="AI16" s="159">
        <v>145573.76999999999</v>
      </c>
      <c r="AJ16" s="156"/>
      <c r="AK16" s="156"/>
      <c r="AL16" s="157" t="s">
        <v>28</v>
      </c>
      <c r="AM16" s="156"/>
      <c r="AN16" s="156"/>
      <c r="AO16" s="157" t="s">
        <v>28</v>
      </c>
      <c r="AP16" s="156"/>
      <c r="AQ16" s="156"/>
      <c r="AR16" s="157" t="s">
        <v>28</v>
      </c>
      <c r="AS16" s="156"/>
      <c r="AT16" s="156"/>
      <c r="AU16" s="157" t="s">
        <v>28</v>
      </c>
      <c r="AV16" s="156"/>
      <c r="AW16" s="156"/>
      <c r="AX16" s="157" t="s">
        <v>28</v>
      </c>
      <c r="AY16" s="156"/>
      <c r="AZ16" s="156"/>
      <c r="BA16" s="156"/>
    </row>
    <row r="17" spans="1:53" ht="14.45" customHeight="1" x14ac:dyDescent="0.25">
      <c r="A17" s="158" t="s">
        <v>288</v>
      </c>
      <c r="B17" s="156"/>
      <c r="C17" s="159">
        <v>0</v>
      </c>
      <c r="D17" s="156"/>
      <c r="E17" s="156"/>
      <c r="F17" s="159">
        <v>0</v>
      </c>
      <c r="G17" s="156"/>
      <c r="H17" s="156"/>
      <c r="I17" s="159">
        <v>0</v>
      </c>
      <c r="J17" s="156"/>
      <c r="K17" s="156"/>
      <c r="L17" s="159">
        <v>0</v>
      </c>
      <c r="M17" s="156"/>
      <c r="N17" s="156"/>
      <c r="O17" s="159">
        <v>0</v>
      </c>
      <c r="P17" s="156"/>
      <c r="Q17" s="156"/>
      <c r="R17" s="156"/>
      <c r="S17" s="156"/>
      <c r="T17" s="159">
        <v>0</v>
      </c>
      <c r="U17" s="156"/>
      <c r="V17" s="156"/>
      <c r="W17" s="159">
        <v>0</v>
      </c>
      <c r="X17" s="156"/>
      <c r="Y17" s="156"/>
      <c r="Z17" s="159">
        <v>0</v>
      </c>
      <c r="AA17" s="156"/>
      <c r="AB17" s="156"/>
      <c r="AC17" s="159">
        <v>0</v>
      </c>
      <c r="AD17" s="156"/>
      <c r="AE17" s="156"/>
      <c r="AF17" s="159">
        <v>0</v>
      </c>
      <c r="AG17" s="156"/>
      <c r="AH17" s="156"/>
      <c r="AI17" s="159">
        <v>0</v>
      </c>
      <c r="AJ17" s="156"/>
      <c r="AK17" s="156"/>
      <c r="AL17" s="157" t="s">
        <v>28</v>
      </c>
      <c r="AM17" s="156"/>
      <c r="AN17" s="156"/>
      <c r="AO17" s="157" t="s">
        <v>28</v>
      </c>
      <c r="AP17" s="156"/>
      <c r="AQ17" s="156"/>
      <c r="AR17" s="157" t="s">
        <v>28</v>
      </c>
      <c r="AS17" s="156"/>
      <c r="AT17" s="156"/>
      <c r="AU17" s="157" t="s">
        <v>28</v>
      </c>
      <c r="AV17" s="156"/>
      <c r="AW17" s="156"/>
      <c r="AX17" s="157" t="s">
        <v>28</v>
      </c>
      <c r="AY17" s="156"/>
      <c r="AZ17" s="156"/>
      <c r="BA17" s="156"/>
    </row>
    <row r="18" spans="1:53" ht="14.45" customHeight="1" x14ac:dyDescent="0.25">
      <c r="A18" s="158" t="s">
        <v>289</v>
      </c>
      <c r="B18" s="156"/>
      <c r="C18" s="159">
        <v>135116.82999999999</v>
      </c>
      <c r="D18" s="156"/>
      <c r="E18" s="156"/>
      <c r="F18" s="159">
        <v>134771.20000000001</v>
      </c>
      <c r="G18" s="156"/>
      <c r="H18" s="156"/>
      <c r="I18" s="159">
        <v>79628.36</v>
      </c>
      <c r="J18" s="156"/>
      <c r="K18" s="156"/>
      <c r="L18" s="159">
        <v>94087.039999999994</v>
      </c>
      <c r="M18" s="156"/>
      <c r="N18" s="156"/>
      <c r="O18" s="159">
        <v>93219.44</v>
      </c>
      <c r="P18" s="156"/>
      <c r="Q18" s="156"/>
      <c r="R18" s="156"/>
      <c r="S18" s="156"/>
      <c r="T18" s="159">
        <v>65370.66</v>
      </c>
      <c r="U18" s="156"/>
      <c r="V18" s="156"/>
      <c r="W18" s="159">
        <v>82616.039999999994</v>
      </c>
      <c r="X18" s="156"/>
      <c r="Y18" s="156"/>
      <c r="Z18" s="159">
        <v>87770.65</v>
      </c>
      <c r="AA18" s="156"/>
      <c r="AB18" s="156"/>
      <c r="AC18" s="159">
        <v>99268.87</v>
      </c>
      <c r="AD18" s="156"/>
      <c r="AE18" s="156"/>
      <c r="AF18" s="159">
        <v>141380.85999999999</v>
      </c>
      <c r="AG18" s="156"/>
      <c r="AH18" s="156"/>
      <c r="AI18" s="159">
        <v>115562.15</v>
      </c>
      <c r="AJ18" s="156"/>
      <c r="AK18" s="156"/>
      <c r="AL18" s="157" t="s">
        <v>28</v>
      </c>
      <c r="AM18" s="156"/>
      <c r="AN18" s="156"/>
      <c r="AO18" s="157" t="s">
        <v>28</v>
      </c>
      <c r="AP18" s="156"/>
      <c r="AQ18" s="156"/>
      <c r="AR18" s="157" t="s">
        <v>28</v>
      </c>
      <c r="AS18" s="156"/>
      <c r="AT18" s="156"/>
      <c r="AU18" s="157" t="s">
        <v>28</v>
      </c>
      <c r="AV18" s="156"/>
      <c r="AW18" s="156"/>
      <c r="AX18" s="157" t="s">
        <v>28</v>
      </c>
      <c r="AY18" s="156"/>
      <c r="AZ18" s="156"/>
      <c r="BA18" s="156"/>
    </row>
    <row r="19" spans="1:53" ht="14.45" customHeight="1" x14ac:dyDescent="0.25">
      <c r="A19" s="158" t="s">
        <v>290</v>
      </c>
      <c r="B19" s="156"/>
      <c r="C19" s="159">
        <v>10916.26</v>
      </c>
      <c r="D19" s="156"/>
      <c r="E19" s="156"/>
      <c r="F19" s="159">
        <v>8017.47</v>
      </c>
      <c r="G19" s="156"/>
      <c r="H19" s="156"/>
      <c r="I19" s="159">
        <v>0</v>
      </c>
      <c r="J19" s="156"/>
      <c r="K19" s="156"/>
      <c r="L19" s="159">
        <v>0</v>
      </c>
      <c r="M19" s="156"/>
      <c r="N19" s="156"/>
      <c r="O19" s="159">
        <v>0</v>
      </c>
      <c r="P19" s="156"/>
      <c r="Q19" s="156"/>
      <c r="R19" s="156"/>
      <c r="S19" s="156"/>
      <c r="T19" s="159">
        <v>0</v>
      </c>
      <c r="U19" s="156"/>
      <c r="V19" s="156"/>
      <c r="W19" s="159">
        <v>0</v>
      </c>
      <c r="X19" s="156"/>
      <c r="Y19" s="156"/>
      <c r="Z19" s="159">
        <v>0</v>
      </c>
      <c r="AA19" s="156"/>
      <c r="AB19" s="156"/>
      <c r="AC19" s="159">
        <v>0</v>
      </c>
      <c r="AD19" s="156"/>
      <c r="AE19" s="156"/>
      <c r="AF19" s="159">
        <v>0</v>
      </c>
      <c r="AG19" s="156"/>
      <c r="AH19" s="156"/>
      <c r="AI19" s="159">
        <v>0</v>
      </c>
      <c r="AJ19" s="156"/>
      <c r="AK19" s="156"/>
      <c r="AL19" s="157" t="s">
        <v>28</v>
      </c>
      <c r="AM19" s="156"/>
      <c r="AN19" s="156"/>
      <c r="AO19" s="157" t="s">
        <v>28</v>
      </c>
      <c r="AP19" s="156"/>
      <c r="AQ19" s="156"/>
      <c r="AR19" s="157" t="s">
        <v>28</v>
      </c>
      <c r="AS19" s="156"/>
      <c r="AT19" s="156"/>
      <c r="AU19" s="157" t="s">
        <v>28</v>
      </c>
      <c r="AV19" s="156"/>
      <c r="AW19" s="156"/>
      <c r="AX19" s="157" t="s">
        <v>28</v>
      </c>
      <c r="AY19" s="156"/>
      <c r="AZ19" s="156"/>
      <c r="BA19" s="156"/>
    </row>
    <row r="20" spans="1:53" ht="14.45" customHeight="1" x14ac:dyDescent="0.25">
      <c r="A20" s="158" t="s">
        <v>291</v>
      </c>
      <c r="B20" s="156"/>
      <c r="C20" s="159">
        <v>217843.92</v>
      </c>
      <c r="D20" s="156"/>
      <c r="E20" s="156"/>
      <c r="F20" s="159">
        <v>194387.58</v>
      </c>
      <c r="G20" s="156"/>
      <c r="H20" s="156"/>
      <c r="I20" s="159">
        <v>124894.96</v>
      </c>
      <c r="J20" s="156"/>
      <c r="K20" s="156"/>
      <c r="L20" s="159">
        <v>90579.22</v>
      </c>
      <c r="M20" s="156"/>
      <c r="N20" s="156"/>
      <c r="O20" s="159">
        <v>100948.9</v>
      </c>
      <c r="P20" s="156"/>
      <c r="Q20" s="156"/>
      <c r="R20" s="156"/>
      <c r="S20" s="156"/>
      <c r="T20" s="159">
        <v>99123.44</v>
      </c>
      <c r="U20" s="156"/>
      <c r="V20" s="156"/>
      <c r="W20" s="159">
        <v>113002.44</v>
      </c>
      <c r="X20" s="156"/>
      <c r="Y20" s="156"/>
      <c r="Z20" s="159">
        <v>91320.09</v>
      </c>
      <c r="AA20" s="156"/>
      <c r="AB20" s="156"/>
      <c r="AC20" s="159">
        <v>65903.94</v>
      </c>
      <c r="AD20" s="156"/>
      <c r="AE20" s="156"/>
      <c r="AF20" s="159">
        <v>107377.56</v>
      </c>
      <c r="AG20" s="156"/>
      <c r="AH20" s="156"/>
      <c r="AI20" s="159">
        <v>110357.74</v>
      </c>
      <c r="AJ20" s="156"/>
      <c r="AK20" s="156"/>
      <c r="AL20" s="157" t="s">
        <v>28</v>
      </c>
      <c r="AM20" s="156"/>
      <c r="AN20" s="156"/>
      <c r="AO20" s="157" t="s">
        <v>28</v>
      </c>
      <c r="AP20" s="156"/>
      <c r="AQ20" s="156"/>
      <c r="AR20" s="157" t="s">
        <v>28</v>
      </c>
      <c r="AS20" s="156"/>
      <c r="AT20" s="156"/>
      <c r="AU20" s="157" t="s">
        <v>28</v>
      </c>
      <c r="AV20" s="156"/>
      <c r="AW20" s="156"/>
      <c r="AX20" s="157" t="s">
        <v>28</v>
      </c>
      <c r="AY20" s="156"/>
      <c r="AZ20" s="156"/>
      <c r="BA20" s="156"/>
    </row>
    <row r="21" spans="1:53" ht="14.45" customHeight="1" x14ac:dyDescent="0.25">
      <c r="A21" s="158" t="s">
        <v>292</v>
      </c>
      <c r="B21" s="156"/>
      <c r="C21" s="159">
        <v>193432.34</v>
      </c>
      <c r="D21" s="156"/>
      <c r="E21" s="156"/>
      <c r="F21" s="159">
        <v>154259.85</v>
      </c>
      <c r="G21" s="156"/>
      <c r="H21" s="156"/>
      <c r="I21" s="159">
        <v>91502.86</v>
      </c>
      <c r="J21" s="156"/>
      <c r="K21" s="156"/>
      <c r="L21" s="159">
        <v>70937.179999999993</v>
      </c>
      <c r="M21" s="156"/>
      <c r="N21" s="156"/>
      <c r="O21" s="159">
        <v>73410.899999999994</v>
      </c>
      <c r="P21" s="156"/>
      <c r="Q21" s="156"/>
      <c r="R21" s="156"/>
      <c r="S21" s="156"/>
      <c r="T21" s="159">
        <v>66351.59</v>
      </c>
      <c r="U21" s="156"/>
      <c r="V21" s="156"/>
      <c r="W21" s="159">
        <v>81531.960000000006</v>
      </c>
      <c r="X21" s="156"/>
      <c r="Y21" s="156"/>
      <c r="Z21" s="159">
        <v>65947.490000000005</v>
      </c>
      <c r="AA21" s="156"/>
      <c r="AB21" s="156"/>
      <c r="AC21" s="159">
        <v>42969.1</v>
      </c>
      <c r="AD21" s="156"/>
      <c r="AE21" s="156"/>
      <c r="AF21" s="159">
        <v>58488.55</v>
      </c>
      <c r="AG21" s="156"/>
      <c r="AH21" s="156"/>
      <c r="AI21" s="159">
        <v>60303.16</v>
      </c>
      <c r="AJ21" s="156"/>
      <c r="AK21" s="156"/>
      <c r="AL21" s="157" t="s">
        <v>28</v>
      </c>
      <c r="AM21" s="156"/>
      <c r="AN21" s="156"/>
      <c r="AO21" s="157" t="s">
        <v>28</v>
      </c>
      <c r="AP21" s="156"/>
      <c r="AQ21" s="156"/>
      <c r="AR21" s="157" t="s">
        <v>28</v>
      </c>
      <c r="AS21" s="156"/>
      <c r="AT21" s="156"/>
      <c r="AU21" s="157" t="s">
        <v>28</v>
      </c>
      <c r="AV21" s="156"/>
      <c r="AW21" s="156"/>
      <c r="AX21" s="157" t="s">
        <v>28</v>
      </c>
      <c r="AY21" s="156"/>
      <c r="AZ21" s="156"/>
      <c r="BA21" s="156"/>
    </row>
    <row r="22" spans="1:53" ht="14.45" customHeight="1" x14ac:dyDescent="0.25">
      <c r="A22" s="158" t="s">
        <v>293</v>
      </c>
      <c r="B22" s="156"/>
      <c r="C22" s="159">
        <v>103.67</v>
      </c>
      <c r="D22" s="156"/>
      <c r="E22" s="156"/>
      <c r="F22" s="159">
        <v>138.93</v>
      </c>
      <c r="G22" s="156"/>
      <c r="H22" s="156"/>
      <c r="I22" s="159">
        <v>142.05000000000001</v>
      </c>
      <c r="J22" s="156"/>
      <c r="K22" s="156"/>
      <c r="L22" s="159">
        <v>0</v>
      </c>
      <c r="M22" s="156"/>
      <c r="N22" s="156"/>
      <c r="O22" s="159">
        <v>60.33</v>
      </c>
      <c r="P22" s="156"/>
      <c r="Q22" s="156"/>
      <c r="R22" s="156"/>
      <c r="S22" s="156"/>
      <c r="T22" s="159">
        <v>1909.74</v>
      </c>
      <c r="U22" s="156"/>
      <c r="V22" s="156"/>
      <c r="W22" s="159">
        <v>0</v>
      </c>
      <c r="X22" s="156"/>
      <c r="Y22" s="156"/>
      <c r="Z22" s="159">
        <v>0</v>
      </c>
      <c r="AA22" s="156"/>
      <c r="AB22" s="156"/>
      <c r="AC22" s="159">
        <v>0</v>
      </c>
      <c r="AD22" s="156"/>
      <c r="AE22" s="156"/>
      <c r="AF22" s="159">
        <v>0</v>
      </c>
      <c r="AG22" s="156"/>
      <c r="AH22" s="156"/>
      <c r="AI22" s="159">
        <v>0</v>
      </c>
      <c r="AJ22" s="156"/>
      <c r="AK22" s="156"/>
      <c r="AL22" s="157" t="s">
        <v>28</v>
      </c>
      <c r="AM22" s="156"/>
      <c r="AN22" s="156"/>
      <c r="AO22" s="157" t="s">
        <v>28</v>
      </c>
      <c r="AP22" s="156"/>
      <c r="AQ22" s="156"/>
      <c r="AR22" s="157" t="s">
        <v>28</v>
      </c>
      <c r="AS22" s="156"/>
      <c r="AT22" s="156"/>
      <c r="AU22" s="157" t="s">
        <v>28</v>
      </c>
      <c r="AV22" s="156"/>
      <c r="AW22" s="156"/>
      <c r="AX22" s="157" t="s">
        <v>28</v>
      </c>
      <c r="AY22" s="156"/>
      <c r="AZ22" s="156"/>
      <c r="BA22" s="156"/>
    </row>
    <row r="23" spans="1:53" ht="14.45" customHeight="1" x14ac:dyDescent="0.25">
      <c r="A23" s="158" t="s">
        <v>294</v>
      </c>
      <c r="B23" s="156"/>
      <c r="C23" s="159">
        <v>12874.6</v>
      </c>
      <c r="D23" s="156"/>
      <c r="E23" s="156"/>
      <c r="F23" s="159">
        <v>31686.77</v>
      </c>
      <c r="G23" s="156"/>
      <c r="H23" s="156"/>
      <c r="I23" s="159">
        <v>29543.3</v>
      </c>
      <c r="J23" s="156"/>
      <c r="K23" s="156"/>
      <c r="L23" s="159">
        <v>12834.26</v>
      </c>
      <c r="M23" s="156"/>
      <c r="N23" s="156"/>
      <c r="O23" s="159">
        <v>23637.439999999999</v>
      </c>
      <c r="P23" s="156"/>
      <c r="Q23" s="156"/>
      <c r="R23" s="156"/>
      <c r="S23" s="156"/>
      <c r="T23" s="159">
        <v>25369.68</v>
      </c>
      <c r="U23" s="156"/>
      <c r="V23" s="156"/>
      <c r="W23" s="159">
        <v>26164.07</v>
      </c>
      <c r="X23" s="156"/>
      <c r="Y23" s="156"/>
      <c r="Z23" s="159">
        <v>20376.419999999998</v>
      </c>
      <c r="AA23" s="156"/>
      <c r="AB23" s="156"/>
      <c r="AC23" s="159">
        <v>22173.11</v>
      </c>
      <c r="AD23" s="156"/>
      <c r="AE23" s="156"/>
      <c r="AF23" s="159">
        <v>45820</v>
      </c>
      <c r="AG23" s="156"/>
      <c r="AH23" s="156"/>
      <c r="AI23" s="159">
        <v>46923.11</v>
      </c>
      <c r="AJ23" s="156"/>
      <c r="AK23" s="156"/>
      <c r="AL23" s="157" t="s">
        <v>28</v>
      </c>
      <c r="AM23" s="156"/>
      <c r="AN23" s="156"/>
      <c r="AO23" s="157" t="s">
        <v>28</v>
      </c>
      <c r="AP23" s="156"/>
      <c r="AQ23" s="156"/>
      <c r="AR23" s="157" t="s">
        <v>28</v>
      </c>
      <c r="AS23" s="156"/>
      <c r="AT23" s="156"/>
      <c r="AU23" s="157" t="s">
        <v>28</v>
      </c>
      <c r="AV23" s="156"/>
      <c r="AW23" s="156"/>
      <c r="AX23" s="157" t="s">
        <v>28</v>
      </c>
      <c r="AY23" s="156"/>
      <c r="AZ23" s="156"/>
      <c r="BA23" s="156"/>
    </row>
    <row r="24" spans="1:53" ht="14.45" customHeight="1" x14ac:dyDescent="0.25">
      <c r="A24" s="158" t="s">
        <v>295</v>
      </c>
      <c r="B24" s="156"/>
      <c r="C24" s="159">
        <v>11433.31</v>
      </c>
      <c r="D24" s="156"/>
      <c r="E24" s="156"/>
      <c r="F24" s="159">
        <v>8302.0300000000007</v>
      </c>
      <c r="G24" s="156"/>
      <c r="H24" s="156"/>
      <c r="I24" s="159">
        <v>3706.75</v>
      </c>
      <c r="J24" s="156"/>
      <c r="K24" s="156"/>
      <c r="L24" s="159">
        <v>6807.78</v>
      </c>
      <c r="M24" s="156"/>
      <c r="N24" s="156"/>
      <c r="O24" s="159">
        <v>3840.23</v>
      </c>
      <c r="P24" s="156"/>
      <c r="Q24" s="156"/>
      <c r="R24" s="156"/>
      <c r="S24" s="156"/>
      <c r="T24" s="159">
        <v>5492.43</v>
      </c>
      <c r="U24" s="156"/>
      <c r="V24" s="156"/>
      <c r="W24" s="159">
        <v>5306.41</v>
      </c>
      <c r="X24" s="156"/>
      <c r="Y24" s="156"/>
      <c r="Z24" s="159">
        <v>4996.18</v>
      </c>
      <c r="AA24" s="156"/>
      <c r="AB24" s="156"/>
      <c r="AC24" s="159">
        <v>761.73</v>
      </c>
      <c r="AD24" s="156"/>
      <c r="AE24" s="156"/>
      <c r="AF24" s="159">
        <v>3069.01</v>
      </c>
      <c r="AG24" s="156"/>
      <c r="AH24" s="156"/>
      <c r="AI24" s="159">
        <v>3131.47</v>
      </c>
      <c r="AJ24" s="156"/>
      <c r="AK24" s="156"/>
      <c r="AL24" s="157" t="s">
        <v>28</v>
      </c>
      <c r="AM24" s="156"/>
      <c r="AN24" s="156"/>
      <c r="AO24" s="157" t="s">
        <v>28</v>
      </c>
      <c r="AP24" s="156"/>
      <c r="AQ24" s="156"/>
      <c r="AR24" s="157" t="s">
        <v>28</v>
      </c>
      <c r="AS24" s="156"/>
      <c r="AT24" s="156"/>
      <c r="AU24" s="157" t="s">
        <v>28</v>
      </c>
      <c r="AV24" s="156"/>
      <c r="AW24" s="156"/>
      <c r="AX24" s="157" t="s">
        <v>28</v>
      </c>
      <c r="AY24" s="156"/>
      <c r="AZ24" s="156"/>
      <c r="BA24" s="156"/>
    </row>
    <row r="25" spans="1:53" ht="14.45" customHeight="1" x14ac:dyDescent="0.25">
      <c r="A25" s="158" t="s">
        <v>296</v>
      </c>
      <c r="B25" s="156"/>
      <c r="C25" s="159">
        <v>0</v>
      </c>
      <c r="D25" s="156"/>
      <c r="E25" s="156"/>
      <c r="F25" s="159">
        <v>0</v>
      </c>
      <c r="G25" s="156"/>
      <c r="H25" s="156"/>
      <c r="I25" s="159">
        <v>0</v>
      </c>
      <c r="J25" s="156"/>
      <c r="K25" s="156"/>
      <c r="L25" s="159">
        <v>0</v>
      </c>
      <c r="M25" s="156"/>
      <c r="N25" s="156"/>
      <c r="O25" s="159">
        <v>0</v>
      </c>
      <c r="P25" s="156"/>
      <c r="Q25" s="156"/>
      <c r="R25" s="156"/>
      <c r="S25" s="156"/>
      <c r="T25" s="159">
        <v>0</v>
      </c>
      <c r="U25" s="156"/>
      <c r="V25" s="156"/>
      <c r="W25" s="159">
        <v>0</v>
      </c>
      <c r="X25" s="156"/>
      <c r="Y25" s="156"/>
      <c r="Z25" s="159">
        <v>0</v>
      </c>
      <c r="AA25" s="156"/>
      <c r="AB25" s="156"/>
      <c r="AC25" s="159">
        <v>0</v>
      </c>
      <c r="AD25" s="156"/>
      <c r="AE25" s="156"/>
      <c r="AF25" s="159">
        <v>0</v>
      </c>
      <c r="AG25" s="156"/>
      <c r="AH25" s="156"/>
      <c r="AI25" s="159">
        <v>0</v>
      </c>
      <c r="AJ25" s="156"/>
      <c r="AK25" s="156"/>
      <c r="AL25" s="157" t="s">
        <v>28</v>
      </c>
      <c r="AM25" s="156"/>
      <c r="AN25" s="156"/>
      <c r="AO25" s="157" t="s">
        <v>28</v>
      </c>
      <c r="AP25" s="156"/>
      <c r="AQ25" s="156"/>
      <c r="AR25" s="157" t="s">
        <v>28</v>
      </c>
      <c r="AS25" s="156"/>
      <c r="AT25" s="156"/>
      <c r="AU25" s="157" t="s">
        <v>28</v>
      </c>
      <c r="AV25" s="156"/>
      <c r="AW25" s="156"/>
      <c r="AX25" s="157" t="s">
        <v>28</v>
      </c>
      <c r="AY25" s="156"/>
      <c r="AZ25" s="156"/>
      <c r="BA25" s="156"/>
    </row>
    <row r="26" spans="1:53" ht="14.45" customHeight="1" x14ac:dyDescent="0.25">
      <c r="A26" s="158" t="s">
        <v>297</v>
      </c>
      <c r="B26" s="156"/>
      <c r="C26" s="159">
        <v>100970.61</v>
      </c>
      <c r="D26" s="156"/>
      <c r="E26" s="156"/>
      <c r="F26" s="159">
        <v>109497.29</v>
      </c>
      <c r="G26" s="156"/>
      <c r="H26" s="156"/>
      <c r="I26" s="159">
        <v>100334.97</v>
      </c>
      <c r="J26" s="156"/>
      <c r="K26" s="156"/>
      <c r="L26" s="159">
        <v>101026.04</v>
      </c>
      <c r="M26" s="156"/>
      <c r="N26" s="156"/>
      <c r="O26" s="159">
        <v>89869.119999999995</v>
      </c>
      <c r="P26" s="156"/>
      <c r="Q26" s="156"/>
      <c r="R26" s="156"/>
      <c r="S26" s="156"/>
      <c r="T26" s="159">
        <v>87257.61</v>
      </c>
      <c r="U26" s="156"/>
      <c r="V26" s="156"/>
      <c r="W26" s="159">
        <v>85235.64</v>
      </c>
      <c r="X26" s="156"/>
      <c r="Y26" s="156"/>
      <c r="Z26" s="159">
        <v>76370.89</v>
      </c>
      <c r="AA26" s="156"/>
      <c r="AB26" s="156"/>
      <c r="AC26" s="159">
        <v>79766.960000000006</v>
      </c>
      <c r="AD26" s="156"/>
      <c r="AE26" s="156"/>
      <c r="AF26" s="159">
        <v>85368.92</v>
      </c>
      <c r="AG26" s="156"/>
      <c r="AH26" s="156"/>
      <c r="AI26" s="159">
        <v>78450.83</v>
      </c>
      <c r="AJ26" s="156"/>
      <c r="AK26" s="156"/>
      <c r="AL26" s="157" t="s">
        <v>28</v>
      </c>
      <c r="AM26" s="156"/>
      <c r="AN26" s="156"/>
      <c r="AO26" s="157" t="s">
        <v>28</v>
      </c>
      <c r="AP26" s="156"/>
      <c r="AQ26" s="156"/>
      <c r="AR26" s="157" t="s">
        <v>28</v>
      </c>
      <c r="AS26" s="156"/>
      <c r="AT26" s="156"/>
      <c r="AU26" s="157" t="s">
        <v>28</v>
      </c>
      <c r="AV26" s="156"/>
      <c r="AW26" s="156"/>
      <c r="AX26" s="157" t="s">
        <v>28</v>
      </c>
      <c r="AY26" s="156"/>
      <c r="AZ26" s="156"/>
      <c r="BA26" s="156"/>
    </row>
    <row r="27" spans="1:53" ht="14.45" customHeight="1" x14ac:dyDescent="0.25">
      <c r="A27" s="158" t="s">
        <v>298</v>
      </c>
      <c r="B27" s="156"/>
      <c r="C27" s="159">
        <v>45740.02</v>
      </c>
      <c r="D27" s="156"/>
      <c r="E27" s="156"/>
      <c r="F27" s="159">
        <v>54228.75</v>
      </c>
      <c r="G27" s="156"/>
      <c r="H27" s="156"/>
      <c r="I27" s="159">
        <v>40183.08</v>
      </c>
      <c r="J27" s="156"/>
      <c r="K27" s="156"/>
      <c r="L27" s="159">
        <v>43232.4</v>
      </c>
      <c r="M27" s="156"/>
      <c r="N27" s="156"/>
      <c r="O27" s="159">
        <v>39606.61</v>
      </c>
      <c r="P27" s="156"/>
      <c r="Q27" s="156"/>
      <c r="R27" s="156"/>
      <c r="S27" s="156"/>
      <c r="T27" s="159">
        <v>38984.639999999999</v>
      </c>
      <c r="U27" s="156"/>
      <c r="V27" s="156"/>
      <c r="W27" s="159">
        <v>37414.089999999997</v>
      </c>
      <c r="X27" s="156"/>
      <c r="Y27" s="156"/>
      <c r="Z27" s="159">
        <v>35368.85</v>
      </c>
      <c r="AA27" s="156"/>
      <c r="AB27" s="156"/>
      <c r="AC27" s="159">
        <v>34771.879999999997</v>
      </c>
      <c r="AD27" s="156"/>
      <c r="AE27" s="156"/>
      <c r="AF27" s="159">
        <v>32376.92</v>
      </c>
      <c r="AG27" s="156"/>
      <c r="AH27" s="156"/>
      <c r="AI27" s="159">
        <v>27351.71</v>
      </c>
      <c r="AJ27" s="156"/>
      <c r="AK27" s="156"/>
      <c r="AL27" s="157" t="s">
        <v>28</v>
      </c>
      <c r="AM27" s="156"/>
      <c r="AN27" s="156"/>
      <c r="AO27" s="157" t="s">
        <v>28</v>
      </c>
      <c r="AP27" s="156"/>
      <c r="AQ27" s="156"/>
      <c r="AR27" s="157" t="s">
        <v>28</v>
      </c>
      <c r="AS27" s="156"/>
      <c r="AT27" s="156"/>
      <c r="AU27" s="157" t="s">
        <v>28</v>
      </c>
      <c r="AV27" s="156"/>
      <c r="AW27" s="156"/>
      <c r="AX27" s="157" t="s">
        <v>28</v>
      </c>
      <c r="AY27" s="156"/>
      <c r="AZ27" s="156"/>
      <c r="BA27" s="156"/>
    </row>
    <row r="28" spans="1:53" ht="14.45" customHeight="1" x14ac:dyDescent="0.25">
      <c r="A28" s="158" t="s">
        <v>299</v>
      </c>
      <c r="B28" s="156"/>
      <c r="C28" s="159">
        <v>39036.720000000001</v>
      </c>
      <c r="D28" s="156"/>
      <c r="E28" s="156"/>
      <c r="F28" s="159">
        <v>39708.47</v>
      </c>
      <c r="G28" s="156"/>
      <c r="H28" s="156"/>
      <c r="I28" s="159">
        <v>44580.23</v>
      </c>
      <c r="J28" s="156"/>
      <c r="K28" s="156"/>
      <c r="L28" s="159">
        <v>45293.37</v>
      </c>
      <c r="M28" s="156"/>
      <c r="N28" s="156"/>
      <c r="O28" s="159">
        <v>36065.97</v>
      </c>
      <c r="P28" s="156"/>
      <c r="Q28" s="156"/>
      <c r="R28" s="156"/>
      <c r="S28" s="156"/>
      <c r="T28" s="159">
        <v>33500.959999999999</v>
      </c>
      <c r="U28" s="156"/>
      <c r="V28" s="156"/>
      <c r="W28" s="159">
        <v>35169.589999999997</v>
      </c>
      <c r="X28" s="156"/>
      <c r="Y28" s="156"/>
      <c r="Z28" s="159">
        <v>29345.72</v>
      </c>
      <c r="AA28" s="156"/>
      <c r="AB28" s="156"/>
      <c r="AC28" s="159">
        <v>31971.23</v>
      </c>
      <c r="AD28" s="156"/>
      <c r="AE28" s="156"/>
      <c r="AF28" s="159">
        <v>40986.589999999997</v>
      </c>
      <c r="AG28" s="156"/>
      <c r="AH28" s="156"/>
      <c r="AI28" s="159">
        <v>41564.69</v>
      </c>
      <c r="AJ28" s="156"/>
      <c r="AK28" s="156"/>
      <c r="AL28" s="157" t="s">
        <v>28</v>
      </c>
      <c r="AM28" s="156"/>
      <c r="AN28" s="156"/>
      <c r="AO28" s="157" t="s">
        <v>28</v>
      </c>
      <c r="AP28" s="156"/>
      <c r="AQ28" s="156"/>
      <c r="AR28" s="157" t="s">
        <v>28</v>
      </c>
      <c r="AS28" s="156"/>
      <c r="AT28" s="156"/>
      <c r="AU28" s="157" t="s">
        <v>28</v>
      </c>
      <c r="AV28" s="156"/>
      <c r="AW28" s="156"/>
      <c r="AX28" s="157" t="s">
        <v>28</v>
      </c>
      <c r="AY28" s="156"/>
      <c r="AZ28" s="156"/>
      <c r="BA28" s="156"/>
    </row>
    <row r="29" spans="1:53" ht="14.45" customHeight="1" x14ac:dyDescent="0.25">
      <c r="A29" s="158" t="s">
        <v>300</v>
      </c>
      <c r="B29" s="156"/>
      <c r="C29" s="159">
        <v>16193.87</v>
      </c>
      <c r="D29" s="156"/>
      <c r="E29" s="156"/>
      <c r="F29" s="159">
        <v>15560.07</v>
      </c>
      <c r="G29" s="156"/>
      <c r="H29" s="156"/>
      <c r="I29" s="159">
        <v>15571.66</v>
      </c>
      <c r="J29" s="156"/>
      <c r="K29" s="156"/>
      <c r="L29" s="159">
        <v>12500.27</v>
      </c>
      <c r="M29" s="156"/>
      <c r="N29" s="156"/>
      <c r="O29" s="159">
        <v>14196.54</v>
      </c>
      <c r="P29" s="156"/>
      <c r="Q29" s="156"/>
      <c r="R29" s="156"/>
      <c r="S29" s="156"/>
      <c r="T29" s="159">
        <v>14772.01</v>
      </c>
      <c r="U29" s="156"/>
      <c r="V29" s="156"/>
      <c r="W29" s="159">
        <v>12651.96</v>
      </c>
      <c r="X29" s="156"/>
      <c r="Y29" s="156"/>
      <c r="Z29" s="159">
        <v>11656.32</v>
      </c>
      <c r="AA29" s="156"/>
      <c r="AB29" s="156"/>
      <c r="AC29" s="159">
        <v>13023.85</v>
      </c>
      <c r="AD29" s="156"/>
      <c r="AE29" s="156"/>
      <c r="AF29" s="159">
        <v>12005.41</v>
      </c>
      <c r="AG29" s="156"/>
      <c r="AH29" s="156"/>
      <c r="AI29" s="159">
        <v>9534.43</v>
      </c>
      <c r="AJ29" s="156"/>
      <c r="AK29" s="156"/>
      <c r="AL29" s="157" t="s">
        <v>28</v>
      </c>
      <c r="AM29" s="156"/>
      <c r="AN29" s="156"/>
      <c r="AO29" s="157" t="s">
        <v>28</v>
      </c>
      <c r="AP29" s="156"/>
      <c r="AQ29" s="156"/>
      <c r="AR29" s="157" t="s">
        <v>28</v>
      </c>
      <c r="AS29" s="156"/>
      <c r="AT29" s="156"/>
      <c r="AU29" s="157" t="s">
        <v>28</v>
      </c>
      <c r="AV29" s="156"/>
      <c r="AW29" s="156"/>
      <c r="AX29" s="157" t="s">
        <v>28</v>
      </c>
      <c r="AY29" s="156"/>
      <c r="AZ29" s="156"/>
      <c r="BA29" s="156"/>
    </row>
    <row r="30" spans="1:53" ht="14.45" customHeight="1" x14ac:dyDescent="0.25">
      <c r="A30" s="158" t="s">
        <v>301</v>
      </c>
      <c r="B30" s="156"/>
      <c r="C30" s="159">
        <v>0</v>
      </c>
      <c r="D30" s="156"/>
      <c r="E30" s="156"/>
      <c r="F30" s="159">
        <v>0</v>
      </c>
      <c r="G30" s="156"/>
      <c r="H30" s="156"/>
      <c r="I30" s="159">
        <v>0</v>
      </c>
      <c r="J30" s="156"/>
      <c r="K30" s="156"/>
      <c r="L30" s="159">
        <v>0</v>
      </c>
      <c r="M30" s="156"/>
      <c r="N30" s="156"/>
      <c r="O30" s="159">
        <v>0</v>
      </c>
      <c r="P30" s="156"/>
      <c r="Q30" s="156"/>
      <c r="R30" s="156"/>
      <c r="S30" s="156"/>
      <c r="T30" s="159">
        <v>0</v>
      </c>
      <c r="U30" s="156"/>
      <c r="V30" s="156"/>
      <c r="W30" s="159">
        <v>0</v>
      </c>
      <c r="X30" s="156"/>
      <c r="Y30" s="156"/>
      <c r="Z30" s="159">
        <v>0</v>
      </c>
      <c r="AA30" s="156"/>
      <c r="AB30" s="156"/>
      <c r="AC30" s="159">
        <v>0</v>
      </c>
      <c r="AD30" s="156"/>
      <c r="AE30" s="156"/>
      <c r="AF30" s="159">
        <v>0</v>
      </c>
      <c r="AG30" s="156"/>
      <c r="AH30" s="156"/>
      <c r="AI30" s="159">
        <v>0</v>
      </c>
      <c r="AJ30" s="156"/>
      <c r="AK30" s="156"/>
      <c r="AL30" s="157" t="s">
        <v>28</v>
      </c>
      <c r="AM30" s="156"/>
      <c r="AN30" s="156"/>
      <c r="AO30" s="157" t="s">
        <v>28</v>
      </c>
      <c r="AP30" s="156"/>
      <c r="AQ30" s="156"/>
      <c r="AR30" s="157" t="s">
        <v>28</v>
      </c>
      <c r="AS30" s="156"/>
      <c r="AT30" s="156"/>
      <c r="AU30" s="157" t="s">
        <v>28</v>
      </c>
      <c r="AV30" s="156"/>
      <c r="AW30" s="156"/>
      <c r="AX30" s="157" t="s">
        <v>28</v>
      </c>
      <c r="AY30" s="156"/>
      <c r="AZ30" s="156"/>
      <c r="BA30" s="156"/>
    </row>
    <row r="31" spans="1:53" ht="14.45" customHeight="1" x14ac:dyDescent="0.25">
      <c r="A31" s="158" t="s">
        <v>302</v>
      </c>
      <c r="B31" s="156"/>
      <c r="C31" s="159">
        <v>54486.47</v>
      </c>
      <c r="D31" s="156"/>
      <c r="E31" s="156"/>
      <c r="F31" s="159">
        <v>59805.59</v>
      </c>
      <c r="G31" s="156"/>
      <c r="H31" s="156"/>
      <c r="I31" s="159">
        <v>72075.199999999997</v>
      </c>
      <c r="J31" s="156"/>
      <c r="K31" s="156"/>
      <c r="L31" s="159">
        <v>69831.66</v>
      </c>
      <c r="M31" s="156"/>
      <c r="N31" s="156"/>
      <c r="O31" s="159">
        <v>56706.55</v>
      </c>
      <c r="P31" s="156"/>
      <c r="Q31" s="156"/>
      <c r="R31" s="156"/>
      <c r="S31" s="156"/>
      <c r="T31" s="159">
        <v>44105.31</v>
      </c>
      <c r="U31" s="156"/>
      <c r="V31" s="156"/>
      <c r="W31" s="159">
        <v>44637.75</v>
      </c>
      <c r="X31" s="156"/>
      <c r="Y31" s="156"/>
      <c r="Z31" s="159">
        <v>30274.29</v>
      </c>
      <c r="AA31" s="156"/>
      <c r="AB31" s="156"/>
      <c r="AC31" s="159">
        <v>28117.84</v>
      </c>
      <c r="AD31" s="156"/>
      <c r="AE31" s="156"/>
      <c r="AF31" s="159">
        <v>122200.08</v>
      </c>
      <c r="AG31" s="156"/>
      <c r="AH31" s="156"/>
      <c r="AI31" s="159">
        <v>106728.75</v>
      </c>
      <c r="AJ31" s="156"/>
      <c r="AK31" s="156"/>
      <c r="AL31" s="157" t="s">
        <v>28</v>
      </c>
      <c r="AM31" s="156"/>
      <c r="AN31" s="156"/>
      <c r="AO31" s="157" t="s">
        <v>28</v>
      </c>
      <c r="AP31" s="156"/>
      <c r="AQ31" s="156"/>
      <c r="AR31" s="157" t="s">
        <v>28</v>
      </c>
      <c r="AS31" s="156"/>
      <c r="AT31" s="156"/>
      <c r="AU31" s="157" t="s">
        <v>28</v>
      </c>
      <c r="AV31" s="156"/>
      <c r="AW31" s="156"/>
      <c r="AX31" s="157" t="s">
        <v>28</v>
      </c>
      <c r="AY31" s="156"/>
      <c r="AZ31" s="156"/>
      <c r="BA31" s="156"/>
    </row>
    <row r="32" spans="1:53" ht="14.45" customHeight="1" x14ac:dyDescent="0.25">
      <c r="A32" s="158" t="s">
        <v>303</v>
      </c>
      <c r="B32" s="156"/>
      <c r="C32" s="159">
        <v>24804.04</v>
      </c>
      <c r="D32" s="156"/>
      <c r="E32" s="156"/>
      <c r="F32" s="159">
        <v>28685.52</v>
      </c>
      <c r="G32" s="156"/>
      <c r="H32" s="156"/>
      <c r="I32" s="159">
        <v>28809.49</v>
      </c>
      <c r="J32" s="156"/>
      <c r="K32" s="156"/>
      <c r="L32" s="159">
        <v>33967.25</v>
      </c>
      <c r="M32" s="156"/>
      <c r="N32" s="156"/>
      <c r="O32" s="159">
        <v>22870.27</v>
      </c>
      <c r="P32" s="156"/>
      <c r="Q32" s="156"/>
      <c r="R32" s="156"/>
      <c r="S32" s="156"/>
      <c r="T32" s="159">
        <v>24422.560000000001</v>
      </c>
      <c r="U32" s="156"/>
      <c r="V32" s="156"/>
      <c r="W32" s="159">
        <v>26804.62</v>
      </c>
      <c r="X32" s="156"/>
      <c r="Y32" s="156"/>
      <c r="Z32" s="159">
        <v>14818.9</v>
      </c>
      <c r="AA32" s="156"/>
      <c r="AB32" s="156"/>
      <c r="AC32" s="159">
        <v>15528.54</v>
      </c>
      <c r="AD32" s="156"/>
      <c r="AE32" s="156"/>
      <c r="AF32" s="159">
        <v>117153.5</v>
      </c>
      <c r="AG32" s="156"/>
      <c r="AH32" s="156"/>
      <c r="AI32" s="159">
        <v>0</v>
      </c>
      <c r="AJ32" s="156"/>
      <c r="AK32" s="156"/>
      <c r="AL32" s="157" t="s">
        <v>28</v>
      </c>
      <c r="AM32" s="156"/>
      <c r="AN32" s="156"/>
      <c r="AO32" s="157" t="s">
        <v>28</v>
      </c>
      <c r="AP32" s="156"/>
      <c r="AQ32" s="156"/>
      <c r="AR32" s="157" t="s">
        <v>28</v>
      </c>
      <c r="AS32" s="156"/>
      <c r="AT32" s="156"/>
      <c r="AU32" s="157" t="s">
        <v>28</v>
      </c>
      <c r="AV32" s="156"/>
      <c r="AW32" s="156"/>
      <c r="AX32" s="157" t="s">
        <v>28</v>
      </c>
      <c r="AY32" s="156"/>
      <c r="AZ32" s="156"/>
      <c r="BA32" s="156"/>
    </row>
    <row r="33" spans="1:53" ht="14.45" customHeight="1" x14ac:dyDescent="0.25">
      <c r="A33" s="158" t="s">
        <v>304</v>
      </c>
      <c r="B33" s="156"/>
      <c r="C33" s="159">
        <v>81.31</v>
      </c>
      <c r="D33" s="156"/>
      <c r="E33" s="156"/>
      <c r="F33" s="159">
        <v>0</v>
      </c>
      <c r="G33" s="156"/>
      <c r="H33" s="156"/>
      <c r="I33" s="159">
        <v>234.55</v>
      </c>
      <c r="J33" s="156"/>
      <c r="K33" s="156"/>
      <c r="L33" s="159">
        <v>11.5</v>
      </c>
      <c r="M33" s="156"/>
      <c r="N33" s="156"/>
      <c r="O33" s="159">
        <v>39.4</v>
      </c>
      <c r="P33" s="156"/>
      <c r="Q33" s="156"/>
      <c r="R33" s="156"/>
      <c r="S33" s="156"/>
      <c r="T33" s="159">
        <v>42.25</v>
      </c>
      <c r="U33" s="156"/>
      <c r="V33" s="156"/>
      <c r="W33" s="159">
        <v>0</v>
      </c>
      <c r="X33" s="156"/>
      <c r="Y33" s="156"/>
      <c r="Z33" s="159">
        <v>0</v>
      </c>
      <c r="AA33" s="156"/>
      <c r="AB33" s="156"/>
      <c r="AC33" s="159">
        <v>0</v>
      </c>
      <c r="AD33" s="156"/>
      <c r="AE33" s="156"/>
      <c r="AF33" s="159">
        <v>0</v>
      </c>
      <c r="AG33" s="156"/>
      <c r="AH33" s="156"/>
      <c r="AI33" s="159">
        <v>0</v>
      </c>
      <c r="AJ33" s="156"/>
      <c r="AK33" s="156"/>
      <c r="AL33" s="157" t="s">
        <v>28</v>
      </c>
      <c r="AM33" s="156"/>
      <c r="AN33" s="156"/>
      <c r="AO33" s="157" t="s">
        <v>28</v>
      </c>
      <c r="AP33" s="156"/>
      <c r="AQ33" s="156"/>
      <c r="AR33" s="157" t="s">
        <v>28</v>
      </c>
      <c r="AS33" s="156"/>
      <c r="AT33" s="156"/>
      <c r="AU33" s="157" t="s">
        <v>28</v>
      </c>
      <c r="AV33" s="156"/>
      <c r="AW33" s="156"/>
      <c r="AX33" s="157" t="s">
        <v>28</v>
      </c>
      <c r="AY33" s="156"/>
      <c r="AZ33" s="156"/>
      <c r="BA33" s="156"/>
    </row>
    <row r="34" spans="1:53" ht="14.45" customHeight="1" x14ac:dyDescent="0.25">
      <c r="A34" s="158" t="s">
        <v>305</v>
      </c>
      <c r="B34" s="156"/>
      <c r="C34" s="159">
        <v>29601.119999999999</v>
      </c>
      <c r="D34" s="156"/>
      <c r="E34" s="156"/>
      <c r="F34" s="159">
        <v>31120.07</v>
      </c>
      <c r="G34" s="156"/>
      <c r="H34" s="156"/>
      <c r="I34" s="159">
        <v>43031.16</v>
      </c>
      <c r="J34" s="156"/>
      <c r="K34" s="156"/>
      <c r="L34" s="159">
        <v>35852.910000000003</v>
      </c>
      <c r="M34" s="156"/>
      <c r="N34" s="156"/>
      <c r="O34" s="159">
        <v>33796.879999999997</v>
      </c>
      <c r="P34" s="156"/>
      <c r="Q34" s="156"/>
      <c r="R34" s="156"/>
      <c r="S34" s="156"/>
      <c r="T34" s="159">
        <v>19640.5</v>
      </c>
      <c r="U34" s="156"/>
      <c r="V34" s="156"/>
      <c r="W34" s="159">
        <v>17833.13</v>
      </c>
      <c r="X34" s="156"/>
      <c r="Y34" s="156"/>
      <c r="Z34" s="159">
        <v>15455.39</v>
      </c>
      <c r="AA34" s="156"/>
      <c r="AB34" s="156"/>
      <c r="AC34" s="159">
        <v>12589.3</v>
      </c>
      <c r="AD34" s="156"/>
      <c r="AE34" s="156"/>
      <c r="AF34" s="159">
        <v>5046.58</v>
      </c>
      <c r="AG34" s="156"/>
      <c r="AH34" s="156"/>
      <c r="AI34" s="159">
        <v>455.71</v>
      </c>
      <c r="AJ34" s="156"/>
      <c r="AK34" s="156"/>
      <c r="AL34" s="157" t="s">
        <v>28</v>
      </c>
      <c r="AM34" s="156"/>
      <c r="AN34" s="156"/>
      <c r="AO34" s="157" t="s">
        <v>28</v>
      </c>
      <c r="AP34" s="156"/>
      <c r="AQ34" s="156"/>
      <c r="AR34" s="157" t="s">
        <v>28</v>
      </c>
      <c r="AS34" s="156"/>
      <c r="AT34" s="156"/>
      <c r="AU34" s="157" t="s">
        <v>28</v>
      </c>
      <c r="AV34" s="156"/>
      <c r="AW34" s="156"/>
      <c r="AX34" s="157" t="s">
        <v>28</v>
      </c>
      <c r="AY34" s="156"/>
      <c r="AZ34" s="156"/>
      <c r="BA34" s="156"/>
    </row>
    <row r="35" spans="1:53" ht="14.45" customHeight="1" x14ac:dyDescent="0.25">
      <c r="A35" s="158" t="s">
        <v>301</v>
      </c>
      <c r="B35" s="156"/>
      <c r="C35" s="159">
        <v>0</v>
      </c>
      <c r="D35" s="156"/>
      <c r="E35" s="156"/>
      <c r="F35" s="159">
        <v>0</v>
      </c>
      <c r="G35" s="156"/>
      <c r="H35" s="156"/>
      <c r="I35" s="159">
        <v>0</v>
      </c>
      <c r="J35" s="156"/>
      <c r="K35" s="156"/>
      <c r="L35" s="159">
        <v>0</v>
      </c>
      <c r="M35" s="156"/>
      <c r="N35" s="156"/>
      <c r="O35" s="159">
        <v>0</v>
      </c>
      <c r="P35" s="156"/>
      <c r="Q35" s="156"/>
      <c r="R35" s="156"/>
      <c r="S35" s="156"/>
      <c r="T35" s="159">
        <v>0</v>
      </c>
      <c r="U35" s="156"/>
      <c r="V35" s="156"/>
      <c r="W35" s="159">
        <v>0</v>
      </c>
      <c r="X35" s="156"/>
      <c r="Y35" s="156"/>
      <c r="Z35" s="159">
        <v>0</v>
      </c>
      <c r="AA35" s="156"/>
      <c r="AB35" s="156"/>
      <c r="AC35" s="159">
        <v>0</v>
      </c>
      <c r="AD35" s="156"/>
      <c r="AE35" s="156"/>
      <c r="AF35" s="159">
        <v>0</v>
      </c>
      <c r="AG35" s="156"/>
      <c r="AH35" s="156"/>
      <c r="AI35" s="159">
        <v>106273.04</v>
      </c>
      <c r="AJ35" s="156"/>
      <c r="AK35" s="156"/>
      <c r="AL35" s="157" t="s">
        <v>28</v>
      </c>
      <c r="AM35" s="156"/>
      <c r="AN35" s="156"/>
      <c r="AO35" s="157" t="s">
        <v>28</v>
      </c>
      <c r="AP35" s="156"/>
      <c r="AQ35" s="156"/>
      <c r="AR35" s="157" t="s">
        <v>28</v>
      </c>
      <c r="AS35" s="156"/>
      <c r="AT35" s="156"/>
      <c r="AU35" s="157" t="s">
        <v>28</v>
      </c>
      <c r="AV35" s="156"/>
      <c r="AW35" s="156"/>
      <c r="AX35" s="157" t="s">
        <v>28</v>
      </c>
      <c r="AY35" s="156"/>
      <c r="AZ35" s="156"/>
      <c r="BA35" s="156"/>
    </row>
    <row r="36" spans="1:53" ht="14.45" customHeight="1" x14ac:dyDescent="0.25">
      <c r="A36" s="158" t="s">
        <v>306</v>
      </c>
      <c r="B36" s="156"/>
      <c r="C36" s="159">
        <v>373693.62</v>
      </c>
      <c r="D36" s="156"/>
      <c r="E36" s="156"/>
      <c r="F36" s="159">
        <v>338383.64</v>
      </c>
      <c r="G36" s="156"/>
      <c r="H36" s="156"/>
      <c r="I36" s="159">
        <v>323620.02</v>
      </c>
      <c r="J36" s="156"/>
      <c r="K36" s="156"/>
      <c r="L36" s="159">
        <v>341803.5</v>
      </c>
      <c r="M36" s="156"/>
      <c r="N36" s="156"/>
      <c r="O36" s="159">
        <v>353397.8</v>
      </c>
      <c r="P36" s="156"/>
      <c r="Q36" s="156"/>
      <c r="R36" s="156"/>
      <c r="S36" s="156"/>
      <c r="T36" s="159">
        <v>327200.90999999997</v>
      </c>
      <c r="U36" s="156"/>
      <c r="V36" s="156"/>
      <c r="W36" s="159">
        <v>277241.59000000003</v>
      </c>
      <c r="X36" s="156"/>
      <c r="Y36" s="156"/>
      <c r="Z36" s="159">
        <v>275908.67</v>
      </c>
      <c r="AA36" s="156"/>
      <c r="AB36" s="156"/>
      <c r="AC36" s="159">
        <v>293453.76</v>
      </c>
      <c r="AD36" s="156"/>
      <c r="AE36" s="156"/>
      <c r="AF36" s="159">
        <v>296252.68</v>
      </c>
      <c r="AG36" s="156"/>
      <c r="AH36" s="156"/>
      <c r="AI36" s="159">
        <v>293047.11</v>
      </c>
      <c r="AJ36" s="156"/>
      <c r="AK36" s="156"/>
      <c r="AL36" s="157" t="s">
        <v>28</v>
      </c>
      <c r="AM36" s="156"/>
      <c r="AN36" s="156"/>
      <c r="AO36" s="157" t="s">
        <v>28</v>
      </c>
      <c r="AP36" s="156"/>
      <c r="AQ36" s="156"/>
      <c r="AR36" s="157" t="s">
        <v>28</v>
      </c>
      <c r="AS36" s="156"/>
      <c r="AT36" s="156"/>
      <c r="AU36" s="157" t="s">
        <v>28</v>
      </c>
      <c r="AV36" s="156"/>
      <c r="AW36" s="156"/>
      <c r="AX36" s="157" t="s">
        <v>28</v>
      </c>
      <c r="AY36" s="156"/>
      <c r="AZ36" s="156"/>
      <c r="BA36" s="156"/>
    </row>
    <row r="37" spans="1:53" ht="14.45" customHeight="1" x14ac:dyDescent="0.25">
      <c r="A37" s="158" t="s">
        <v>307</v>
      </c>
      <c r="B37" s="156"/>
      <c r="C37" s="159">
        <v>246152.24</v>
      </c>
      <c r="D37" s="156"/>
      <c r="E37" s="156"/>
      <c r="F37" s="159">
        <v>230526.51</v>
      </c>
      <c r="G37" s="156"/>
      <c r="H37" s="156"/>
      <c r="I37" s="159">
        <v>216334.94</v>
      </c>
      <c r="J37" s="156"/>
      <c r="K37" s="156"/>
      <c r="L37" s="159">
        <v>212615.34</v>
      </c>
      <c r="M37" s="156"/>
      <c r="N37" s="156"/>
      <c r="O37" s="159">
        <v>204903.65</v>
      </c>
      <c r="P37" s="156"/>
      <c r="Q37" s="156"/>
      <c r="R37" s="156"/>
      <c r="S37" s="156"/>
      <c r="T37" s="159">
        <v>184474.32</v>
      </c>
      <c r="U37" s="156"/>
      <c r="V37" s="156"/>
      <c r="W37" s="159">
        <v>186802.37</v>
      </c>
      <c r="X37" s="156"/>
      <c r="Y37" s="156"/>
      <c r="Z37" s="159">
        <v>193632.96</v>
      </c>
      <c r="AA37" s="156"/>
      <c r="AB37" s="156"/>
      <c r="AC37" s="159">
        <v>197528.53</v>
      </c>
      <c r="AD37" s="156"/>
      <c r="AE37" s="156"/>
      <c r="AF37" s="159">
        <v>191243.9</v>
      </c>
      <c r="AG37" s="156"/>
      <c r="AH37" s="156"/>
      <c r="AI37" s="159">
        <v>185537.96</v>
      </c>
      <c r="AJ37" s="156"/>
      <c r="AK37" s="156"/>
      <c r="AL37" s="157" t="s">
        <v>28</v>
      </c>
      <c r="AM37" s="156"/>
      <c r="AN37" s="156"/>
      <c r="AO37" s="157" t="s">
        <v>28</v>
      </c>
      <c r="AP37" s="156"/>
      <c r="AQ37" s="156"/>
      <c r="AR37" s="157" t="s">
        <v>28</v>
      </c>
      <c r="AS37" s="156"/>
      <c r="AT37" s="156"/>
      <c r="AU37" s="157" t="s">
        <v>28</v>
      </c>
      <c r="AV37" s="156"/>
      <c r="AW37" s="156"/>
      <c r="AX37" s="157" t="s">
        <v>28</v>
      </c>
      <c r="AY37" s="156"/>
      <c r="AZ37" s="156"/>
      <c r="BA37" s="156"/>
    </row>
    <row r="38" spans="1:53" ht="14.45" customHeight="1" x14ac:dyDescent="0.25">
      <c r="A38" s="158" t="s">
        <v>308</v>
      </c>
      <c r="B38" s="156"/>
      <c r="C38" s="159">
        <v>59871.59</v>
      </c>
      <c r="D38" s="156"/>
      <c r="E38" s="156"/>
      <c r="F38" s="159">
        <v>39105.24</v>
      </c>
      <c r="G38" s="156"/>
      <c r="H38" s="156"/>
      <c r="I38" s="159">
        <v>41530.67</v>
      </c>
      <c r="J38" s="156"/>
      <c r="K38" s="156"/>
      <c r="L38" s="159">
        <v>35030.03</v>
      </c>
      <c r="M38" s="156"/>
      <c r="N38" s="156"/>
      <c r="O38" s="159">
        <v>35736.839999999997</v>
      </c>
      <c r="P38" s="156"/>
      <c r="Q38" s="156"/>
      <c r="R38" s="156"/>
      <c r="S38" s="156"/>
      <c r="T38" s="159">
        <v>34552</v>
      </c>
      <c r="U38" s="156"/>
      <c r="V38" s="156"/>
      <c r="W38" s="159">
        <v>35528.449999999997</v>
      </c>
      <c r="X38" s="156"/>
      <c r="Y38" s="156"/>
      <c r="Z38" s="159">
        <v>41048.559999999998</v>
      </c>
      <c r="AA38" s="156"/>
      <c r="AB38" s="156"/>
      <c r="AC38" s="159">
        <v>54802.57</v>
      </c>
      <c r="AD38" s="156"/>
      <c r="AE38" s="156"/>
      <c r="AF38" s="159">
        <v>50276.42</v>
      </c>
      <c r="AG38" s="156"/>
      <c r="AH38" s="156"/>
      <c r="AI38" s="159">
        <v>38071.449999999997</v>
      </c>
      <c r="AJ38" s="156"/>
      <c r="AK38" s="156"/>
      <c r="AL38" s="157" t="s">
        <v>28</v>
      </c>
      <c r="AM38" s="156"/>
      <c r="AN38" s="156"/>
      <c r="AO38" s="157" t="s">
        <v>28</v>
      </c>
      <c r="AP38" s="156"/>
      <c r="AQ38" s="156"/>
      <c r="AR38" s="157" t="s">
        <v>28</v>
      </c>
      <c r="AS38" s="156"/>
      <c r="AT38" s="156"/>
      <c r="AU38" s="157" t="s">
        <v>28</v>
      </c>
      <c r="AV38" s="156"/>
      <c r="AW38" s="156"/>
      <c r="AX38" s="157" t="s">
        <v>28</v>
      </c>
      <c r="AY38" s="156"/>
      <c r="AZ38" s="156"/>
      <c r="BA38" s="156"/>
    </row>
    <row r="39" spans="1:53" ht="14.45" customHeight="1" x14ac:dyDescent="0.25">
      <c r="A39" s="158" t="s">
        <v>309</v>
      </c>
      <c r="B39" s="156"/>
      <c r="C39" s="159">
        <v>20875.98</v>
      </c>
      <c r="D39" s="156"/>
      <c r="E39" s="156"/>
      <c r="F39" s="159">
        <v>18291.47</v>
      </c>
      <c r="G39" s="156"/>
      <c r="H39" s="156"/>
      <c r="I39" s="159">
        <v>20126</v>
      </c>
      <c r="J39" s="156"/>
      <c r="K39" s="156"/>
      <c r="L39" s="159">
        <v>31767.9</v>
      </c>
      <c r="M39" s="156"/>
      <c r="N39" s="156"/>
      <c r="O39" s="159">
        <v>60069.42</v>
      </c>
      <c r="P39" s="156"/>
      <c r="Q39" s="156"/>
      <c r="R39" s="156"/>
      <c r="S39" s="156"/>
      <c r="T39" s="159">
        <v>51492.72</v>
      </c>
      <c r="U39" s="156"/>
      <c r="V39" s="156"/>
      <c r="W39" s="159">
        <v>8912.81</v>
      </c>
      <c r="X39" s="156"/>
      <c r="Y39" s="156"/>
      <c r="Z39" s="159">
        <v>7547.88</v>
      </c>
      <c r="AA39" s="156"/>
      <c r="AB39" s="156"/>
      <c r="AC39" s="159">
        <v>5191.41</v>
      </c>
      <c r="AD39" s="156"/>
      <c r="AE39" s="156"/>
      <c r="AF39" s="159">
        <v>7181.94</v>
      </c>
      <c r="AG39" s="156"/>
      <c r="AH39" s="156"/>
      <c r="AI39" s="159">
        <v>7439.76</v>
      </c>
      <c r="AJ39" s="156"/>
      <c r="AK39" s="156"/>
      <c r="AL39" s="157" t="s">
        <v>28</v>
      </c>
      <c r="AM39" s="156"/>
      <c r="AN39" s="156"/>
      <c r="AO39" s="157" t="s">
        <v>28</v>
      </c>
      <c r="AP39" s="156"/>
      <c r="AQ39" s="156"/>
      <c r="AR39" s="157" t="s">
        <v>28</v>
      </c>
      <c r="AS39" s="156"/>
      <c r="AT39" s="156"/>
      <c r="AU39" s="157" t="s">
        <v>28</v>
      </c>
      <c r="AV39" s="156"/>
      <c r="AW39" s="156"/>
      <c r="AX39" s="157" t="s">
        <v>28</v>
      </c>
      <c r="AY39" s="156"/>
      <c r="AZ39" s="156"/>
      <c r="BA39" s="156"/>
    </row>
    <row r="40" spans="1:53" ht="14.45" customHeight="1" x14ac:dyDescent="0.25">
      <c r="A40" s="158" t="s">
        <v>310</v>
      </c>
      <c r="B40" s="156"/>
      <c r="C40" s="159">
        <v>0</v>
      </c>
      <c r="D40" s="156"/>
      <c r="E40" s="156"/>
      <c r="F40" s="159">
        <v>0</v>
      </c>
      <c r="G40" s="156"/>
      <c r="H40" s="156"/>
      <c r="I40" s="159">
        <v>0</v>
      </c>
      <c r="J40" s="156"/>
      <c r="K40" s="156"/>
      <c r="L40" s="159">
        <v>0</v>
      </c>
      <c r="M40" s="156"/>
      <c r="N40" s="156"/>
      <c r="O40" s="159">
        <v>0</v>
      </c>
      <c r="P40" s="156"/>
      <c r="Q40" s="156"/>
      <c r="R40" s="156"/>
      <c r="S40" s="156"/>
      <c r="T40" s="159">
        <v>0</v>
      </c>
      <c r="U40" s="156"/>
      <c r="V40" s="156"/>
      <c r="W40" s="159">
        <v>0</v>
      </c>
      <c r="X40" s="156"/>
      <c r="Y40" s="156"/>
      <c r="Z40" s="159">
        <v>0</v>
      </c>
      <c r="AA40" s="156"/>
      <c r="AB40" s="156"/>
      <c r="AC40" s="159">
        <v>0</v>
      </c>
      <c r="AD40" s="156"/>
      <c r="AE40" s="156"/>
      <c r="AF40" s="159">
        <v>0</v>
      </c>
      <c r="AG40" s="156"/>
      <c r="AH40" s="156"/>
      <c r="AI40" s="159">
        <v>0</v>
      </c>
      <c r="AJ40" s="156"/>
      <c r="AK40" s="156"/>
      <c r="AL40" s="157" t="s">
        <v>28</v>
      </c>
      <c r="AM40" s="156"/>
      <c r="AN40" s="156"/>
      <c r="AO40" s="157" t="s">
        <v>28</v>
      </c>
      <c r="AP40" s="156"/>
      <c r="AQ40" s="156"/>
      <c r="AR40" s="157" t="s">
        <v>28</v>
      </c>
      <c r="AS40" s="156"/>
      <c r="AT40" s="156"/>
      <c r="AU40" s="157" t="s">
        <v>28</v>
      </c>
      <c r="AV40" s="156"/>
      <c r="AW40" s="156"/>
      <c r="AX40" s="157" t="s">
        <v>28</v>
      </c>
      <c r="AY40" s="156"/>
      <c r="AZ40" s="156"/>
      <c r="BA40" s="156"/>
    </row>
    <row r="41" spans="1:53" ht="14.45" customHeight="1" x14ac:dyDescent="0.25">
      <c r="A41" s="158" t="s">
        <v>311</v>
      </c>
      <c r="B41" s="156"/>
      <c r="C41" s="159">
        <v>140</v>
      </c>
      <c r="D41" s="156"/>
      <c r="E41" s="156"/>
      <c r="F41" s="159">
        <v>1785</v>
      </c>
      <c r="G41" s="156"/>
      <c r="H41" s="156"/>
      <c r="I41" s="159">
        <v>1915.44</v>
      </c>
      <c r="J41" s="156"/>
      <c r="K41" s="156"/>
      <c r="L41" s="159">
        <v>2998.53</v>
      </c>
      <c r="M41" s="156"/>
      <c r="N41" s="156"/>
      <c r="O41" s="159">
        <v>936</v>
      </c>
      <c r="P41" s="156"/>
      <c r="Q41" s="156"/>
      <c r="R41" s="156"/>
      <c r="S41" s="156"/>
      <c r="T41" s="159">
        <v>4107.54</v>
      </c>
      <c r="U41" s="156"/>
      <c r="V41" s="156"/>
      <c r="W41" s="159">
        <v>744.58</v>
      </c>
      <c r="X41" s="156"/>
      <c r="Y41" s="156"/>
      <c r="Z41" s="159">
        <v>135</v>
      </c>
      <c r="AA41" s="156"/>
      <c r="AB41" s="156"/>
      <c r="AC41" s="159">
        <v>155.35</v>
      </c>
      <c r="AD41" s="156"/>
      <c r="AE41" s="156"/>
      <c r="AF41" s="159">
        <v>0</v>
      </c>
      <c r="AG41" s="156"/>
      <c r="AH41" s="156"/>
      <c r="AI41" s="159">
        <v>0</v>
      </c>
      <c r="AJ41" s="156"/>
      <c r="AK41" s="156"/>
      <c r="AL41" s="157" t="s">
        <v>28</v>
      </c>
      <c r="AM41" s="156"/>
      <c r="AN41" s="156"/>
      <c r="AO41" s="157" t="s">
        <v>28</v>
      </c>
      <c r="AP41" s="156"/>
      <c r="AQ41" s="156"/>
      <c r="AR41" s="157" t="s">
        <v>28</v>
      </c>
      <c r="AS41" s="156"/>
      <c r="AT41" s="156"/>
      <c r="AU41" s="157" t="s">
        <v>28</v>
      </c>
      <c r="AV41" s="156"/>
      <c r="AW41" s="156"/>
      <c r="AX41" s="157" t="s">
        <v>28</v>
      </c>
      <c r="AY41" s="156"/>
      <c r="AZ41" s="156"/>
      <c r="BA41" s="156"/>
    </row>
    <row r="42" spans="1:53" ht="14.45" customHeight="1" x14ac:dyDescent="0.25">
      <c r="A42" s="158" t="s">
        <v>312</v>
      </c>
      <c r="B42" s="156"/>
      <c r="C42" s="159">
        <v>7827.5</v>
      </c>
      <c r="D42" s="156"/>
      <c r="E42" s="156"/>
      <c r="F42" s="159">
        <v>24066.02</v>
      </c>
      <c r="G42" s="156"/>
      <c r="H42" s="156"/>
      <c r="I42" s="159">
        <v>22744.35</v>
      </c>
      <c r="J42" s="156"/>
      <c r="K42" s="156"/>
      <c r="L42" s="159">
        <v>37970.76</v>
      </c>
      <c r="M42" s="156"/>
      <c r="N42" s="156"/>
      <c r="O42" s="159">
        <v>34941.040000000001</v>
      </c>
      <c r="P42" s="156"/>
      <c r="Q42" s="156"/>
      <c r="R42" s="156"/>
      <c r="S42" s="156"/>
      <c r="T42" s="159">
        <v>30346.36</v>
      </c>
      <c r="U42" s="156"/>
      <c r="V42" s="156"/>
      <c r="W42" s="159">
        <v>25224.86</v>
      </c>
      <c r="X42" s="156"/>
      <c r="Y42" s="156"/>
      <c r="Z42" s="159">
        <v>16819.16</v>
      </c>
      <c r="AA42" s="156"/>
      <c r="AB42" s="156"/>
      <c r="AC42" s="159">
        <v>17993.13</v>
      </c>
      <c r="AD42" s="156"/>
      <c r="AE42" s="156"/>
      <c r="AF42" s="159">
        <v>2856</v>
      </c>
      <c r="AG42" s="156"/>
      <c r="AH42" s="156"/>
      <c r="AI42" s="159">
        <v>3294.35</v>
      </c>
      <c r="AJ42" s="156"/>
      <c r="AK42" s="156"/>
      <c r="AL42" s="157" t="s">
        <v>28</v>
      </c>
      <c r="AM42" s="156"/>
      <c r="AN42" s="156"/>
      <c r="AO42" s="157" t="s">
        <v>28</v>
      </c>
      <c r="AP42" s="156"/>
      <c r="AQ42" s="156"/>
      <c r="AR42" s="157" t="s">
        <v>28</v>
      </c>
      <c r="AS42" s="156"/>
      <c r="AT42" s="156"/>
      <c r="AU42" s="157" t="s">
        <v>28</v>
      </c>
      <c r="AV42" s="156"/>
      <c r="AW42" s="156"/>
      <c r="AX42" s="157" t="s">
        <v>28</v>
      </c>
      <c r="AY42" s="156"/>
      <c r="AZ42" s="156"/>
      <c r="BA42" s="156"/>
    </row>
    <row r="43" spans="1:53" ht="14.45" customHeight="1" x14ac:dyDescent="0.25">
      <c r="A43" s="158" t="s">
        <v>313</v>
      </c>
      <c r="B43" s="156"/>
      <c r="C43" s="159">
        <v>29376.16</v>
      </c>
      <c r="D43" s="156"/>
      <c r="E43" s="156"/>
      <c r="F43" s="159">
        <v>21109.59</v>
      </c>
      <c r="G43" s="156"/>
      <c r="H43" s="156"/>
      <c r="I43" s="159">
        <v>17335.54</v>
      </c>
      <c r="J43" s="156"/>
      <c r="K43" s="156"/>
      <c r="L43" s="159">
        <v>17192.45</v>
      </c>
      <c r="M43" s="156"/>
      <c r="N43" s="156"/>
      <c r="O43" s="159">
        <v>14256.32</v>
      </c>
      <c r="P43" s="156"/>
      <c r="Q43" s="156"/>
      <c r="R43" s="156"/>
      <c r="S43" s="156"/>
      <c r="T43" s="159">
        <v>17115.560000000001</v>
      </c>
      <c r="U43" s="156"/>
      <c r="V43" s="156"/>
      <c r="W43" s="159">
        <v>17255.12</v>
      </c>
      <c r="X43" s="156"/>
      <c r="Y43" s="156"/>
      <c r="Z43" s="159">
        <v>13253.42</v>
      </c>
      <c r="AA43" s="156"/>
      <c r="AB43" s="156"/>
      <c r="AC43" s="159">
        <v>14393.85</v>
      </c>
      <c r="AD43" s="156"/>
      <c r="AE43" s="156"/>
      <c r="AF43" s="159">
        <v>27105.18</v>
      </c>
      <c r="AG43" s="156"/>
      <c r="AH43" s="156"/>
      <c r="AI43" s="159">
        <v>36114.06</v>
      </c>
      <c r="AJ43" s="156"/>
      <c r="AK43" s="156"/>
      <c r="AL43" s="157" t="s">
        <v>28</v>
      </c>
      <c r="AM43" s="156"/>
      <c r="AN43" s="156"/>
      <c r="AO43" s="157" t="s">
        <v>28</v>
      </c>
      <c r="AP43" s="156"/>
      <c r="AQ43" s="156"/>
      <c r="AR43" s="157" t="s">
        <v>28</v>
      </c>
      <c r="AS43" s="156"/>
      <c r="AT43" s="156"/>
      <c r="AU43" s="157" t="s">
        <v>28</v>
      </c>
      <c r="AV43" s="156"/>
      <c r="AW43" s="156"/>
      <c r="AX43" s="157" t="s">
        <v>28</v>
      </c>
      <c r="AY43" s="156"/>
      <c r="AZ43" s="156"/>
      <c r="BA43" s="156"/>
    </row>
    <row r="44" spans="1:53" ht="14.45" customHeight="1" x14ac:dyDescent="0.25">
      <c r="A44" s="158" t="s">
        <v>314</v>
      </c>
      <c r="B44" s="156"/>
      <c r="C44" s="159">
        <v>9450.15</v>
      </c>
      <c r="D44" s="156"/>
      <c r="E44" s="156"/>
      <c r="F44" s="159">
        <v>3499.81</v>
      </c>
      <c r="G44" s="156"/>
      <c r="H44" s="156"/>
      <c r="I44" s="159">
        <v>3633.08</v>
      </c>
      <c r="J44" s="156"/>
      <c r="K44" s="156"/>
      <c r="L44" s="159">
        <v>4228.49</v>
      </c>
      <c r="M44" s="156"/>
      <c r="N44" s="156"/>
      <c r="O44" s="159">
        <v>2554.5300000000002</v>
      </c>
      <c r="P44" s="156"/>
      <c r="Q44" s="156"/>
      <c r="R44" s="156"/>
      <c r="S44" s="156"/>
      <c r="T44" s="159">
        <v>5112.41</v>
      </c>
      <c r="U44" s="156"/>
      <c r="V44" s="156"/>
      <c r="W44" s="159">
        <v>2773.4</v>
      </c>
      <c r="X44" s="156"/>
      <c r="Y44" s="156"/>
      <c r="Z44" s="159">
        <v>3471.69</v>
      </c>
      <c r="AA44" s="156"/>
      <c r="AB44" s="156"/>
      <c r="AC44" s="159">
        <v>3388.92</v>
      </c>
      <c r="AD44" s="156"/>
      <c r="AE44" s="156"/>
      <c r="AF44" s="159">
        <v>17589.240000000002</v>
      </c>
      <c r="AG44" s="156"/>
      <c r="AH44" s="156"/>
      <c r="AI44" s="159">
        <v>22589.53</v>
      </c>
      <c r="AJ44" s="156"/>
      <c r="AK44" s="156"/>
      <c r="AL44" s="157" t="s">
        <v>28</v>
      </c>
      <c r="AM44" s="156"/>
      <c r="AN44" s="156"/>
      <c r="AO44" s="157" t="s">
        <v>28</v>
      </c>
      <c r="AP44" s="156"/>
      <c r="AQ44" s="156"/>
      <c r="AR44" s="157" t="s">
        <v>28</v>
      </c>
      <c r="AS44" s="156"/>
      <c r="AT44" s="156"/>
      <c r="AU44" s="157" t="s">
        <v>28</v>
      </c>
      <c r="AV44" s="156"/>
      <c r="AW44" s="156"/>
      <c r="AX44" s="157" t="s">
        <v>28</v>
      </c>
      <c r="AY44" s="156"/>
      <c r="AZ44" s="156"/>
      <c r="BA44" s="156"/>
    </row>
  </sheetData>
  <mergeCells count="670">
    <mergeCell ref="B1:Q1"/>
    <mergeCell ref="A2:P2"/>
    <mergeCell ref="A3:AZ3"/>
    <mergeCell ref="A4:P4"/>
    <mergeCell ref="A5:B6"/>
    <mergeCell ref="C5:C6"/>
    <mergeCell ref="D5:E5"/>
    <mergeCell ref="F5:F6"/>
    <mergeCell ref="G5:H5"/>
    <mergeCell ref="I5:I6"/>
    <mergeCell ref="AC5:AC6"/>
    <mergeCell ref="AD5:AE5"/>
    <mergeCell ref="AF5:AF6"/>
    <mergeCell ref="AG5:AH5"/>
    <mergeCell ref="AI5:AI6"/>
    <mergeCell ref="U5:V5"/>
    <mergeCell ref="W5:W6"/>
    <mergeCell ref="X5:Y5"/>
    <mergeCell ref="AV6:AW6"/>
    <mergeCell ref="AR5:AR6"/>
    <mergeCell ref="AS5:AT5"/>
    <mergeCell ref="AU5:AU6"/>
    <mergeCell ref="AV5:AW5"/>
    <mergeCell ref="J5:K5"/>
    <mergeCell ref="L5:L6"/>
    <mergeCell ref="M5:N5"/>
    <mergeCell ref="O5:O6"/>
    <mergeCell ref="P5:S5"/>
    <mergeCell ref="T5:T6"/>
    <mergeCell ref="AY5:BA5"/>
    <mergeCell ref="D6:E6"/>
    <mergeCell ref="G6:H6"/>
    <mergeCell ref="J6:K6"/>
    <mergeCell ref="M6:N6"/>
    <mergeCell ref="P6:S6"/>
    <mergeCell ref="U6:V6"/>
    <mergeCell ref="X6:Y6"/>
    <mergeCell ref="AA6:AB6"/>
    <mergeCell ref="AD6:AE6"/>
    <mergeCell ref="AY6:BA6"/>
    <mergeCell ref="Z5:Z6"/>
    <mergeCell ref="AA5:AB5"/>
    <mergeCell ref="AX5:AX6"/>
    <mergeCell ref="AJ5:AK5"/>
    <mergeCell ref="AL5:AL6"/>
    <mergeCell ref="AM5:AN5"/>
    <mergeCell ref="AO5:AO6"/>
    <mergeCell ref="AP5:AQ5"/>
    <mergeCell ref="AG6:AH6"/>
    <mergeCell ref="AJ6:AK6"/>
    <mergeCell ref="AM6:AN6"/>
    <mergeCell ref="AP6:AQ6"/>
    <mergeCell ref="AS6:AT6"/>
    <mergeCell ref="AX7:AY9"/>
    <mergeCell ref="AZ7:BA7"/>
    <mergeCell ref="A8:B8"/>
    <mergeCell ref="AZ8:BA8"/>
    <mergeCell ref="A9:B9"/>
    <mergeCell ref="AZ9:BA9"/>
    <mergeCell ref="AC7:AD9"/>
    <mergeCell ref="AF7:AG9"/>
    <mergeCell ref="AI7:AJ9"/>
    <mergeCell ref="AL7:AM9"/>
    <mergeCell ref="A7:B7"/>
    <mergeCell ref="C7:D9"/>
    <mergeCell ref="F7:G9"/>
    <mergeCell ref="I7:J9"/>
    <mergeCell ref="L7:M9"/>
    <mergeCell ref="O7:R9"/>
    <mergeCell ref="T7:U9"/>
    <mergeCell ref="W7:X9"/>
    <mergeCell ref="Z7:AA9"/>
    <mergeCell ref="A10:B10"/>
    <mergeCell ref="C10:E10"/>
    <mergeCell ref="F10:H10"/>
    <mergeCell ref="I10:K10"/>
    <mergeCell ref="L10:N10"/>
    <mergeCell ref="AU7:AV9"/>
    <mergeCell ref="AO7:AP9"/>
    <mergeCell ref="AR7:AS9"/>
    <mergeCell ref="AR10:AT10"/>
    <mergeCell ref="O10:S10"/>
    <mergeCell ref="T10:V10"/>
    <mergeCell ref="W10:Y10"/>
    <mergeCell ref="Z10:AB10"/>
    <mergeCell ref="AC10:AE10"/>
    <mergeCell ref="AU10:AW10"/>
    <mergeCell ref="AX10:BA10"/>
    <mergeCell ref="A11:B11"/>
    <mergeCell ref="C11:E11"/>
    <mergeCell ref="F11:H11"/>
    <mergeCell ref="I11:K11"/>
    <mergeCell ref="L11:N11"/>
    <mergeCell ref="O11:S11"/>
    <mergeCell ref="O12:S12"/>
    <mergeCell ref="T12:V12"/>
    <mergeCell ref="W12:Y12"/>
    <mergeCell ref="Z12:AB12"/>
    <mergeCell ref="AC12:AE12"/>
    <mergeCell ref="AF12:AH12"/>
    <mergeCell ref="AL11:AN11"/>
    <mergeCell ref="AO11:AQ11"/>
    <mergeCell ref="AF10:AH10"/>
    <mergeCell ref="AI10:AK10"/>
    <mergeCell ref="AL10:AN10"/>
    <mergeCell ref="AO10:AQ10"/>
    <mergeCell ref="T11:V11"/>
    <mergeCell ref="W11:Y11"/>
    <mergeCell ref="Z11:AB11"/>
    <mergeCell ref="AC11:AE11"/>
    <mergeCell ref="AX11:BA11"/>
    <mergeCell ref="AX13:BA13"/>
    <mergeCell ref="AO12:AQ12"/>
    <mergeCell ref="AR12:AT12"/>
    <mergeCell ref="AU12:AW12"/>
    <mergeCell ref="AX12:BA12"/>
    <mergeCell ref="AI12:AK12"/>
    <mergeCell ref="AL12:AN12"/>
    <mergeCell ref="A12:B12"/>
    <mergeCell ref="C12:E12"/>
    <mergeCell ref="F12:H12"/>
    <mergeCell ref="I12:K12"/>
    <mergeCell ref="L12:N12"/>
    <mergeCell ref="L13:N13"/>
    <mergeCell ref="O13:S13"/>
    <mergeCell ref="T13:V13"/>
    <mergeCell ref="W13:Y13"/>
    <mergeCell ref="A13:B13"/>
    <mergeCell ref="C13:E13"/>
    <mergeCell ref="F13:H13"/>
    <mergeCell ref="I13:K13"/>
    <mergeCell ref="AF13:AH13"/>
    <mergeCell ref="AI13:AK13"/>
    <mergeCell ref="Z13:AB13"/>
    <mergeCell ref="AC13:AE13"/>
    <mergeCell ref="AO13:AQ13"/>
    <mergeCell ref="AR11:AT11"/>
    <mergeCell ref="AU11:AW11"/>
    <mergeCell ref="AL14:AN14"/>
    <mergeCell ref="AO14:AQ14"/>
    <mergeCell ref="T15:V15"/>
    <mergeCell ref="W15:Y15"/>
    <mergeCell ref="Z15:AB15"/>
    <mergeCell ref="AC15:AE15"/>
    <mergeCell ref="AF15:AH15"/>
    <mergeCell ref="AI15:AK15"/>
    <mergeCell ref="AF11:AH11"/>
    <mergeCell ref="AI11:AK11"/>
    <mergeCell ref="AL13:AN13"/>
    <mergeCell ref="AR13:AT13"/>
    <mergeCell ref="AU13:AW13"/>
    <mergeCell ref="A14:B14"/>
    <mergeCell ref="C14:E14"/>
    <mergeCell ref="F14:H14"/>
    <mergeCell ref="I14:K14"/>
    <mergeCell ref="L14:N14"/>
    <mergeCell ref="AU14:AW14"/>
    <mergeCell ref="AX14:BA14"/>
    <mergeCell ref="A15:B15"/>
    <mergeCell ref="C15:E15"/>
    <mergeCell ref="F15:H15"/>
    <mergeCell ref="I15:K15"/>
    <mergeCell ref="L15:N15"/>
    <mergeCell ref="O15:S15"/>
    <mergeCell ref="AX15:BA15"/>
    <mergeCell ref="AU15:AW15"/>
    <mergeCell ref="Z16:AB16"/>
    <mergeCell ref="AC16:AE16"/>
    <mergeCell ref="AF16:AH16"/>
    <mergeCell ref="AR14:AT14"/>
    <mergeCell ref="O14:S14"/>
    <mergeCell ref="T14:V14"/>
    <mergeCell ref="W14:Y14"/>
    <mergeCell ref="Z14:AB14"/>
    <mergeCell ref="AC14:AE14"/>
    <mergeCell ref="AL15:AN15"/>
    <mergeCell ref="AO15:AQ15"/>
    <mergeCell ref="AF14:AH14"/>
    <mergeCell ref="AI14:AK14"/>
    <mergeCell ref="AR15:AT15"/>
    <mergeCell ref="A16:B16"/>
    <mergeCell ref="C16:E16"/>
    <mergeCell ref="F16:H16"/>
    <mergeCell ref="I16:K16"/>
    <mergeCell ref="L16:N16"/>
    <mergeCell ref="L17:N17"/>
    <mergeCell ref="O17:S17"/>
    <mergeCell ref="T17:V17"/>
    <mergeCell ref="W17:Y17"/>
    <mergeCell ref="A17:B17"/>
    <mergeCell ref="C17:E17"/>
    <mergeCell ref="F17:H17"/>
    <mergeCell ref="I17:K17"/>
    <mergeCell ref="O16:S16"/>
    <mergeCell ref="T16:V16"/>
    <mergeCell ref="W16:Y16"/>
    <mergeCell ref="AU17:AW17"/>
    <mergeCell ref="AX17:BA17"/>
    <mergeCell ref="AO16:AQ16"/>
    <mergeCell ref="AR16:AT16"/>
    <mergeCell ref="AU16:AW16"/>
    <mergeCell ref="AX16:BA16"/>
    <mergeCell ref="AI16:AK16"/>
    <mergeCell ref="AL16:AN16"/>
    <mergeCell ref="AL17:AN17"/>
    <mergeCell ref="AI17:AK17"/>
    <mergeCell ref="A18:B18"/>
    <mergeCell ref="C18:E18"/>
    <mergeCell ref="F18:H18"/>
    <mergeCell ref="I18:K18"/>
    <mergeCell ref="L18:N18"/>
    <mergeCell ref="Z17:AB17"/>
    <mergeCell ref="AC17:AE17"/>
    <mergeCell ref="AO17:AQ17"/>
    <mergeCell ref="AR17:AT17"/>
    <mergeCell ref="AF17:AH17"/>
    <mergeCell ref="Z18:AB18"/>
    <mergeCell ref="AC18:AE18"/>
    <mergeCell ref="AL19:AN19"/>
    <mergeCell ref="AO19:AQ19"/>
    <mergeCell ref="AF18:AH18"/>
    <mergeCell ref="AI18:AK18"/>
    <mergeCell ref="AL18:AN18"/>
    <mergeCell ref="AO18:AQ18"/>
    <mergeCell ref="T19:V19"/>
    <mergeCell ref="W19:Y19"/>
    <mergeCell ref="Z19:AB19"/>
    <mergeCell ref="AC19:AE19"/>
    <mergeCell ref="AF19:AH19"/>
    <mergeCell ref="AI19:AK19"/>
    <mergeCell ref="AU20:AW20"/>
    <mergeCell ref="AX20:BA20"/>
    <mergeCell ref="AI20:AK20"/>
    <mergeCell ref="AL20:AN20"/>
    <mergeCell ref="AL21:AN21"/>
    <mergeCell ref="A21:B21"/>
    <mergeCell ref="AU18:AW18"/>
    <mergeCell ref="AX18:BA18"/>
    <mergeCell ref="A19:B19"/>
    <mergeCell ref="C19:E19"/>
    <mergeCell ref="F19:H19"/>
    <mergeCell ref="I19:K19"/>
    <mergeCell ref="L19:N19"/>
    <mergeCell ref="O19:S19"/>
    <mergeCell ref="O20:S20"/>
    <mergeCell ref="T20:V20"/>
    <mergeCell ref="W20:Y20"/>
    <mergeCell ref="Z20:AB20"/>
    <mergeCell ref="AC20:AE20"/>
    <mergeCell ref="AF20:AH20"/>
    <mergeCell ref="AR18:AT18"/>
    <mergeCell ref="O18:S18"/>
    <mergeCell ref="T18:V18"/>
    <mergeCell ref="W18:Y18"/>
    <mergeCell ref="AI21:AK21"/>
    <mergeCell ref="AR19:AT19"/>
    <mergeCell ref="AU19:AW19"/>
    <mergeCell ref="AL22:AN22"/>
    <mergeCell ref="AO22:AQ22"/>
    <mergeCell ref="AU22:AW22"/>
    <mergeCell ref="AX19:BA19"/>
    <mergeCell ref="A20:B20"/>
    <mergeCell ref="C20:E20"/>
    <mergeCell ref="F20:H20"/>
    <mergeCell ref="I20:K20"/>
    <mergeCell ref="L20:N20"/>
    <mergeCell ref="L21:N21"/>
    <mergeCell ref="O21:S21"/>
    <mergeCell ref="T21:V21"/>
    <mergeCell ref="W21:Y21"/>
    <mergeCell ref="Z21:AB21"/>
    <mergeCell ref="AC21:AE21"/>
    <mergeCell ref="AO21:AQ21"/>
    <mergeCell ref="AR21:AT21"/>
    <mergeCell ref="AU21:AW21"/>
    <mergeCell ref="AX21:BA21"/>
    <mergeCell ref="AO20:AQ20"/>
    <mergeCell ref="AR20:AT20"/>
    <mergeCell ref="A22:B22"/>
    <mergeCell ref="C22:E22"/>
    <mergeCell ref="F22:H22"/>
    <mergeCell ref="I22:K22"/>
    <mergeCell ref="L22:N22"/>
    <mergeCell ref="C21:E21"/>
    <mergeCell ref="F21:H21"/>
    <mergeCell ref="I21:K21"/>
    <mergeCell ref="AF21:AH21"/>
    <mergeCell ref="AX22:BA22"/>
    <mergeCell ref="A23:B23"/>
    <mergeCell ref="C23:E23"/>
    <mergeCell ref="F23:H23"/>
    <mergeCell ref="I23:K23"/>
    <mergeCell ref="L23:N23"/>
    <mergeCell ref="O23:S23"/>
    <mergeCell ref="O24:S24"/>
    <mergeCell ref="T24:V24"/>
    <mergeCell ref="W24:Y24"/>
    <mergeCell ref="Z24:AB24"/>
    <mergeCell ref="AC24:AE24"/>
    <mergeCell ref="AF24:AH24"/>
    <mergeCell ref="AR22:AT22"/>
    <mergeCell ref="O22:S22"/>
    <mergeCell ref="T22:V22"/>
    <mergeCell ref="W22:Y22"/>
    <mergeCell ref="Z22:AB22"/>
    <mergeCell ref="AC22:AE22"/>
    <mergeCell ref="AL23:AN23"/>
    <mergeCell ref="AO23:AQ23"/>
    <mergeCell ref="AF22:AH22"/>
    <mergeCell ref="AI22:AK22"/>
    <mergeCell ref="AX23:BA23"/>
    <mergeCell ref="A24:B24"/>
    <mergeCell ref="C24:E24"/>
    <mergeCell ref="F24:H24"/>
    <mergeCell ref="I24:K24"/>
    <mergeCell ref="L24:N24"/>
    <mergeCell ref="L25:N25"/>
    <mergeCell ref="O25:S25"/>
    <mergeCell ref="T25:V25"/>
    <mergeCell ref="W25:Y25"/>
    <mergeCell ref="A25:B25"/>
    <mergeCell ref="C25:E25"/>
    <mergeCell ref="F25:H25"/>
    <mergeCell ref="I25:K25"/>
    <mergeCell ref="AX25:BA25"/>
    <mergeCell ref="AO24:AQ24"/>
    <mergeCell ref="AR24:AT24"/>
    <mergeCell ref="AU24:AW24"/>
    <mergeCell ref="AX24:BA24"/>
    <mergeCell ref="AI24:AK24"/>
    <mergeCell ref="AL24:AN24"/>
    <mergeCell ref="AL25:AN25"/>
    <mergeCell ref="AF25:AH25"/>
    <mergeCell ref="AI25:AK25"/>
    <mergeCell ref="AR23:AT23"/>
    <mergeCell ref="AU23:AW23"/>
    <mergeCell ref="AL26:AN26"/>
    <mergeCell ref="AO26:AQ26"/>
    <mergeCell ref="T27:V27"/>
    <mergeCell ref="W27:Y27"/>
    <mergeCell ref="Z27:AB27"/>
    <mergeCell ref="AC27:AE27"/>
    <mergeCell ref="AF27:AH27"/>
    <mergeCell ref="AI27:AK27"/>
    <mergeCell ref="Z25:AB25"/>
    <mergeCell ref="AC25:AE25"/>
    <mergeCell ref="AO25:AQ25"/>
    <mergeCell ref="AR25:AT25"/>
    <mergeCell ref="AU25:AW25"/>
    <mergeCell ref="T23:V23"/>
    <mergeCell ref="W23:Y23"/>
    <mergeCell ref="Z23:AB23"/>
    <mergeCell ref="AC23:AE23"/>
    <mergeCell ref="AF23:AH23"/>
    <mergeCell ref="AI23:AK23"/>
    <mergeCell ref="A26:B26"/>
    <mergeCell ref="C26:E26"/>
    <mergeCell ref="F26:H26"/>
    <mergeCell ref="I26:K26"/>
    <mergeCell ref="L26:N26"/>
    <mergeCell ref="AU26:AW26"/>
    <mergeCell ref="AX26:BA26"/>
    <mergeCell ref="A27:B27"/>
    <mergeCell ref="C27:E27"/>
    <mergeCell ref="F27:H27"/>
    <mergeCell ref="I27:K27"/>
    <mergeCell ref="L27:N27"/>
    <mergeCell ref="O27:S27"/>
    <mergeCell ref="AX27:BA27"/>
    <mergeCell ref="AU27:AW27"/>
    <mergeCell ref="Z28:AB28"/>
    <mergeCell ref="AC28:AE28"/>
    <mergeCell ref="AF28:AH28"/>
    <mergeCell ref="AR26:AT26"/>
    <mergeCell ref="O26:S26"/>
    <mergeCell ref="T26:V26"/>
    <mergeCell ref="W26:Y26"/>
    <mergeCell ref="Z26:AB26"/>
    <mergeCell ref="AC26:AE26"/>
    <mergeCell ref="AL27:AN27"/>
    <mergeCell ref="AO27:AQ27"/>
    <mergeCell ref="AF26:AH26"/>
    <mergeCell ref="AI26:AK26"/>
    <mergeCell ref="AR27:AT27"/>
    <mergeCell ref="A28:B28"/>
    <mergeCell ref="C28:E28"/>
    <mergeCell ref="F28:H28"/>
    <mergeCell ref="I28:K28"/>
    <mergeCell ref="L28:N28"/>
    <mergeCell ref="L29:N29"/>
    <mergeCell ref="O29:S29"/>
    <mergeCell ref="T29:V29"/>
    <mergeCell ref="W29:Y29"/>
    <mergeCell ref="A29:B29"/>
    <mergeCell ref="C29:E29"/>
    <mergeCell ref="F29:H29"/>
    <mergeCell ref="I29:K29"/>
    <mergeCell ref="O28:S28"/>
    <mergeCell ref="T28:V28"/>
    <mergeCell ref="W28:Y28"/>
    <mergeCell ref="AU29:AW29"/>
    <mergeCell ref="AX29:BA29"/>
    <mergeCell ref="AO28:AQ28"/>
    <mergeCell ref="AR28:AT28"/>
    <mergeCell ref="AU28:AW28"/>
    <mergeCell ref="AX28:BA28"/>
    <mergeCell ref="AI28:AK28"/>
    <mergeCell ref="AL28:AN28"/>
    <mergeCell ref="AL29:AN29"/>
    <mergeCell ref="AI29:AK29"/>
    <mergeCell ref="A30:B30"/>
    <mergeCell ref="C30:E30"/>
    <mergeCell ref="F30:H30"/>
    <mergeCell ref="I30:K30"/>
    <mergeCell ref="L30:N30"/>
    <mergeCell ref="Z29:AB29"/>
    <mergeCell ref="AC29:AE29"/>
    <mergeCell ref="AO29:AQ29"/>
    <mergeCell ref="AR29:AT29"/>
    <mergeCell ref="AF29:AH29"/>
    <mergeCell ref="Z30:AB30"/>
    <mergeCell ref="AC30:AE30"/>
    <mergeCell ref="AL31:AN31"/>
    <mergeCell ref="AO31:AQ31"/>
    <mergeCell ref="AF30:AH30"/>
    <mergeCell ref="AI30:AK30"/>
    <mergeCell ref="AL30:AN30"/>
    <mergeCell ref="AO30:AQ30"/>
    <mergeCell ref="T31:V31"/>
    <mergeCell ref="W31:Y31"/>
    <mergeCell ref="Z31:AB31"/>
    <mergeCell ref="AC31:AE31"/>
    <mergeCell ref="AF31:AH31"/>
    <mergeCell ref="AI31:AK31"/>
    <mergeCell ref="AU32:AW32"/>
    <mergeCell ref="AX32:BA32"/>
    <mergeCell ref="AI32:AK32"/>
    <mergeCell ref="AL32:AN32"/>
    <mergeCell ref="AL33:AN33"/>
    <mergeCell ref="A33:B33"/>
    <mergeCell ref="AU30:AW30"/>
    <mergeCell ref="AX30:BA30"/>
    <mergeCell ref="A31:B31"/>
    <mergeCell ref="C31:E31"/>
    <mergeCell ref="F31:H31"/>
    <mergeCell ref="I31:K31"/>
    <mergeCell ref="L31:N31"/>
    <mergeCell ref="O31:S31"/>
    <mergeCell ref="O32:S32"/>
    <mergeCell ref="T32:V32"/>
    <mergeCell ref="W32:Y32"/>
    <mergeCell ref="Z32:AB32"/>
    <mergeCell ref="AC32:AE32"/>
    <mergeCell ref="AF32:AH32"/>
    <mergeCell ref="AR30:AT30"/>
    <mergeCell ref="O30:S30"/>
    <mergeCell ref="T30:V30"/>
    <mergeCell ref="W30:Y30"/>
    <mergeCell ref="AI33:AK33"/>
    <mergeCell ref="AR31:AT31"/>
    <mergeCell ref="AU31:AW31"/>
    <mergeCell ref="AL34:AN34"/>
    <mergeCell ref="AO34:AQ34"/>
    <mergeCell ref="AU34:AW34"/>
    <mergeCell ref="AX31:BA31"/>
    <mergeCell ref="A32:B32"/>
    <mergeCell ref="C32:E32"/>
    <mergeCell ref="F32:H32"/>
    <mergeCell ref="I32:K32"/>
    <mergeCell ref="L32:N32"/>
    <mergeCell ref="L33:N33"/>
    <mergeCell ref="O33:S33"/>
    <mergeCell ref="T33:V33"/>
    <mergeCell ref="W33:Y33"/>
    <mergeCell ref="Z33:AB33"/>
    <mergeCell ref="AC33:AE33"/>
    <mergeCell ref="AO33:AQ33"/>
    <mergeCell ref="AR33:AT33"/>
    <mergeCell ref="AU33:AW33"/>
    <mergeCell ref="AX33:BA33"/>
    <mergeCell ref="AO32:AQ32"/>
    <mergeCell ref="AR32:AT32"/>
    <mergeCell ref="A34:B34"/>
    <mergeCell ref="C34:E34"/>
    <mergeCell ref="F34:H34"/>
    <mergeCell ref="I34:K34"/>
    <mergeCell ref="L34:N34"/>
    <mergeCell ref="C33:E33"/>
    <mergeCell ref="F33:H33"/>
    <mergeCell ref="I33:K33"/>
    <mergeCell ref="AF33:AH33"/>
    <mergeCell ref="AX34:BA34"/>
    <mergeCell ref="A35:B35"/>
    <mergeCell ref="C35:E35"/>
    <mergeCell ref="F35:H35"/>
    <mergeCell ref="I35:K35"/>
    <mergeCell ref="L35:N35"/>
    <mergeCell ref="O35:S35"/>
    <mergeCell ref="O36:S36"/>
    <mergeCell ref="T36:V36"/>
    <mergeCell ref="W36:Y36"/>
    <mergeCell ref="Z36:AB36"/>
    <mergeCell ref="AC36:AE36"/>
    <mergeCell ref="AF36:AH36"/>
    <mergeCell ref="AR34:AT34"/>
    <mergeCell ref="O34:S34"/>
    <mergeCell ref="T34:V34"/>
    <mergeCell ref="W34:Y34"/>
    <mergeCell ref="Z34:AB34"/>
    <mergeCell ref="AC34:AE34"/>
    <mergeCell ref="AL35:AN35"/>
    <mergeCell ref="AO35:AQ35"/>
    <mergeCell ref="AF34:AH34"/>
    <mergeCell ref="AI34:AK34"/>
    <mergeCell ref="AX35:BA35"/>
    <mergeCell ref="A36:B36"/>
    <mergeCell ref="C36:E36"/>
    <mergeCell ref="F36:H36"/>
    <mergeCell ref="I36:K36"/>
    <mergeCell ref="L36:N36"/>
    <mergeCell ref="L37:N37"/>
    <mergeCell ref="O37:S37"/>
    <mergeCell ref="T37:V37"/>
    <mergeCell ref="W37:Y37"/>
    <mergeCell ref="A37:B37"/>
    <mergeCell ref="C37:E37"/>
    <mergeCell ref="F37:H37"/>
    <mergeCell ref="I37:K37"/>
    <mergeCell ref="AX37:BA37"/>
    <mergeCell ref="AO36:AQ36"/>
    <mergeCell ref="AR36:AT36"/>
    <mergeCell ref="AU36:AW36"/>
    <mergeCell ref="AX36:BA36"/>
    <mergeCell ref="AI36:AK36"/>
    <mergeCell ref="AL36:AN36"/>
    <mergeCell ref="AL37:AN37"/>
    <mergeCell ref="AF37:AH37"/>
    <mergeCell ref="AI37:AK37"/>
    <mergeCell ref="AR35:AT35"/>
    <mergeCell ref="AU35:AW35"/>
    <mergeCell ref="AL38:AN38"/>
    <mergeCell ref="AO38:AQ38"/>
    <mergeCell ref="T39:V39"/>
    <mergeCell ref="W39:Y39"/>
    <mergeCell ref="Z39:AB39"/>
    <mergeCell ref="AC39:AE39"/>
    <mergeCell ref="AF39:AH39"/>
    <mergeCell ref="AI39:AK39"/>
    <mergeCell ref="Z37:AB37"/>
    <mergeCell ref="AC37:AE37"/>
    <mergeCell ref="AO37:AQ37"/>
    <mergeCell ref="AR37:AT37"/>
    <mergeCell ref="AU37:AW37"/>
    <mergeCell ref="T35:V35"/>
    <mergeCell ref="W35:Y35"/>
    <mergeCell ref="Z35:AB35"/>
    <mergeCell ref="AC35:AE35"/>
    <mergeCell ref="AF35:AH35"/>
    <mergeCell ref="AI35:AK35"/>
    <mergeCell ref="A38:B38"/>
    <mergeCell ref="C38:E38"/>
    <mergeCell ref="F38:H38"/>
    <mergeCell ref="I38:K38"/>
    <mergeCell ref="L38:N38"/>
    <mergeCell ref="AU38:AW38"/>
    <mergeCell ref="AX38:BA38"/>
    <mergeCell ref="A39:B39"/>
    <mergeCell ref="C39:E39"/>
    <mergeCell ref="F39:H39"/>
    <mergeCell ref="I39:K39"/>
    <mergeCell ref="L39:N39"/>
    <mergeCell ref="O39:S39"/>
    <mergeCell ref="AU39:AW39"/>
    <mergeCell ref="AX39:BA39"/>
    <mergeCell ref="Z40:AB40"/>
    <mergeCell ref="AC40:AE40"/>
    <mergeCell ref="AF40:AH40"/>
    <mergeCell ref="AR38:AT38"/>
    <mergeCell ref="O38:S38"/>
    <mergeCell ref="T38:V38"/>
    <mergeCell ref="W38:Y38"/>
    <mergeCell ref="Z38:AB38"/>
    <mergeCell ref="AC38:AE38"/>
    <mergeCell ref="AL39:AN39"/>
    <mergeCell ref="AO39:AQ39"/>
    <mergeCell ref="AF38:AH38"/>
    <mergeCell ref="AI38:AK38"/>
    <mergeCell ref="AR39:AT39"/>
    <mergeCell ref="A40:B40"/>
    <mergeCell ref="C40:E40"/>
    <mergeCell ref="F40:H40"/>
    <mergeCell ref="I40:K40"/>
    <mergeCell ref="L40:N40"/>
    <mergeCell ref="L41:N41"/>
    <mergeCell ref="O41:S41"/>
    <mergeCell ref="T41:V41"/>
    <mergeCell ref="W41:Y41"/>
    <mergeCell ref="O40:S40"/>
    <mergeCell ref="T40:V40"/>
    <mergeCell ref="W40:Y40"/>
    <mergeCell ref="AO41:AQ41"/>
    <mergeCell ref="AR41:AT41"/>
    <mergeCell ref="AU41:AW41"/>
    <mergeCell ref="AX41:BA41"/>
    <mergeCell ref="AO40:AQ40"/>
    <mergeCell ref="AR40:AT40"/>
    <mergeCell ref="AU40:AW40"/>
    <mergeCell ref="AX40:BA40"/>
    <mergeCell ref="AI40:AK40"/>
    <mergeCell ref="AL40:AN40"/>
    <mergeCell ref="A42:B42"/>
    <mergeCell ref="C42:E42"/>
    <mergeCell ref="F42:H42"/>
    <mergeCell ref="I42:K42"/>
    <mergeCell ref="L42:N42"/>
    <mergeCell ref="AL41:AN41"/>
    <mergeCell ref="A41:B41"/>
    <mergeCell ref="C41:E41"/>
    <mergeCell ref="F41:H41"/>
    <mergeCell ref="I41:K41"/>
    <mergeCell ref="AF42:AH42"/>
    <mergeCell ref="AI42:AK42"/>
    <mergeCell ref="AL42:AN42"/>
    <mergeCell ref="AF41:AH41"/>
    <mergeCell ref="AI41:AK41"/>
    <mergeCell ref="O42:S42"/>
    <mergeCell ref="T42:V42"/>
    <mergeCell ref="W42:Y42"/>
    <mergeCell ref="Z42:AB42"/>
    <mergeCell ref="AC42:AE42"/>
    <mergeCell ref="Z41:AB41"/>
    <mergeCell ref="AC41:AE41"/>
    <mergeCell ref="AC43:AE43"/>
    <mergeCell ref="AF43:AH43"/>
    <mergeCell ref="Z44:AB44"/>
    <mergeCell ref="AC44:AE44"/>
    <mergeCell ref="AF44:AH44"/>
    <mergeCell ref="AI44:AK44"/>
    <mergeCell ref="A44:B44"/>
    <mergeCell ref="C44:E44"/>
    <mergeCell ref="F44:H44"/>
    <mergeCell ref="I44:K44"/>
    <mergeCell ref="L44:N44"/>
    <mergeCell ref="O44:S44"/>
    <mergeCell ref="A43:B43"/>
    <mergeCell ref="C43:E43"/>
    <mergeCell ref="F43:H43"/>
    <mergeCell ref="I43:K43"/>
    <mergeCell ref="L43:N43"/>
    <mergeCell ref="O43:S43"/>
    <mergeCell ref="T43:V43"/>
    <mergeCell ref="T44:V44"/>
    <mergeCell ref="W44:Y44"/>
    <mergeCell ref="AI43:AK43"/>
    <mergeCell ref="W43:Y43"/>
    <mergeCell ref="Z43:AB43"/>
    <mergeCell ref="AU44:AW44"/>
    <mergeCell ref="AX44:BA44"/>
    <mergeCell ref="AR43:AT43"/>
    <mergeCell ref="AU43:AW43"/>
    <mergeCell ref="AX43:BA43"/>
    <mergeCell ref="AO43:AQ43"/>
    <mergeCell ref="AL44:AN44"/>
    <mergeCell ref="AU42:AW42"/>
    <mergeCell ref="AX42:BA42"/>
    <mergeCell ref="AO44:AQ44"/>
    <mergeCell ref="AR44:AT44"/>
    <mergeCell ref="AO42:AQ42"/>
    <mergeCell ref="AR42:AT42"/>
    <mergeCell ref="AL43:AN4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573B-DC6D-42BD-96E9-E06740196E6C}">
  <dimension ref="A1:BA71"/>
  <sheetViews>
    <sheetView showGridLines="0" tabSelected="1" topLeftCell="A33" zoomScale="130" zoomScaleNormal="130" workbookViewId="0">
      <selection activeCell="C41" sqref="C41:E41"/>
    </sheetView>
  </sheetViews>
  <sheetFormatPr defaultRowHeight="15" x14ac:dyDescent="0.25"/>
  <cols>
    <col min="1" max="1" width="0.5703125" style="7" customWidth="1"/>
    <col min="2" max="2" width="43.85546875" style="7" customWidth="1"/>
    <col min="3" max="3" width="2.42578125" style="7" customWidth="1"/>
    <col min="4" max="4" width="2" style="7" customWidth="1"/>
    <col min="5" max="5" width="9" style="7" customWidth="1"/>
    <col min="6" max="6" width="2.42578125" style="7" customWidth="1"/>
    <col min="7" max="7" width="2" style="7" customWidth="1"/>
    <col min="8" max="8" width="9" style="7" customWidth="1"/>
    <col min="9" max="9" width="2.42578125" style="7" customWidth="1"/>
    <col min="10" max="10" width="2" style="7" customWidth="1"/>
    <col min="11" max="11" width="9" style="7" customWidth="1"/>
    <col min="12" max="12" width="2.42578125" style="7" customWidth="1"/>
    <col min="13" max="13" width="2" style="7" customWidth="1"/>
    <col min="14" max="14" width="9" style="7" customWidth="1"/>
    <col min="15" max="15" width="2.42578125" style="7" customWidth="1"/>
    <col min="16" max="16" width="1.140625" style="7" customWidth="1"/>
    <col min="17" max="17" width="0.5703125" style="7" customWidth="1"/>
    <col min="18" max="18" width="0.140625" style="7" customWidth="1"/>
    <col min="19" max="19" width="9" style="7" customWidth="1"/>
    <col min="20" max="20" width="2.42578125" style="7" customWidth="1"/>
    <col min="21" max="21" width="2" style="7" customWidth="1"/>
    <col min="22" max="22" width="9" style="7" customWidth="1"/>
    <col min="23" max="23" width="2.42578125" style="7" customWidth="1"/>
    <col min="24" max="24" width="2" style="7" customWidth="1"/>
    <col min="25" max="25" width="9" style="7" customWidth="1"/>
    <col min="26" max="26" width="2.42578125" style="7" customWidth="1"/>
    <col min="27" max="27" width="2" style="7" customWidth="1"/>
    <col min="28" max="28" width="9" style="7" customWidth="1"/>
    <col min="29" max="29" width="2.42578125" style="7" customWidth="1"/>
    <col min="30" max="30" width="2" style="7" customWidth="1"/>
    <col min="31" max="31" width="9" style="7" customWidth="1"/>
    <col min="32" max="32" width="2.42578125" style="7" customWidth="1"/>
    <col min="33" max="33" width="2" style="7" customWidth="1"/>
    <col min="34" max="34" width="9" style="7" customWidth="1"/>
    <col min="35" max="35" width="2.42578125" style="7" customWidth="1"/>
    <col min="36" max="36" width="2" style="7" customWidth="1"/>
    <col min="37" max="37" width="9" style="7" customWidth="1"/>
    <col min="38" max="38" width="2.42578125" style="7" customWidth="1"/>
    <col min="39" max="39" width="2" style="7" customWidth="1"/>
    <col min="40" max="40" width="9" style="7" customWidth="1"/>
    <col min="41" max="41" width="2.42578125" style="7" customWidth="1"/>
    <col min="42" max="42" width="2" style="7" customWidth="1"/>
    <col min="43" max="43" width="9" style="7" customWidth="1"/>
    <col min="44" max="44" width="2.42578125" style="7" customWidth="1"/>
    <col min="45" max="45" width="2" style="7" customWidth="1"/>
    <col min="46" max="46" width="9" style="7" customWidth="1"/>
    <col min="47" max="47" width="2.42578125" style="7" customWidth="1"/>
    <col min="48" max="48" width="2" style="7" customWidth="1"/>
    <col min="49" max="49" width="9" style="7" customWidth="1"/>
    <col min="50" max="50" width="2.42578125" style="7" customWidth="1"/>
    <col min="51" max="51" width="2" style="7" customWidth="1"/>
    <col min="52" max="52" width="6.5703125" style="7" customWidth="1"/>
    <col min="53" max="53" width="2.42578125" style="7" customWidth="1"/>
    <col min="54" max="16384" width="9.140625" style="6"/>
  </cols>
  <sheetData>
    <row r="1" spans="1:53" ht="20.45" customHeight="1" x14ac:dyDescent="0.25">
      <c r="A1" s="19"/>
      <c r="B1" s="174" t="s">
        <v>0</v>
      </c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</row>
    <row r="2" spans="1:53" ht="13.15" customHeight="1" x14ac:dyDescent="0.25">
      <c r="A2" s="175"/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</row>
    <row r="3" spans="1:53" ht="19.149999999999999" customHeight="1" x14ac:dyDescent="0.25">
      <c r="A3" s="176" t="s">
        <v>315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2"/>
      <c r="AF3" s="172"/>
      <c r="AG3" s="172"/>
      <c r="AH3" s="172"/>
      <c r="AI3" s="172"/>
      <c r="AJ3" s="172"/>
      <c r="AK3" s="172"/>
      <c r="AL3" s="172"/>
      <c r="AM3" s="172"/>
      <c r="AN3" s="172"/>
      <c r="AO3" s="172"/>
      <c r="AP3" s="172"/>
      <c r="AQ3" s="172"/>
      <c r="AR3" s="172"/>
      <c r="AS3" s="172"/>
      <c r="AT3" s="172"/>
      <c r="AU3" s="172"/>
      <c r="AV3" s="172"/>
      <c r="AW3" s="172"/>
      <c r="AX3" s="172"/>
      <c r="AY3" s="172"/>
      <c r="AZ3" s="172"/>
    </row>
    <row r="4" spans="1:53" ht="13.15" customHeight="1" x14ac:dyDescent="0.25">
      <c r="A4" s="175"/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</row>
    <row r="5" spans="1:53" ht="14.45" customHeight="1" x14ac:dyDescent="0.25">
      <c r="A5" s="173" t="s">
        <v>2</v>
      </c>
      <c r="B5" s="165"/>
      <c r="C5" s="167"/>
      <c r="D5" s="168" t="s">
        <v>3</v>
      </c>
      <c r="E5" s="165"/>
      <c r="F5" s="167"/>
      <c r="G5" s="168" t="s">
        <v>4</v>
      </c>
      <c r="H5" s="165"/>
      <c r="I5" s="167"/>
      <c r="J5" s="168" t="s">
        <v>5</v>
      </c>
      <c r="K5" s="165"/>
      <c r="L5" s="167"/>
      <c r="M5" s="168" t="s">
        <v>6</v>
      </c>
      <c r="N5" s="165"/>
      <c r="O5" s="167"/>
      <c r="P5" s="168" t="s">
        <v>7</v>
      </c>
      <c r="Q5" s="165"/>
      <c r="R5" s="165"/>
      <c r="S5" s="165"/>
      <c r="T5" s="167"/>
      <c r="U5" s="168" t="s">
        <v>8</v>
      </c>
      <c r="V5" s="165"/>
      <c r="W5" s="167"/>
      <c r="X5" s="168" t="s">
        <v>9</v>
      </c>
      <c r="Y5" s="165"/>
      <c r="Z5" s="167"/>
      <c r="AA5" s="168" t="s">
        <v>10</v>
      </c>
      <c r="AB5" s="165"/>
      <c r="AC5" s="167"/>
      <c r="AD5" s="168" t="s">
        <v>11</v>
      </c>
      <c r="AE5" s="165"/>
      <c r="AF5" s="167"/>
      <c r="AG5" s="168" t="s">
        <v>12</v>
      </c>
      <c r="AH5" s="165"/>
      <c r="AI5" s="167"/>
      <c r="AJ5" s="168" t="s">
        <v>13</v>
      </c>
      <c r="AK5" s="165"/>
      <c r="AL5" s="167"/>
      <c r="AM5" s="168" t="s">
        <v>14</v>
      </c>
      <c r="AN5" s="165"/>
      <c r="AO5" s="167"/>
      <c r="AP5" s="168" t="s">
        <v>15</v>
      </c>
      <c r="AQ5" s="165"/>
      <c r="AR5" s="167"/>
      <c r="AS5" s="168" t="s">
        <v>16</v>
      </c>
      <c r="AT5" s="165"/>
      <c r="AU5" s="167"/>
      <c r="AV5" s="168" t="s">
        <v>17</v>
      </c>
      <c r="AW5" s="165"/>
      <c r="AX5" s="167"/>
      <c r="AY5" s="168" t="s">
        <v>18</v>
      </c>
      <c r="AZ5" s="165"/>
      <c r="BA5" s="165"/>
    </row>
    <row r="6" spans="1:53" ht="14.45" customHeight="1" x14ac:dyDescent="0.25">
      <c r="A6" s="156"/>
      <c r="B6" s="156"/>
      <c r="C6" s="156"/>
      <c r="D6" s="169" t="s">
        <v>19</v>
      </c>
      <c r="E6" s="156"/>
      <c r="F6" s="156"/>
      <c r="G6" s="169" t="s">
        <v>19</v>
      </c>
      <c r="H6" s="156"/>
      <c r="I6" s="156"/>
      <c r="J6" s="169" t="s">
        <v>19</v>
      </c>
      <c r="K6" s="156"/>
      <c r="L6" s="156"/>
      <c r="M6" s="169" t="s">
        <v>19</v>
      </c>
      <c r="N6" s="156"/>
      <c r="O6" s="156"/>
      <c r="P6" s="169" t="s">
        <v>19</v>
      </c>
      <c r="Q6" s="156"/>
      <c r="R6" s="156"/>
      <c r="S6" s="156"/>
      <c r="T6" s="156"/>
      <c r="U6" s="169" t="s">
        <v>19</v>
      </c>
      <c r="V6" s="156"/>
      <c r="W6" s="156"/>
      <c r="X6" s="169" t="s">
        <v>19</v>
      </c>
      <c r="Y6" s="156"/>
      <c r="Z6" s="156"/>
      <c r="AA6" s="169" t="s">
        <v>19</v>
      </c>
      <c r="AB6" s="156"/>
      <c r="AC6" s="156"/>
      <c r="AD6" s="169" t="s">
        <v>19</v>
      </c>
      <c r="AE6" s="156"/>
      <c r="AF6" s="156"/>
      <c r="AG6" s="169" t="s">
        <v>19</v>
      </c>
      <c r="AH6" s="156"/>
      <c r="AI6" s="156"/>
      <c r="AJ6" s="169" t="s">
        <v>19</v>
      </c>
      <c r="AK6" s="156"/>
      <c r="AL6" s="156"/>
      <c r="AM6" s="169" t="s">
        <v>19</v>
      </c>
      <c r="AN6" s="156"/>
      <c r="AO6" s="156"/>
      <c r="AP6" s="169" t="s">
        <v>19</v>
      </c>
      <c r="AQ6" s="156"/>
      <c r="AR6" s="156"/>
      <c r="AS6" s="169" t="s">
        <v>19</v>
      </c>
      <c r="AT6" s="156"/>
      <c r="AU6" s="156"/>
      <c r="AV6" s="169" t="s">
        <v>19</v>
      </c>
      <c r="AW6" s="156"/>
      <c r="AX6" s="156"/>
      <c r="AY6" s="169" t="s">
        <v>19</v>
      </c>
      <c r="AZ6" s="156"/>
      <c r="BA6" s="156"/>
    </row>
    <row r="7" spans="1:53" ht="14.45" customHeight="1" x14ac:dyDescent="0.25">
      <c r="A7" s="165"/>
      <c r="B7" s="165"/>
      <c r="C7" s="165"/>
      <c r="D7" s="165"/>
      <c r="E7" s="9" t="s">
        <v>20</v>
      </c>
      <c r="F7" s="165"/>
      <c r="G7" s="165"/>
      <c r="H7" s="9" t="s">
        <v>20</v>
      </c>
      <c r="I7" s="165"/>
      <c r="J7" s="165"/>
      <c r="K7" s="9" t="s">
        <v>20</v>
      </c>
      <c r="L7" s="165"/>
      <c r="M7" s="165"/>
      <c r="N7" s="9" t="s">
        <v>20</v>
      </c>
      <c r="O7" s="165"/>
      <c r="P7" s="165"/>
      <c r="Q7" s="165"/>
      <c r="R7" s="165"/>
      <c r="S7" s="9" t="s">
        <v>20</v>
      </c>
      <c r="T7" s="165"/>
      <c r="U7" s="165"/>
      <c r="V7" s="9" t="s">
        <v>20</v>
      </c>
      <c r="W7" s="165"/>
      <c r="X7" s="165"/>
      <c r="Y7" s="9" t="s">
        <v>20</v>
      </c>
      <c r="Z7" s="165"/>
      <c r="AA7" s="165"/>
      <c r="AB7" s="9" t="s">
        <v>20</v>
      </c>
      <c r="AC7" s="165"/>
      <c r="AD7" s="165"/>
      <c r="AE7" s="9" t="s">
        <v>20</v>
      </c>
      <c r="AF7" s="165"/>
      <c r="AG7" s="165"/>
      <c r="AH7" s="9" t="s">
        <v>20</v>
      </c>
      <c r="AI7" s="165"/>
      <c r="AJ7" s="165"/>
      <c r="AK7" s="9" t="s">
        <v>20</v>
      </c>
      <c r="AL7" s="165"/>
      <c r="AM7" s="165"/>
      <c r="AN7" s="9" t="s">
        <v>20</v>
      </c>
      <c r="AO7" s="165"/>
      <c r="AP7" s="165"/>
      <c r="AQ7" s="9" t="s">
        <v>20</v>
      </c>
      <c r="AR7" s="165"/>
      <c r="AS7" s="165"/>
      <c r="AT7" s="9" t="s">
        <v>20</v>
      </c>
      <c r="AU7" s="165"/>
      <c r="AV7" s="165"/>
      <c r="AW7" s="9" t="s">
        <v>20</v>
      </c>
      <c r="AX7" s="165"/>
      <c r="AY7" s="165"/>
      <c r="AZ7" s="166" t="s">
        <v>20</v>
      </c>
      <c r="BA7" s="165"/>
    </row>
    <row r="8" spans="1:53" ht="14.45" customHeight="1" x14ac:dyDescent="0.25">
      <c r="A8" s="165"/>
      <c r="B8" s="165"/>
      <c r="C8" s="165"/>
      <c r="D8" s="165"/>
      <c r="E8" s="9" t="s">
        <v>21</v>
      </c>
      <c r="F8" s="165"/>
      <c r="G8" s="165"/>
      <c r="I8" s="165"/>
      <c r="J8" s="165"/>
      <c r="K8" s="9" t="s">
        <v>21</v>
      </c>
      <c r="L8" s="165"/>
      <c r="M8" s="165"/>
      <c r="N8" s="9" t="s">
        <v>21</v>
      </c>
      <c r="O8" s="165"/>
      <c r="P8" s="165"/>
      <c r="Q8" s="165"/>
      <c r="R8" s="165"/>
      <c r="S8" s="9" t="s">
        <v>21</v>
      </c>
      <c r="T8" s="165"/>
      <c r="U8" s="165"/>
      <c r="V8" s="9" t="s">
        <v>21</v>
      </c>
      <c r="W8" s="165"/>
      <c r="X8" s="165"/>
      <c r="Z8" s="165"/>
      <c r="AA8" s="165"/>
      <c r="AC8" s="165"/>
      <c r="AD8" s="165"/>
      <c r="AF8" s="165"/>
      <c r="AG8" s="165"/>
      <c r="AI8" s="165"/>
      <c r="AJ8" s="165"/>
      <c r="AL8" s="165"/>
      <c r="AM8" s="165"/>
      <c r="AO8" s="165"/>
      <c r="AP8" s="165"/>
      <c r="AR8" s="165"/>
      <c r="AS8" s="165"/>
      <c r="AU8" s="165"/>
      <c r="AV8" s="165"/>
      <c r="AX8" s="165"/>
      <c r="AY8" s="165"/>
      <c r="AZ8" s="165"/>
      <c r="BA8" s="165"/>
    </row>
    <row r="9" spans="1:53" ht="14.45" customHeight="1" x14ac:dyDescent="0.25">
      <c r="A9" s="156"/>
      <c r="B9" s="156"/>
      <c r="C9" s="156"/>
      <c r="D9" s="156"/>
      <c r="E9" s="8" t="s">
        <v>22</v>
      </c>
      <c r="F9" s="156"/>
      <c r="G9" s="156"/>
      <c r="H9" s="8" t="s">
        <v>22</v>
      </c>
      <c r="I9" s="156"/>
      <c r="J9" s="156"/>
      <c r="K9" s="8" t="s">
        <v>22</v>
      </c>
      <c r="L9" s="156"/>
      <c r="M9" s="156"/>
      <c r="N9" s="8" t="s">
        <v>22</v>
      </c>
      <c r="O9" s="156"/>
      <c r="P9" s="156"/>
      <c r="Q9" s="156"/>
      <c r="R9" s="156"/>
      <c r="S9" s="8" t="s">
        <v>22</v>
      </c>
      <c r="T9" s="156"/>
      <c r="U9" s="156"/>
      <c r="V9" s="8" t="s">
        <v>22</v>
      </c>
      <c r="W9" s="156"/>
      <c r="X9" s="156"/>
      <c r="Y9" s="8" t="s">
        <v>22</v>
      </c>
      <c r="Z9" s="156"/>
      <c r="AA9" s="156"/>
      <c r="AB9" s="8" t="s">
        <v>22</v>
      </c>
      <c r="AC9" s="156"/>
      <c r="AD9" s="156"/>
      <c r="AE9" s="8" t="s">
        <v>22</v>
      </c>
      <c r="AF9" s="156"/>
      <c r="AG9" s="156"/>
      <c r="AH9" s="8" t="s">
        <v>22</v>
      </c>
      <c r="AI9" s="156"/>
      <c r="AJ9" s="156"/>
      <c r="AK9" s="8" t="s">
        <v>22</v>
      </c>
      <c r="AL9" s="156"/>
      <c r="AM9" s="156"/>
      <c r="AN9" s="8" t="s">
        <v>23</v>
      </c>
      <c r="AO9" s="156"/>
      <c r="AP9" s="156"/>
      <c r="AQ9" s="8" t="s">
        <v>23</v>
      </c>
      <c r="AR9" s="156"/>
      <c r="AS9" s="156"/>
      <c r="AT9" s="8" t="s">
        <v>23</v>
      </c>
      <c r="AU9" s="156"/>
      <c r="AV9" s="156"/>
      <c r="AW9" s="8" t="s">
        <v>23</v>
      </c>
      <c r="AX9" s="156"/>
      <c r="AY9" s="156"/>
      <c r="AZ9" s="157" t="s">
        <v>23</v>
      </c>
      <c r="BA9" s="156"/>
    </row>
    <row r="10" spans="1:53" ht="14.45" customHeight="1" x14ac:dyDescent="0.25">
      <c r="A10" s="164" t="s">
        <v>24</v>
      </c>
      <c r="B10" s="156"/>
      <c r="C10" s="162"/>
      <c r="D10" s="156"/>
      <c r="E10" s="156"/>
      <c r="F10" s="162"/>
      <c r="G10" s="156"/>
      <c r="H10" s="156"/>
      <c r="I10" s="162"/>
      <c r="J10" s="156"/>
      <c r="K10" s="156"/>
      <c r="L10" s="162"/>
      <c r="M10" s="156"/>
      <c r="N10" s="156"/>
      <c r="O10" s="162"/>
      <c r="P10" s="156"/>
      <c r="Q10" s="156"/>
      <c r="R10" s="156"/>
      <c r="S10" s="156"/>
      <c r="T10" s="162"/>
      <c r="U10" s="156"/>
      <c r="V10" s="156"/>
      <c r="W10" s="162"/>
      <c r="X10" s="156"/>
      <c r="Y10" s="156"/>
      <c r="Z10" s="162"/>
      <c r="AA10" s="156"/>
      <c r="AB10" s="156"/>
      <c r="AC10" s="162"/>
      <c r="AD10" s="156"/>
      <c r="AE10" s="156"/>
      <c r="AF10" s="162"/>
      <c r="AG10" s="156"/>
      <c r="AH10" s="156"/>
      <c r="AI10" s="162"/>
      <c r="AJ10" s="156"/>
      <c r="AK10" s="156"/>
      <c r="AL10" s="162"/>
      <c r="AM10" s="156"/>
      <c r="AN10" s="156"/>
      <c r="AO10" s="162"/>
      <c r="AP10" s="156"/>
      <c r="AQ10" s="156"/>
      <c r="AR10" s="162"/>
      <c r="AS10" s="156"/>
      <c r="AT10" s="156"/>
      <c r="AU10" s="162"/>
      <c r="AV10" s="156"/>
      <c r="AW10" s="156"/>
      <c r="AX10" s="162"/>
      <c r="AY10" s="156"/>
      <c r="AZ10" s="156"/>
      <c r="BA10" s="156"/>
    </row>
    <row r="11" spans="1:53" ht="14.45" customHeight="1" x14ac:dyDescent="0.25">
      <c r="A11" s="156"/>
      <c r="B11" s="156"/>
      <c r="C11" s="156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  <c r="AX11" s="156"/>
      <c r="AY11" s="156"/>
      <c r="AZ11" s="156"/>
      <c r="BA11" s="156"/>
    </row>
    <row r="12" spans="1:53" ht="14.45" customHeight="1" x14ac:dyDescent="0.25">
      <c r="A12" s="158" t="s">
        <v>316</v>
      </c>
      <c r="B12" s="156"/>
      <c r="C12" s="159">
        <v>1171997.69</v>
      </c>
      <c r="D12" s="156"/>
      <c r="E12" s="156"/>
      <c r="F12" s="159">
        <v>658736.56000000006</v>
      </c>
      <c r="G12" s="156"/>
      <c r="H12" s="156"/>
      <c r="I12" s="159">
        <v>558187.29</v>
      </c>
      <c r="J12" s="156"/>
      <c r="K12" s="156"/>
      <c r="L12" s="159">
        <v>526434.45900000003</v>
      </c>
      <c r="M12" s="156"/>
      <c r="N12" s="156"/>
      <c r="O12" s="159">
        <v>489142.64</v>
      </c>
      <c r="P12" s="156"/>
      <c r="Q12" s="156"/>
      <c r="R12" s="156"/>
      <c r="S12" s="156"/>
      <c r="T12" s="159">
        <v>431852.91</v>
      </c>
      <c r="U12" s="156"/>
      <c r="V12" s="156"/>
      <c r="W12" s="159">
        <v>323697.81</v>
      </c>
      <c r="X12" s="156"/>
      <c r="Y12" s="156"/>
      <c r="Z12" s="159">
        <v>327683.08</v>
      </c>
      <c r="AA12" s="156"/>
      <c r="AB12" s="156"/>
      <c r="AC12" s="159">
        <v>355891</v>
      </c>
      <c r="AD12" s="156"/>
      <c r="AE12" s="156"/>
      <c r="AF12" s="159">
        <v>377139.20000000001</v>
      </c>
      <c r="AG12" s="156"/>
      <c r="AH12" s="156"/>
      <c r="AI12" s="159">
        <v>395005.03</v>
      </c>
      <c r="AJ12" s="156"/>
      <c r="AK12" s="156"/>
      <c r="AL12" s="159">
        <v>392402.18</v>
      </c>
      <c r="AM12" s="156"/>
      <c r="AN12" s="156"/>
      <c r="AO12" s="159">
        <v>433109.06</v>
      </c>
      <c r="AP12" s="156"/>
      <c r="AQ12" s="156"/>
      <c r="AR12" s="159">
        <v>531483.179</v>
      </c>
      <c r="AS12" s="156"/>
      <c r="AT12" s="156"/>
      <c r="AU12" s="159">
        <v>639793.39</v>
      </c>
      <c r="AV12" s="156"/>
      <c r="AW12" s="156"/>
      <c r="AX12" s="159">
        <v>641300.81999999995</v>
      </c>
      <c r="AY12" s="156"/>
      <c r="AZ12" s="156"/>
      <c r="BA12" s="156"/>
    </row>
    <row r="13" spans="1:53" ht="14.45" customHeight="1" x14ac:dyDescent="0.25">
      <c r="A13" s="158" t="s">
        <v>317</v>
      </c>
      <c r="B13" s="156"/>
      <c r="C13" s="159">
        <v>1233</v>
      </c>
      <c r="D13" s="156"/>
      <c r="E13" s="156"/>
      <c r="F13" s="159">
        <v>2577.67</v>
      </c>
      <c r="G13" s="156"/>
      <c r="H13" s="156"/>
      <c r="I13" s="159">
        <v>3922.34</v>
      </c>
      <c r="J13" s="156"/>
      <c r="K13" s="156"/>
      <c r="L13" s="159">
        <v>0</v>
      </c>
      <c r="M13" s="156"/>
      <c r="N13" s="156"/>
      <c r="O13" s="159">
        <v>0</v>
      </c>
      <c r="P13" s="156"/>
      <c r="Q13" s="156"/>
      <c r="R13" s="156"/>
      <c r="S13" s="156"/>
      <c r="T13" s="159">
        <v>0</v>
      </c>
      <c r="U13" s="156"/>
      <c r="V13" s="156"/>
      <c r="W13" s="159">
        <v>0</v>
      </c>
      <c r="X13" s="156"/>
      <c r="Y13" s="156"/>
      <c r="Z13" s="159">
        <v>0</v>
      </c>
      <c r="AA13" s="156"/>
      <c r="AB13" s="156"/>
      <c r="AC13" s="159">
        <v>0</v>
      </c>
      <c r="AD13" s="156"/>
      <c r="AE13" s="156"/>
      <c r="AF13" s="159">
        <v>0</v>
      </c>
      <c r="AG13" s="156"/>
      <c r="AH13" s="156"/>
      <c r="AI13" s="159">
        <v>0</v>
      </c>
      <c r="AJ13" s="156"/>
      <c r="AK13" s="156"/>
      <c r="AL13" s="159">
        <v>0</v>
      </c>
      <c r="AM13" s="156"/>
      <c r="AN13" s="156"/>
      <c r="AO13" s="159">
        <v>0</v>
      </c>
      <c r="AP13" s="156"/>
      <c r="AQ13" s="156"/>
      <c r="AR13" s="159">
        <v>0</v>
      </c>
      <c r="AS13" s="156"/>
      <c r="AT13" s="156"/>
      <c r="AU13" s="159">
        <v>0</v>
      </c>
      <c r="AV13" s="156"/>
      <c r="AW13" s="156"/>
      <c r="AX13" s="159">
        <v>0</v>
      </c>
      <c r="AY13" s="156"/>
      <c r="AZ13" s="156"/>
      <c r="BA13" s="156"/>
    </row>
    <row r="14" spans="1:53" ht="14.45" customHeight="1" x14ac:dyDescent="0.25">
      <c r="A14" s="158" t="s">
        <v>318</v>
      </c>
      <c r="B14" s="156"/>
      <c r="C14" s="159">
        <v>843192.45</v>
      </c>
      <c r="D14" s="156"/>
      <c r="E14" s="156"/>
      <c r="F14" s="159">
        <v>633037.92000000004</v>
      </c>
      <c r="G14" s="156"/>
      <c r="H14" s="156"/>
      <c r="I14" s="159">
        <v>547823.09</v>
      </c>
      <c r="J14" s="156"/>
      <c r="K14" s="156"/>
      <c r="L14" s="159">
        <v>522638.44</v>
      </c>
      <c r="M14" s="156"/>
      <c r="N14" s="156"/>
      <c r="O14" s="159">
        <v>486616.88</v>
      </c>
      <c r="P14" s="156"/>
      <c r="Q14" s="156"/>
      <c r="R14" s="156"/>
      <c r="S14" s="156"/>
      <c r="T14" s="159">
        <v>430344.25</v>
      </c>
      <c r="U14" s="156"/>
      <c r="V14" s="156"/>
      <c r="W14" s="159">
        <v>322579.96000000002</v>
      </c>
      <c r="X14" s="156"/>
      <c r="Y14" s="156"/>
      <c r="Z14" s="159">
        <v>326685.25</v>
      </c>
      <c r="AA14" s="156"/>
      <c r="AB14" s="156"/>
      <c r="AC14" s="159">
        <v>354893.41</v>
      </c>
      <c r="AD14" s="156"/>
      <c r="AE14" s="156"/>
      <c r="AF14" s="159">
        <v>376141.61</v>
      </c>
      <c r="AG14" s="156"/>
      <c r="AH14" s="156"/>
      <c r="AI14" s="159">
        <v>394007.44</v>
      </c>
      <c r="AJ14" s="156"/>
      <c r="AK14" s="156"/>
      <c r="AL14" s="159">
        <v>391404.59</v>
      </c>
      <c r="AM14" s="156"/>
      <c r="AN14" s="156"/>
      <c r="AO14" s="159">
        <v>432111.47</v>
      </c>
      <c r="AP14" s="156"/>
      <c r="AQ14" s="156"/>
      <c r="AR14" s="159">
        <v>530485.58900000004</v>
      </c>
      <c r="AS14" s="156"/>
      <c r="AT14" s="156"/>
      <c r="AU14" s="159">
        <v>638795.80000000005</v>
      </c>
      <c r="AV14" s="156"/>
      <c r="AW14" s="156"/>
      <c r="AX14" s="159">
        <v>640303.23</v>
      </c>
      <c r="AY14" s="156"/>
      <c r="AZ14" s="156"/>
      <c r="BA14" s="156"/>
    </row>
    <row r="15" spans="1:53" ht="14.45" customHeight="1" x14ac:dyDescent="0.25">
      <c r="A15" s="158" t="s">
        <v>319</v>
      </c>
      <c r="B15" s="156"/>
      <c r="C15" s="159">
        <v>327572.24</v>
      </c>
      <c r="D15" s="156"/>
      <c r="E15" s="156"/>
      <c r="F15" s="159">
        <v>23120.97</v>
      </c>
      <c r="G15" s="156"/>
      <c r="H15" s="156"/>
      <c r="I15" s="159">
        <v>6441.86</v>
      </c>
      <c r="J15" s="156"/>
      <c r="K15" s="156"/>
      <c r="L15" s="159">
        <v>3796.02</v>
      </c>
      <c r="M15" s="156"/>
      <c r="N15" s="156"/>
      <c r="O15" s="159">
        <v>2525.7600000000002</v>
      </c>
      <c r="P15" s="156"/>
      <c r="Q15" s="156"/>
      <c r="R15" s="156"/>
      <c r="S15" s="156"/>
      <c r="T15" s="159">
        <v>1508.66</v>
      </c>
      <c r="U15" s="156"/>
      <c r="V15" s="156"/>
      <c r="W15" s="159">
        <v>1117.8499999999999</v>
      </c>
      <c r="X15" s="156"/>
      <c r="Y15" s="156"/>
      <c r="Z15" s="159">
        <v>997.83</v>
      </c>
      <c r="AA15" s="156"/>
      <c r="AB15" s="156"/>
      <c r="AC15" s="159">
        <v>997.59</v>
      </c>
      <c r="AD15" s="156"/>
      <c r="AE15" s="156"/>
      <c r="AF15" s="159">
        <v>997.59</v>
      </c>
      <c r="AG15" s="156"/>
      <c r="AH15" s="156"/>
      <c r="AI15" s="159">
        <v>997.59</v>
      </c>
      <c r="AJ15" s="156"/>
      <c r="AK15" s="156"/>
      <c r="AL15" s="159">
        <v>997.59</v>
      </c>
      <c r="AM15" s="156"/>
      <c r="AN15" s="156"/>
      <c r="AO15" s="159">
        <v>997.59</v>
      </c>
      <c r="AP15" s="156"/>
      <c r="AQ15" s="156"/>
      <c r="AR15" s="159">
        <v>997.59</v>
      </c>
      <c r="AS15" s="156"/>
      <c r="AT15" s="156"/>
      <c r="AU15" s="159">
        <v>997.59</v>
      </c>
      <c r="AV15" s="156"/>
      <c r="AW15" s="156"/>
      <c r="AX15" s="159">
        <v>997.59</v>
      </c>
      <c r="AY15" s="156"/>
      <c r="AZ15" s="156"/>
      <c r="BA15" s="156"/>
    </row>
    <row r="16" spans="1:53" ht="14.45" customHeight="1" x14ac:dyDescent="0.25">
      <c r="A16" s="156"/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156"/>
      <c r="AN16" s="156"/>
      <c r="AO16" s="156"/>
      <c r="AP16" s="156"/>
      <c r="AQ16" s="156"/>
      <c r="AR16" s="156"/>
      <c r="AS16" s="156"/>
      <c r="AT16" s="156"/>
      <c r="AU16" s="156"/>
      <c r="AV16" s="156"/>
      <c r="AW16" s="156"/>
      <c r="AX16" s="156"/>
      <c r="AY16" s="156"/>
      <c r="AZ16" s="156"/>
      <c r="BA16" s="156"/>
    </row>
    <row r="17" spans="1:53" ht="14.45" customHeight="1" x14ac:dyDescent="0.25">
      <c r="A17" s="158" t="s">
        <v>320</v>
      </c>
      <c r="B17" s="156"/>
      <c r="C17" s="159">
        <v>5246034.79</v>
      </c>
      <c r="D17" s="156"/>
      <c r="E17" s="156"/>
      <c r="F17" s="159">
        <v>2250944.2000000002</v>
      </c>
      <c r="G17" s="156"/>
      <c r="H17" s="156"/>
      <c r="I17" s="159">
        <v>2626005.1</v>
      </c>
      <c r="J17" s="156"/>
      <c r="K17" s="156"/>
      <c r="L17" s="159">
        <v>2347367.09</v>
      </c>
      <c r="M17" s="156"/>
      <c r="N17" s="156"/>
      <c r="O17" s="159">
        <v>3039250.46</v>
      </c>
      <c r="P17" s="156"/>
      <c r="Q17" s="156"/>
      <c r="R17" s="156"/>
      <c r="S17" s="156"/>
      <c r="T17" s="159">
        <v>2461141.0099999998</v>
      </c>
      <c r="U17" s="156"/>
      <c r="V17" s="156"/>
      <c r="W17" s="159">
        <v>3253613.85</v>
      </c>
      <c r="X17" s="156"/>
      <c r="Y17" s="156"/>
      <c r="Z17" s="159">
        <v>2282725.5099999998</v>
      </c>
      <c r="AA17" s="156"/>
      <c r="AB17" s="156"/>
      <c r="AC17" s="159">
        <v>2584320.98</v>
      </c>
      <c r="AD17" s="156"/>
      <c r="AE17" s="156"/>
      <c r="AF17" s="159">
        <v>3632262.72</v>
      </c>
      <c r="AG17" s="156"/>
      <c r="AH17" s="156"/>
      <c r="AI17" s="159">
        <v>3062191.67</v>
      </c>
      <c r="AJ17" s="156"/>
      <c r="AK17" s="156"/>
      <c r="AL17" s="159">
        <v>3420062.99</v>
      </c>
      <c r="AM17" s="156"/>
      <c r="AN17" s="156"/>
      <c r="AO17" s="159">
        <v>2739061.969</v>
      </c>
      <c r="AP17" s="156"/>
      <c r="AQ17" s="156"/>
      <c r="AR17" s="159">
        <v>2456963.9</v>
      </c>
      <c r="AS17" s="156"/>
      <c r="AT17" s="156"/>
      <c r="AU17" s="159">
        <v>2623423.79</v>
      </c>
      <c r="AV17" s="156"/>
      <c r="AW17" s="156"/>
      <c r="AX17" s="159">
        <v>2943524.17</v>
      </c>
      <c r="AY17" s="156"/>
      <c r="AZ17" s="156"/>
      <c r="BA17" s="156"/>
    </row>
    <row r="18" spans="1:53" ht="14.45" customHeight="1" x14ac:dyDescent="0.25">
      <c r="A18" s="158" t="s">
        <v>321</v>
      </c>
      <c r="B18" s="156"/>
      <c r="C18" s="159">
        <v>295438.45</v>
      </c>
      <c r="D18" s="156"/>
      <c r="E18" s="156"/>
      <c r="F18" s="159">
        <v>38950.42</v>
      </c>
      <c r="G18" s="156"/>
      <c r="H18" s="156"/>
      <c r="I18" s="159">
        <v>37854.93</v>
      </c>
      <c r="J18" s="156"/>
      <c r="K18" s="156"/>
      <c r="L18" s="159">
        <v>34711.58</v>
      </c>
      <c r="M18" s="156"/>
      <c r="N18" s="156"/>
      <c r="O18" s="159">
        <v>71429.78</v>
      </c>
      <c r="P18" s="156"/>
      <c r="Q18" s="156"/>
      <c r="R18" s="156"/>
      <c r="S18" s="156"/>
      <c r="T18" s="159">
        <v>58782.99</v>
      </c>
      <c r="U18" s="156"/>
      <c r="V18" s="156"/>
      <c r="W18" s="159">
        <v>203322.97</v>
      </c>
      <c r="X18" s="156"/>
      <c r="Y18" s="156"/>
      <c r="Z18" s="159">
        <v>148803.21</v>
      </c>
      <c r="AA18" s="156"/>
      <c r="AB18" s="156"/>
      <c r="AC18" s="159">
        <v>170400.05</v>
      </c>
      <c r="AD18" s="156"/>
      <c r="AE18" s="156"/>
      <c r="AF18" s="159">
        <v>168565.43</v>
      </c>
      <c r="AG18" s="156"/>
      <c r="AH18" s="156"/>
      <c r="AI18" s="159">
        <v>130205.47</v>
      </c>
      <c r="AJ18" s="156"/>
      <c r="AK18" s="156"/>
      <c r="AL18" s="159">
        <v>102035.84</v>
      </c>
      <c r="AM18" s="156"/>
      <c r="AN18" s="156"/>
      <c r="AO18" s="159">
        <v>158431.48000000001</v>
      </c>
      <c r="AP18" s="156"/>
      <c r="AQ18" s="156"/>
      <c r="AR18" s="159">
        <v>111019.25</v>
      </c>
      <c r="AS18" s="156"/>
      <c r="AT18" s="156"/>
      <c r="AU18" s="159">
        <v>184072.64</v>
      </c>
      <c r="AV18" s="156"/>
      <c r="AW18" s="156"/>
      <c r="AX18" s="159">
        <v>133081.93</v>
      </c>
      <c r="AY18" s="156"/>
      <c r="AZ18" s="156"/>
      <c r="BA18" s="156"/>
    </row>
    <row r="19" spans="1:53" ht="14.45" customHeight="1" x14ac:dyDescent="0.25">
      <c r="A19" s="158" t="s">
        <v>322</v>
      </c>
      <c r="B19" s="156"/>
      <c r="C19" s="159">
        <v>3978681.75</v>
      </c>
      <c r="D19" s="156"/>
      <c r="E19" s="156"/>
      <c r="F19" s="159">
        <v>1666293.81</v>
      </c>
      <c r="G19" s="156"/>
      <c r="H19" s="156"/>
      <c r="I19" s="159">
        <v>2024123.38</v>
      </c>
      <c r="J19" s="156"/>
      <c r="K19" s="156"/>
      <c r="L19" s="159">
        <v>1860289.77</v>
      </c>
      <c r="M19" s="156"/>
      <c r="N19" s="156"/>
      <c r="O19" s="159">
        <v>1856266.68</v>
      </c>
      <c r="P19" s="156"/>
      <c r="Q19" s="156"/>
      <c r="R19" s="156"/>
      <c r="S19" s="156"/>
      <c r="T19" s="159">
        <v>1795590.13</v>
      </c>
      <c r="U19" s="156"/>
      <c r="V19" s="156"/>
      <c r="W19" s="159">
        <v>1370284.99</v>
      </c>
      <c r="X19" s="156"/>
      <c r="Y19" s="156"/>
      <c r="Z19" s="159">
        <v>1545640.16</v>
      </c>
      <c r="AA19" s="156"/>
      <c r="AB19" s="156"/>
      <c r="AC19" s="159">
        <v>810072.64</v>
      </c>
      <c r="AD19" s="156"/>
      <c r="AE19" s="156"/>
      <c r="AF19" s="159">
        <v>2828153.35</v>
      </c>
      <c r="AG19" s="156"/>
      <c r="AH19" s="156"/>
      <c r="AI19" s="159">
        <v>2621029.29</v>
      </c>
      <c r="AJ19" s="156"/>
      <c r="AK19" s="156"/>
      <c r="AL19" s="159">
        <v>2817755.74</v>
      </c>
      <c r="AM19" s="156"/>
      <c r="AN19" s="156"/>
      <c r="AO19" s="159">
        <v>2460172.7799999998</v>
      </c>
      <c r="AP19" s="156"/>
      <c r="AQ19" s="156"/>
      <c r="AR19" s="159">
        <v>2250142.33</v>
      </c>
      <c r="AS19" s="156"/>
      <c r="AT19" s="156"/>
      <c r="AU19" s="159">
        <v>2364756.7200000002</v>
      </c>
      <c r="AV19" s="156"/>
      <c r="AW19" s="156"/>
      <c r="AX19" s="159">
        <v>2613747.3199999998</v>
      </c>
      <c r="AY19" s="156"/>
      <c r="AZ19" s="156"/>
      <c r="BA19" s="156"/>
    </row>
    <row r="20" spans="1:53" ht="14.45" customHeight="1" x14ac:dyDescent="0.25">
      <c r="A20" s="158" t="s">
        <v>323</v>
      </c>
      <c r="B20" s="156"/>
      <c r="C20" s="159">
        <v>971914.59</v>
      </c>
      <c r="D20" s="156"/>
      <c r="E20" s="156"/>
      <c r="F20" s="159">
        <v>545699.97</v>
      </c>
      <c r="G20" s="156"/>
      <c r="H20" s="156"/>
      <c r="I20" s="159">
        <v>564026.79</v>
      </c>
      <c r="J20" s="156"/>
      <c r="K20" s="156"/>
      <c r="L20" s="159">
        <v>452365.739</v>
      </c>
      <c r="M20" s="156"/>
      <c r="N20" s="156"/>
      <c r="O20" s="159">
        <v>1111554</v>
      </c>
      <c r="P20" s="156"/>
      <c r="Q20" s="156"/>
      <c r="R20" s="156"/>
      <c r="S20" s="156"/>
      <c r="T20" s="159">
        <v>606767.89</v>
      </c>
      <c r="U20" s="156"/>
      <c r="V20" s="156"/>
      <c r="W20" s="159">
        <v>1680005.89</v>
      </c>
      <c r="X20" s="156"/>
      <c r="Y20" s="156"/>
      <c r="Z20" s="159">
        <v>588282.14</v>
      </c>
      <c r="AA20" s="156"/>
      <c r="AB20" s="156"/>
      <c r="AC20" s="159">
        <v>1603848.29</v>
      </c>
      <c r="AD20" s="156"/>
      <c r="AE20" s="156"/>
      <c r="AF20" s="159">
        <v>635543.93999999994</v>
      </c>
      <c r="AG20" s="156"/>
      <c r="AH20" s="156"/>
      <c r="AI20" s="159">
        <v>310956.90999999997</v>
      </c>
      <c r="AJ20" s="156"/>
      <c r="AK20" s="156"/>
      <c r="AL20" s="159">
        <v>500271.41</v>
      </c>
      <c r="AM20" s="156"/>
      <c r="AN20" s="156"/>
      <c r="AO20" s="159">
        <v>120457.71</v>
      </c>
      <c r="AP20" s="156"/>
      <c r="AQ20" s="156"/>
      <c r="AR20" s="159">
        <v>95802.32</v>
      </c>
      <c r="AS20" s="156"/>
      <c r="AT20" s="156"/>
      <c r="AU20" s="159">
        <v>74594.429999999993</v>
      </c>
      <c r="AV20" s="156"/>
      <c r="AW20" s="156"/>
      <c r="AX20" s="159">
        <v>196694.92</v>
      </c>
      <c r="AY20" s="156"/>
      <c r="AZ20" s="156"/>
      <c r="BA20" s="156"/>
    </row>
    <row r="21" spans="1:53" ht="14.45" customHeight="1" x14ac:dyDescent="0.25">
      <c r="A21" s="158" t="s">
        <v>324</v>
      </c>
      <c r="B21" s="156"/>
      <c r="C21" s="159">
        <v>516667.01</v>
      </c>
      <c r="D21" s="156"/>
      <c r="E21" s="156"/>
      <c r="F21" s="159">
        <v>377564.29</v>
      </c>
      <c r="G21" s="156"/>
      <c r="H21" s="156"/>
      <c r="I21" s="159">
        <v>345156.06</v>
      </c>
      <c r="J21" s="156"/>
      <c r="K21" s="156"/>
      <c r="L21" s="159">
        <v>259747.08</v>
      </c>
      <c r="M21" s="156"/>
      <c r="N21" s="156"/>
      <c r="O21" s="159">
        <v>29705.38</v>
      </c>
      <c r="P21" s="156"/>
      <c r="Q21" s="156"/>
      <c r="R21" s="156"/>
      <c r="S21" s="156"/>
      <c r="T21" s="159">
        <v>54823.77</v>
      </c>
      <c r="U21" s="156"/>
      <c r="V21" s="156"/>
      <c r="W21" s="159">
        <v>686991.52</v>
      </c>
      <c r="X21" s="156"/>
      <c r="Y21" s="156"/>
      <c r="Z21" s="159">
        <v>92406.34</v>
      </c>
      <c r="AA21" s="156"/>
      <c r="AB21" s="156"/>
      <c r="AC21" s="159">
        <v>195416.08</v>
      </c>
      <c r="AD21" s="156"/>
      <c r="AE21" s="156"/>
      <c r="AF21" s="159">
        <v>442438.97</v>
      </c>
      <c r="AG21" s="156"/>
      <c r="AH21" s="156"/>
      <c r="AI21" s="159">
        <v>24967.16</v>
      </c>
      <c r="AJ21" s="156"/>
      <c r="AK21" s="156"/>
      <c r="AL21" s="159">
        <v>442295.35</v>
      </c>
      <c r="AM21" s="156"/>
      <c r="AN21" s="156"/>
      <c r="AO21" s="159">
        <v>88166.21</v>
      </c>
      <c r="AP21" s="156"/>
      <c r="AQ21" s="156"/>
      <c r="AR21" s="159">
        <v>50089.91</v>
      </c>
      <c r="AS21" s="156"/>
      <c r="AT21" s="156"/>
      <c r="AU21" s="159">
        <v>51638.41</v>
      </c>
      <c r="AV21" s="156"/>
      <c r="AW21" s="156"/>
      <c r="AX21" s="159">
        <v>169093.98</v>
      </c>
      <c r="AY21" s="156"/>
      <c r="AZ21" s="156"/>
      <c r="BA21" s="156"/>
    </row>
    <row r="22" spans="1:53" ht="14.45" customHeight="1" x14ac:dyDescent="0.25">
      <c r="A22" s="156"/>
      <c r="B22" s="156"/>
      <c r="C22" s="156"/>
      <c r="D22" s="156"/>
      <c r="E22" s="156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6"/>
      <c r="AP22" s="156"/>
      <c r="AQ22" s="156"/>
      <c r="AR22" s="156"/>
      <c r="AS22" s="156"/>
      <c r="AT22" s="156"/>
      <c r="AU22" s="156"/>
      <c r="AV22" s="156"/>
      <c r="AW22" s="156"/>
      <c r="AX22" s="156"/>
      <c r="AY22" s="156"/>
      <c r="AZ22" s="156"/>
      <c r="BA22" s="156"/>
    </row>
    <row r="23" spans="1:53" ht="14.45" customHeight="1" x14ac:dyDescent="0.25">
      <c r="A23" s="158" t="s">
        <v>325</v>
      </c>
      <c r="B23" s="156"/>
      <c r="C23" s="159">
        <v>6418032.4800000004</v>
      </c>
      <c r="D23" s="156"/>
      <c r="E23" s="156"/>
      <c r="F23" s="159">
        <v>2909680.76</v>
      </c>
      <c r="G23" s="156"/>
      <c r="H23" s="156"/>
      <c r="I23" s="159">
        <v>3184192.39</v>
      </c>
      <c r="J23" s="156"/>
      <c r="K23" s="156"/>
      <c r="L23" s="159">
        <v>2873801.55</v>
      </c>
      <c r="M23" s="156"/>
      <c r="N23" s="156"/>
      <c r="O23" s="159">
        <v>3528393.1</v>
      </c>
      <c r="P23" s="156"/>
      <c r="Q23" s="156"/>
      <c r="R23" s="156"/>
      <c r="S23" s="156"/>
      <c r="T23" s="159">
        <v>2892993.92</v>
      </c>
      <c r="U23" s="156"/>
      <c r="V23" s="156"/>
      <c r="W23" s="159">
        <v>3577311.66</v>
      </c>
      <c r="X23" s="156"/>
      <c r="Y23" s="156"/>
      <c r="Z23" s="159">
        <v>2610408.59</v>
      </c>
      <c r="AA23" s="156"/>
      <c r="AB23" s="156"/>
      <c r="AC23" s="159">
        <v>2940211.98</v>
      </c>
      <c r="AD23" s="156"/>
      <c r="AE23" s="156"/>
      <c r="AF23" s="159">
        <v>4009401.92</v>
      </c>
      <c r="AG23" s="156"/>
      <c r="AH23" s="156"/>
      <c r="AI23" s="159">
        <v>3457196.7</v>
      </c>
      <c r="AJ23" s="156"/>
      <c r="AK23" s="156"/>
      <c r="AL23" s="159">
        <v>3812465.17</v>
      </c>
      <c r="AM23" s="156"/>
      <c r="AN23" s="156"/>
      <c r="AO23" s="159">
        <v>3172171.03</v>
      </c>
      <c r="AP23" s="156"/>
      <c r="AQ23" s="156"/>
      <c r="AR23" s="159">
        <v>2988447.08</v>
      </c>
      <c r="AS23" s="156"/>
      <c r="AT23" s="156"/>
      <c r="AU23" s="159">
        <v>3263217.18</v>
      </c>
      <c r="AV23" s="156"/>
      <c r="AW23" s="156"/>
      <c r="AX23" s="159">
        <v>3584824.99</v>
      </c>
      <c r="AY23" s="156"/>
      <c r="AZ23" s="156"/>
      <c r="BA23" s="156"/>
    </row>
    <row r="24" spans="1:53" ht="14.45" customHeight="1" x14ac:dyDescent="0.25">
      <c r="A24" s="156"/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  <c r="AA24" s="156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6"/>
      <c r="AU24" s="156"/>
      <c r="AV24" s="156"/>
      <c r="AW24" s="156"/>
      <c r="AX24" s="156"/>
      <c r="AY24" s="156"/>
      <c r="AZ24" s="156"/>
      <c r="BA24" s="156"/>
    </row>
    <row r="25" spans="1:53" ht="14.45" customHeight="1" x14ac:dyDescent="0.25">
      <c r="A25" s="158" t="s">
        <v>326</v>
      </c>
      <c r="B25" s="156"/>
      <c r="C25" s="159">
        <v>3792835.55</v>
      </c>
      <c r="D25" s="156"/>
      <c r="E25" s="156"/>
      <c r="F25" s="159">
        <v>1675248.32</v>
      </c>
      <c r="G25" s="156"/>
      <c r="H25" s="156"/>
      <c r="I25" s="159">
        <v>630256.13</v>
      </c>
      <c r="J25" s="156"/>
      <c r="K25" s="156"/>
      <c r="L25" s="159">
        <v>1361690.22</v>
      </c>
      <c r="M25" s="156"/>
      <c r="N25" s="156"/>
      <c r="O25" s="159">
        <v>1834088.64</v>
      </c>
      <c r="P25" s="156"/>
      <c r="Q25" s="156"/>
      <c r="R25" s="156"/>
      <c r="S25" s="156"/>
      <c r="T25" s="159">
        <v>2034911.54</v>
      </c>
      <c r="U25" s="156"/>
      <c r="V25" s="156"/>
      <c r="W25" s="159">
        <v>2304677.98</v>
      </c>
      <c r="X25" s="156"/>
      <c r="Y25" s="156"/>
      <c r="Z25" s="159">
        <v>1877459.85</v>
      </c>
      <c r="AA25" s="156"/>
      <c r="AB25" s="156"/>
      <c r="AC25" s="159">
        <v>996450.56</v>
      </c>
      <c r="AD25" s="156"/>
      <c r="AE25" s="156"/>
      <c r="AF25" s="159">
        <v>1379121.85</v>
      </c>
      <c r="AG25" s="156"/>
      <c r="AH25" s="156"/>
      <c r="AI25" s="159">
        <v>1512412.77</v>
      </c>
      <c r="AJ25" s="156"/>
      <c r="AK25" s="156"/>
      <c r="AL25" s="159">
        <v>2080450.86</v>
      </c>
      <c r="AM25" s="156"/>
      <c r="AN25" s="156"/>
      <c r="AO25" s="159">
        <v>1620509.53</v>
      </c>
      <c r="AP25" s="156"/>
      <c r="AQ25" s="156"/>
      <c r="AR25" s="159">
        <v>1194399.54</v>
      </c>
      <c r="AS25" s="156"/>
      <c r="AT25" s="156"/>
      <c r="AU25" s="159">
        <v>1689356.45</v>
      </c>
      <c r="AV25" s="156"/>
      <c r="AW25" s="156"/>
      <c r="AX25" s="159">
        <v>2156354.88</v>
      </c>
      <c r="AY25" s="156"/>
      <c r="AZ25" s="156"/>
      <c r="BA25" s="156"/>
    </row>
    <row r="26" spans="1:53" ht="14.45" customHeight="1" x14ac:dyDescent="0.25">
      <c r="A26" s="158" t="s">
        <v>327</v>
      </c>
      <c r="B26" s="156"/>
      <c r="C26" s="159">
        <v>41524.92</v>
      </c>
      <c r="D26" s="156"/>
      <c r="E26" s="156"/>
      <c r="F26" s="159">
        <v>41524.92</v>
      </c>
      <c r="G26" s="156"/>
      <c r="H26" s="156"/>
      <c r="I26" s="159">
        <v>41524.92</v>
      </c>
      <c r="J26" s="156"/>
      <c r="K26" s="156"/>
      <c r="L26" s="159">
        <v>55366.559999999998</v>
      </c>
      <c r="M26" s="156"/>
      <c r="N26" s="156"/>
      <c r="O26" s="159">
        <v>55366.559999999998</v>
      </c>
      <c r="P26" s="156"/>
      <c r="Q26" s="156"/>
      <c r="R26" s="156"/>
      <c r="S26" s="156"/>
      <c r="T26" s="159">
        <v>55366.559999999998</v>
      </c>
      <c r="U26" s="156"/>
      <c r="V26" s="156"/>
      <c r="W26" s="159">
        <v>55366.559999999998</v>
      </c>
      <c r="X26" s="156"/>
      <c r="Y26" s="156"/>
      <c r="Z26" s="159">
        <v>55366.559999999998</v>
      </c>
      <c r="AA26" s="156"/>
      <c r="AB26" s="156"/>
      <c r="AC26" s="159">
        <v>55366.559999999998</v>
      </c>
      <c r="AD26" s="156"/>
      <c r="AE26" s="156"/>
      <c r="AF26" s="159">
        <v>55366.559999999998</v>
      </c>
      <c r="AG26" s="156"/>
      <c r="AH26" s="156"/>
      <c r="AI26" s="159">
        <v>55366.559999999998</v>
      </c>
      <c r="AJ26" s="156"/>
      <c r="AK26" s="156"/>
      <c r="AL26" s="159">
        <v>55366.559999999998</v>
      </c>
      <c r="AM26" s="156"/>
      <c r="AN26" s="156"/>
      <c r="AO26" s="159">
        <v>55366.57</v>
      </c>
      <c r="AP26" s="156"/>
      <c r="AQ26" s="156"/>
      <c r="AR26" s="159">
        <v>55366.57</v>
      </c>
      <c r="AS26" s="156"/>
      <c r="AT26" s="156"/>
      <c r="AU26" s="159">
        <v>55366.57</v>
      </c>
      <c r="AV26" s="156"/>
      <c r="AW26" s="156"/>
      <c r="AX26" s="159">
        <v>55366.57</v>
      </c>
      <c r="AY26" s="156"/>
      <c r="AZ26" s="156"/>
      <c r="BA26" s="156"/>
    </row>
    <row r="27" spans="1:53" ht="14.45" customHeight="1" x14ac:dyDescent="0.25">
      <c r="A27" s="158" t="s">
        <v>328</v>
      </c>
      <c r="B27" s="156"/>
      <c r="C27" s="159">
        <v>3751310.63</v>
      </c>
      <c r="D27" s="156"/>
      <c r="E27" s="156"/>
      <c r="F27" s="159">
        <v>1633723.4</v>
      </c>
      <c r="G27" s="156"/>
      <c r="H27" s="156"/>
      <c r="I27" s="159">
        <v>588731.21</v>
      </c>
      <c r="J27" s="156"/>
      <c r="K27" s="156"/>
      <c r="L27" s="159">
        <v>1306323.6599999999</v>
      </c>
      <c r="M27" s="156"/>
      <c r="N27" s="156"/>
      <c r="O27" s="159">
        <v>1778722.08</v>
      </c>
      <c r="P27" s="156"/>
      <c r="Q27" s="156"/>
      <c r="R27" s="156"/>
      <c r="S27" s="156"/>
      <c r="T27" s="159">
        <v>1979544.98</v>
      </c>
      <c r="U27" s="156"/>
      <c r="V27" s="156"/>
      <c r="W27" s="159">
        <v>2249311.42</v>
      </c>
      <c r="X27" s="156"/>
      <c r="Y27" s="156"/>
      <c r="Z27" s="159">
        <v>1822093.29</v>
      </c>
      <c r="AA27" s="156"/>
      <c r="AB27" s="156"/>
      <c r="AC27" s="159">
        <v>941084</v>
      </c>
      <c r="AD27" s="156"/>
      <c r="AE27" s="156"/>
      <c r="AF27" s="159">
        <v>1323755.29</v>
      </c>
      <c r="AG27" s="156"/>
      <c r="AH27" s="156"/>
      <c r="AI27" s="159">
        <v>1457046.21</v>
      </c>
      <c r="AJ27" s="156"/>
      <c r="AK27" s="156"/>
      <c r="AL27" s="159">
        <v>2025084.3</v>
      </c>
      <c r="AM27" s="156"/>
      <c r="AN27" s="156"/>
      <c r="AO27" s="159">
        <v>1565142.96</v>
      </c>
      <c r="AP27" s="156"/>
      <c r="AQ27" s="156"/>
      <c r="AR27" s="159">
        <v>1139032.97</v>
      </c>
      <c r="AS27" s="156"/>
      <c r="AT27" s="156"/>
      <c r="AU27" s="159">
        <v>1633989.88</v>
      </c>
      <c r="AV27" s="156"/>
      <c r="AW27" s="156"/>
      <c r="AX27" s="159">
        <v>2100988.31</v>
      </c>
      <c r="AY27" s="156"/>
      <c r="AZ27" s="156"/>
      <c r="BA27" s="156"/>
    </row>
    <row r="28" spans="1:53" ht="14.45" customHeight="1" x14ac:dyDescent="0.25">
      <c r="A28" s="156"/>
      <c r="B28" s="156"/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  <c r="AU28" s="156"/>
      <c r="AV28" s="156"/>
      <c r="AW28" s="156"/>
      <c r="AX28" s="156"/>
      <c r="AY28" s="156"/>
      <c r="AZ28" s="156"/>
      <c r="BA28" s="156"/>
    </row>
    <row r="29" spans="1:53" ht="14.45" customHeight="1" x14ac:dyDescent="0.25">
      <c r="A29" s="158" t="s">
        <v>329</v>
      </c>
      <c r="B29" s="156"/>
      <c r="C29" s="159">
        <v>0</v>
      </c>
      <c r="D29" s="156"/>
      <c r="E29" s="156"/>
      <c r="F29" s="159">
        <v>0</v>
      </c>
      <c r="G29" s="156"/>
      <c r="H29" s="156"/>
      <c r="I29" s="159">
        <v>1218750</v>
      </c>
      <c r="J29" s="156"/>
      <c r="K29" s="156"/>
      <c r="L29" s="159">
        <v>0</v>
      </c>
      <c r="M29" s="156"/>
      <c r="N29" s="156"/>
      <c r="O29" s="159">
        <v>0</v>
      </c>
      <c r="P29" s="156"/>
      <c r="Q29" s="156"/>
      <c r="R29" s="156"/>
      <c r="S29" s="156"/>
      <c r="T29" s="159">
        <v>8000</v>
      </c>
      <c r="U29" s="156"/>
      <c r="V29" s="156"/>
      <c r="W29" s="159">
        <v>8000</v>
      </c>
      <c r="X29" s="156"/>
      <c r="Y29" s="156"/>
      <c r="Z29" s="159">
        <v>8000</v>
      </c>
      <c r="AA29" s="156"/>
      <c r="AB29" s="156"/>
      <c r="AC29" s="159">
        <v>8000</v>
      </c>
      <c r="AD29" s="156"/>
      <c r="AE29" s="156"/>
      <c r="AF29" s="159">
        <v>12.7</v>
      </c>
      <c r="AG29" s="156"/>
      <c r="AH29" s="156"/>
      <c r="AI29" s="159">
        <v>12.82</v>
      </c>
      <c r="AJ29" s="156"/>
      <c r="AK29" s="156"/>
      <c r="AL29" s="159">
        <v>0</v>
      </c>
      <c r="AM29" s="156"/>
      <c r="AN29" s="156"/>
      <c r="AO29" s="159">
        <v>0</v>
      </c>
      <c r="AP29" s="156"/>
      <c r="AQ29" s="156"/>
      <c r="AR29" s="159">
        <v>0</v>
      </c>
      <c r="AS29" s="156"/>
      <c r="AT29" s="156"/>
      <c r="AU29" s="159">
        <v>0</v>
      </c>
      <c r="AV29" s="156"/>
      <c r="AW29" s="156"/>
      <c r="AX29" s="159">
        <v>0</v>
      </c>
      <c r="AY29" s="156"/>
      <c r="AZ29" s="156"/>
      <c r="BA29" s="156"/>
    </row>
    <row r="30" spans="1:53" ht="14.45" customHeight="1" x14ac:dyDescent="0.25">
      <c r="A30" s="158" t="s">
        <v>330</v>
      </c>
      <c r="B30" s="156"/>
      <c r="C30" s="159">
        <v>0</v>
      </c>
      <c r="D30" s="156"/>
      <c r="E30" s="156"/>
      <c r="F30" s="159">
        <v>0</v>
      </c>
      <c r="G30" s="156"/>
      <c r="H30" s="156"/>
      <c r="I30" s="159">
        <v>1218750</v>
      </c>
      <c r="J30" s="156"/>
      <c r="K30" s="156"/>
      <c r="L30" s="159">
        <v>0</v>
      </c>
      <c r="M30" s="156"/>
      <c r="N30" s="156"/>
      <c r="O30" s="159">
        <v>0</v>
      </c>
      <c r="P30" s="156"/>
      <c r="Q30" s="156"/>
      <c r="R30" s="156"/>
      <c r="S30" s="156"/>
      <c r="T30" s="159">
        <v>0</v>
      </c>
      <c r="U30" s="156"/>
      <c r="V30" s="156"/>
      <c r="W30" s="159">
        <v>0</v>
      </c>
      <c r="X30" s="156"/>
      <c r="Y30" s="156"/>
      <c r="Z30" s="159">
        <v>0</v>
      </c>
      <c r="AA30" s="156"/>
      <c r="AB30" s="156"/>
      <c r="AC30" s="159">
        <v>0</v>
      </c>
      <c r="AD30" s="156"/>
      <c r="AE30" s="156"/>
      <c r="AF30" s="159">
        <v>0</v>
      </c>
      <c r="AG30" s="156"/>
      <c r="AH30" s="156"/>
      <c r="AI30" s="159">
        <v>0</v>
      </c>
      <c r="AJ30" s="156"/>
      <c r="AK30" s="156"/>
      <c r="AL30" s="159">
        <v>0</v>
      </c>
      <c r="AM30" s="156"/>
      <c r="AN30" s="156"/>
      <c r="AO30" s="159">
        <v>0</v>
      </c>
      <c r="AP30" s="156"/>
      <c r="AQ30" s="156"/>
      <c r="AR30" s="159">
        <v>0</v>
      </c>
      <c r="AS30" s="156"/>
      <c r="AT30" s="156"/>
      <c r="AU30" s="159">
        <v>0</v>
      </c>
      <c r="AV30" s="156"/>
      <c r="AW30" s="156"/>
      <c r="AX30" s="159">
        <v>0</v>
      </c>
      <c r="AY30" s="156"/>
      <c r="AZ30" s="156"/>
      <c r="BA30" s="156"/>
    </row>
    <row r="31" spans="1:53" ht="14.45" customHeight="1" x14ac:dyDescent="0.25">
      <c r="A31" s="158" t="s">
        <v>331</v>
      </c>
      <c r="B31" s="156"/>
      <c r="C31" s="159">
        <v>0</v>
      </c>
      <c r="D31" s="156"/>
      <c r="E31" s="156"/>
      <c r="F31" s="159">
        <v>0</v>
      </c>
      <c r="G31" s="156"/>
      <c r="H31" s="156"/>
      <c r="I31" s="159">
        <v>0</v>
      </c>
      <c r="J31" s="156"/>
      <c r="K31" s="156"/>
      <c r="L31" s="159">
        <v>0</v>
      </c>
      <c r="M31" s="156"/>
      <c r="N31" s="156"/>
      <c r="O31" s="159">
        <v>0</v>
      </c>
      <c r="P31" s="156"/>
      <c r="Q31" s="156"/>
      <c r="R31" s="156"/>
      <c r="S31" s="156"/>
      <c r="T31" s="159">
        <v>8000</v>
      </c>
      <c r="U31" s="156"/>
      <c r="V31" s="156"/>
      <c r="W31" s="159">
        <v>8000</v>
      </c>
      <c r="X31" s="156"/>
      <c r="Y31" s="156"/>
      <c r="Z31" s="159">
        <v>8000</v>
      </c>
      <c r="AA31" s="156"/>
      <c r="AB31" s="156"/>
      <c r="AC31" s="159">
        <v>8000</v>
      </c>
      <c r="AD31" s="156"/>
      <c r="AE31" s="156"/>
      <c r="AF31" s="159">
        <v>12.7</v>
      </c>
      <c r="AG31" s="156"/>
      <c r="AH31" s="156"/>
      <c r="AI31" s="159">
        <v>12.82</v>
      </c>
      <c r="AJ31" s="156"/>
      <c r="AK31" s="156"/>
      <c r="AL31" s="159">
        <v>0</v>
      </c>
      <c r="AM31" s="156"/>
      <c r="AN31" s="156"/>
      <c r="AO31" s="159">
        <v>0</v>
      </c>
      <c r="AP31" s="156"/>
      <c r="AQ31" s="156"/>
      <c r="AR31" s="159">
        <v>0</v>
      </c>
      <c r="AS31" s="156"/>
      <c r="AT31" s="156"/>
      <c r="AU31" s="159">
        <v>0</v>
      </c>
      <c r="AV31" s="156"/>
      <c r="AW31" s="156"/>
      <c r="AX31" s="159">
        <v>0</v>
      </c>
      <c r="AY31" s="156"/>
      <c r="AZ31" s="156"/>
      <c r="BA31" s="156"/>
    </row>
    <row r="32" spans="1:53" ht="14.45" customHeight="1" x14ac:dyDescent="0.25">
      <c r="A32" s="158" t="s">
        <v>222</v>
      </c>
      <c r="B32" s="156"/>
      <c r="C32" s="159">
        <v>0</v>
      </c>
      <c r="D32" s="156"/>
      <c r="E32" s="156"/>
      <c r="F32" s="159">
        <v>0</v>
      </c>
      <c r="G32" s="156"/>
      <c r="H32" s="156"/>
      <c r="I32" s="159">
        <v>0</v>
      </c>
      <c r="J32" s="156"/>
      <c r="K32" s="156"/>
      <c r="L32" s="159">
        <v>0</v>
      </c>
      <c r="M32" s="156"/>
      <c r="N32" s="156"/>
      <c r="O32" s="159">
        <v>0</v>
      </c>
      <c r="P32" s="156"/>
      <c r="Q32" s="156"/>
      <c r="R32" s="156"/>
      <c r="S32" s="156"/>
      <c r="T32" s="159">
        <v>0</v>
      </c>
      <c r="U32" s="156"/>
      <c r="V32" s="156"/>
      <c r="W32" s="159">
        <v>0</v>
      </c>
      <c r="X32" s="156"/>
      <c r="Y32" s="156"/>
      <c r="Z32" s="159">
        <v>0</v>
      </c>
      <c r="AA32" s="156"/>
      <c r="AB32" s="156"/>
      <c r="AC32" s="159">
        <v>0</v>
      </c>
      <c r="AD32" s="156"/>
      <c r="AE32" s="156"/>
      <c r="AF32" s="159">
        <v>0</v>
      </c>
      <c r="AG32" s="156"/>
      <c r="AH32" s="156"/>
      <c r="AI32" s="159">
        <v>0</v>
      </c>
      <c r="AJ32" s="156"/>
      <c r="AK32" s="156"/>
      <c r="AL32" s="159">
        <v>0</v>
      </c>
      <c r="AM32" s="156"/>
      <c r="AN32" s="156"/>
      <c r="AO32" s="159">
        <v>0</v>
      </c>
      <c r="AP32" s="156"/>
      <c r="AQ32" s="156"/>
      <c r="AR32" s="159">
        <v>0</v>
      </c>
      <c r="AS32" s="156"/>
      <c r="AT32" s="156"/>
      <c r="AU32" s="159">
        <v>0</v>
      </c>
      <c r="AV32" s="156"/>
      <c r="AW32" s="156"/>
      <c r="AX32" s="159">
        <v>0</v>
      </c>
      <c r="AY32" s="156"/>
      <c r="AZ32" s="156"/>
      <c r="BA32" s="156"/>
    </row>
    <row r="33" spans="1:53" ht="14.45" customHeight="1" x14ac:dyDescent="0.25">
      <c r="A33" s="156"/>
      <c r="B33" s="156"/>
      <c r="C33" s="156"/>
      <c r="D33" s="156"/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  <c r="AA33" s="156"/>
      <c r="AB33" s="156"/>
      <c r="AC33" s="156"/>
      <c r="AD33" s="156"/>
      <c r="AE33" s="156"/>
      <c r="AF33" s="156"/>
      <c r="AG33" s="156"/>
      <c r="AH33" s="156"/>
      <c r="AI33" s="156"/>
      <c r="AJ33" s="156"/>
      <c r="AK33" s="156"/>
      <c r="AL33" s="156"/>
      <c r="AM33" s="156"/>
      <c r="AN33" s="156"/>
      <c r="AO33" s="156"/>
      <c r="AP33" s="156"/>
      <c r="AQ33" s="156"/>
      <c r="AR33" s="156"/>
      <c r="AS33" s="156"/>
      <c r="AT33" s="156"/>
      <c r="AU33" s="156"/>
      <c r="AV33" s="156"/>
      <c r="AW33" s="156"/>
      <c r="AX33" s="156"/>
      <c r="AY33" s="156"/>
      <c r="AZ33" s="156"/>
      <c r="BA33" s="156"/>
    </row>
    <row r="34" spans="1:53" ht="14.45" customHeight="1" x14ac:dyDescent="0.25">
      <c r="A34" s="158" t="s">
        <v>332</v>
      </c>
      <c r="B34" s="156"/>
      <c r="C34" s="159">
        <v>2625196.9300000002</v>
      </c>
      <c r="D34" s="156"/>
      <c r="E34" s="156"/>
      <c r="F34" s="159">
        <v>1234432.44</v>
      </c>
      <c r="G34" s="156"/>
      <c r="H34" s="156"/>
      <c r="I34" s="159">
        <v>1335186.26</v>
      </c>
      <c r="J34" s="156"/>
      <c r="K34" s="156"/>
      <c r="L34" s="159">
        <v>1512111.33</v>
      </c>
      <c r="M34" s="156"/>
      <c r="N34" s="156"/>
      <c r="O34" s="159">
        <v>1694304.46</v>
      </c>
      <c r="P34" s="156"/>
      <c r="Q34" s="156"/>
      <c r="R34" s="156"/>
      <c r="S34" s="156"/>
      <c r="T34" s="159">
        <v>850082.38</v>
      </c>
      <c r="U34" s="156"/>
      <c r="V34" s="156"/>
      <c r="W34" s="159">
        <v>1264633.68</v>
      </c>
      <c r="X34" s="156"/>
      <c r="Y34" s="156"/>
      <c r="Z34" s="159">
        <v>724948.74</v>
      </c>
      <c r="AA34" s="156"/>
      <c r="AB34" s="156"/>
      <c r="AC34" s="159">
        <v>1935761.42</v>
      </c>
      <c r="AD34" s="156"/>
      <c r="AE34" s="156"/>
      <c r="AF34" s="159">
        <v>2630267.37</v>
      </c>
      <c r="AG34" s="156"/>
      <c r="AH34" s="156"/>
      <c r="AI34" s="159">
        <v>1944771.11</v>
      </c>
      <c r="AJ34" s="156"/>
      <c r="AK34" s="156"/>
      <c r="AL34" s="159">
        <v>1732014.31</v>
      </c>
      <c r="AM34" s="156"/>
      <c r="AN34" s="156"/>
      <c r="AO34" s="159">
        <v>1551661.5</v>
      </c>
      <c r="AP34" s="156"/>
      <c r="AQ34" s="156"/>
      <c r="AR34" s="159">
        <v>1794047.54</v>
      </c>
      <c r="AS34" s="156"/>
      <c r="AT34" s="156"/>
      <c r="AU34" s="159">
        <v>1573860.73</v>
      </c>
      <c r="AV34" s="156"/>
      <c r="AW34" s="156"/>
      <c r="AX34" s="159">
        <v>1428470.1089999999</v>
      </c>
      <c r="AY34" s="156"/>
      <c r="AZ34" s="156"/>
      <c r="BA34" s="156"/>
    </row>
    <row r="35" spans="1:53" ht="14.45" customHeight="1" x14ac:dyDescent="0.25">
      <c r="A35" s="158" t="s">
        <v>333</v>
      </c>
      <c r="B35" s="156"/>
      <c r="C35" s="159">
        <v>1082352.08</v>
      </c>
      <c r="D35" s="156"/>
      <c r="E35" s="156"/>
      <c r="F35" s="159">
        <v>469763.3</v>
      </c>
      <c r="G35" s="156"/>
      <c r="H35" s="156"/>
      <c r="I35" s="159">
        <v>596749.98</v>
      </c>
      <c r="J35" s="156"/>
      <c r="K35" s="156"/>
      <c r="L35" s="159">
        <v>497722.71</v>
      </c>
      <c r="M35" s="156"/>
      <c r="N35" s="156"/>
      <c r="O35" s="159">
        <v>1061104.28</v>
      </c>
      <c r="P35" s="156"/>
      <c r="Q35" s="156"/>
      <c r="R35" s="156"/>
      <c r="S35" s="156"/>
      <c r="T35" s="159">
        <v>141895.07</v>
      </c>
      <c r="U35" s="156"/>
      <c r="V35" s="156"/>
      <c r="W35" s="159">
        <v>663941.73</v>
      </c>
      <c r="X35" s="156"/>
      <c r="Y35" s="156"/>
      <c r="Z35" s="159">
        <v>76752.72</v>
      </c>
      <c r="AA35" s="156"/>
      <c r="AB35" s="156"/>
      <c r="AC35" s="159">
        <v>9216.9699999999993</v>
      </c>
      <c r="AD35" s="156"/>
      <c r="AE35" s="156"/>
      <c r="AF35" s="159">
        <v>0</v>
      </c>
      <c r="AG35" s="156"/>
      <c r="AH35" s="156"/>
      <c r="AI35" s="159">
        <v>210485.41</v>
      </c>
      <c r="AJ35" s="156"/>
      <c r="AK35" s="156"/>
      <c r="AL35" s="159">
        <v>165756.06</v>
      </c>
      <c r="AM35" s="156"/>
      <c r="AN35" s="156"/>
      <c r="AO35" s="159">
        <v>82457.45</v>
      </c>
      <c r="AP35" s="156"/>
      <c r="AQ35" s="156"/>
      <c r="AR35" s="159">
        <v>540797.25</v>
      </c>
      <c r="AS35" s="156"/>
      <c r="AT35" s="156"/>
      <c r="AU35" s="159">
        <v>654758.96</v>
      </c>
      <c r="AV35" s="156"/>
      <c r="AW35" s="156"/>
      <c r="AX35" s="159">
        <v>187616.89</v>
      </c>
      <c r="AY35" s="156"/>
      <c r="AZ35" s="156"/>
      <c r="BA35" s="156"/>
    </row>
    <row r="36" spans="1:53" ht="14.45" customHeight="1" x14ac:dyDescent="0.25">
      <c r="A36" s="158" t="s">
        <v>334</v>
      </c>
      <c r="B36" s="156"/>
      <c r="C36" s="159">
        <v>649576.34</v>
      </c>
      <c r="D36" s="156"/>
      <c r="E36" s="156"/>
      <c r="F36" s="159">
        <v>156024.34</v>
      </c>
      <c r="G36" s="156"/>
      <c r="H36" s="156"/>
      <c r="I36" s="159">
        <v>145506.68</v>
      </c>
      <c r="J36" s="156"/>
      <c r="K36" s="156"/>
      <c r="L36" s="159">
        <v>109374.05</v>
      </c>
      <c r="M36" s="156"/>
      <c r="N36" s="156"/>
      <c r="O36" s="159">
        <v>199053.28</v>
      </c>
      <c r="P36" s="156"/>
      <c r="Q36" s="156"/>
      <c r="R36" s="156"/>
      <c r="S36" s="156"/>
      <c r="T36" s="159">
        <v>151853.45000000001</v>
      </c>
      <c r="U36" s="156"/>
      <c r="V36" s="156"/>
      <c r="W36" s="159">
        <v>131840.44</v>
      </c>
      <c r="X36" s="156"/>
      <c r="Y36" s="156"/>
      <c r="Z36" s="159">
        <v>157527</v>
      </c>
      <c r="AA36" s="156"/>
      <c r="AB36" s="156"/>
      <c r="AC36" s="159">
        <v>131718.26</v>
      </c>
      <c r="AD36" s="156"/>
      <c r="AE36" s="156"/>
      <c r="AF36" s="159">
        <v>115010.31</v>
      </c>
      <c r="AG36" s="156"/>
      <c r="AH36" s="156"/>
      <c r="AI36" s="159">
        <v>114063.93</v>
      </c>
      <c r="AJ36" s="156"/>
      <c r="AK36" s="156"/>
      <c r="AL36" s="159">
        <v>111009.38</v>
      </c>
      <c r="AM36" s="156"/>
      <c r="AN36" s="156"/>
      <c r="AO36" s="159">
        <v>97784.138999999996</v>
      </c>
      <c r="AP36" s="156"/>
      <c r="AQ36" s="156"/>
      <c r="AR36" s="159">
        <v>79878.649999999994</v>
      </c>
      <c r="AS36" s="156"/>
      <c r="AT36" s="156"/>
      <c r="AU36" s="159">
        <v>120076.53</v>
      </c>
      <c r="AV36" s="156"/>
      <c r="AW36" s="156"/>
      <c r="AX36" s="159">
        <v>93451.14</v>
      </c>
      <c r="AY36" s="156"/>
      <c r="AZ36" s="156"/>
      <c r="BA36" s="156"/>
    </row>
    <row r="37" spans="1:53" ht="14.45" customHeight="1" x14ac:dyDescent="0.25">
      <c r="A37" s="158" t="s">
        <v>335</v>
      </c>
      <c r="B37" s="156"/>
      <c r="C37" s="159">
        <v>893268.51</v>
      </c>
      <c r="D37" s="156"/>
      <c r="E37" s="156"/>
      <c r="F37" s="159">
        <v>608644.80000000005</v>
      </c>
      <c r="G37" s="156"/>
      <c r="H37" s="156"/>
      <c r="I37" s="159">
        <v>592929.6</v>
      </c>
      <c r="J37" s="156"/>
      <c r="K37" s="156"/>
      <c r="L37" s="159">
        <v>905014.57</v>
      </c>
      <c r="M37" s="156"/>
      <c r="N37" s="156"/>
      <c r="O37" s="159">
        <v>434146.89899999998</v>
      </c>
      <c r="P37" s="156"/>
      <c r="Q37" s="156"/>
      <c r="R37" s="156"/>
      <c r="S37" s="156"/>
      <c r="T37" s="159">
        <v>556333.86</v>
      </c>
      <c r="U37" s="156"/>
      <c r="V37" s="156"/>
      <c r="W37" s="159">
        <v>468851.51</v>
      </c>
      <c r="X37" s="156"/>
      <c r="Y37" s="156"/>
      <c r="Z37" s="159">
        <v>490669.02</v>
      </c>
      <c r="AA37" s="156"/>
      <c r="AB37" s="156"/>
      <c r="AC37" s="159">
        <v>1794826.19</v>
      </c>
      <c r="AD37" s="156"/>
      <c r="AE37" s="156"/>
      <c r="AF37" s="159">
        <v>2515257.06</v>
      </c>
      <c r="AG37" s="156"/>
      <c r="AH37" s="156"/>
      <c r="AI37" s="159">
        <v>1620221.77</v>
      </c>
      <c r="AJ37" s="156"/>
      <c r="AK37" s="156"/>
      <c r="AL37" s="159">
        <v>1455248.8689999999</v>
      </c>
      <c r="AM37" s="156"/>
      <c r="AN37" s="156"/>
      <c r="AO37" s="159">
        <v>1371419.91</v>
      </c>
      <c r="AP37" s="156"/>
      <c r="AQ37" s="156"/>
      <c r="AR37" s="159">
        <v>1173371.6399999999</v>
      </c>
      <c r="AS37" s="156"/>
      <c r="AT37" s="156"/>
      <c r="AU37" s="159">
        <v>799025.24</v>
      </c>
      <c r="AV37" s="156"/>
      <c r="AW37" s="156"/>
      <c r="AX37" s="159">
        <v>1147402.0789999999</v>
      </c>
      <c r="AY37" s="156"/>
      <c r="AZ37" s="156"/>
      <c r="BA37" s="156"/>
    </row>
    <row r="38" spans="1:53" ht="14.45" customHeight="1" x14ac:dyDescent="0.25">
      <c r="A38" s="156"/>
      <c r="B38" s="156"/>
      <c r="C38" s="156"/>
      <c r="D38" s="156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  <c r="AV38" s="156"/>
      <c r="AW38" s="156"/>
      <c r="AX38" s="156"/>
      <c r="AY38" s="156"/>
      <c r="AZ38" s="156"/>
      <c r="BA38" s="156"/>
    </row>
    <row r="39" spans="1:53" ht="14.45" customHeight="1" x14ac:dyDescent="0.25">
      <c r="A39" s="158" t="s">
        <v>336</v>
      </c>
      <c r="B39" s="156"/>
      <c r="C39" s="159">
        <v>6418032.4800000004</v>
      </c>
      <c r="D39" s="156"/>
      <c r="E39" s="156"/>
      <c r="F39" s="159">
        <v>2909680.76</v>
      </c>
      <c r="G39" s="156"/>
      <c r="H39" s="156"/>
      <c r="I39" s="159">
        <v>3184192.39</v>
      </c>
      <c r="J39" s="156"/>
      <c r="K39" s="156"/>
      <c r="L39" s="159">
        <v>2873801.55</v>
      </c>
      <c r="M39" s="156"/>
      <c r="N39" s="156"/>
      <c r="O39" s="159">
        <v>3528393.1</v>
      </c>
      <c r="P39" s="156"/>
      <c r="Q39" s="156"/>
      <c r="R39" s="156"/>
      <c r="S39" s="156"/>
      <c r="T39" s="159">
        <v>2892993.92</v>
      </c>
      <c r="U39" s="156"/>
      <c r="V39" s="156"/>
      <c r="W39" s="159">
        <v>3577311.66</v>
      </c>
      <c r="X39" s="156"/>
      <c r="Y39" s="156"/>
      <c r="Z39" s="159">
        <v>2610408.59</v>
      </c>
      <c r="AA39" s="156"/>
      <c r="AB39" s="156"/>
      <c r="AC39" s="159">
        <v>2940211.98</v>
      </c>
      <c r="AD39" s="156"/>
      <c r="AE39" s="156"/>
      <c r="AF39" s="159">
        <v>4009401.92</v>
      </c>
      <c r="AG39" s="156"/>
      <c r="AH39" s="156"/>
      <c r="AI39" s="159">
        <v>3457196.7</v>
      </c>
      <c r="AJ39" s="156"/>
      <c r="AK39" s="156"/>
      <c r="AL39" s="159">
        <v>3812465.17</v>
      </c>
      <c r="AM39" s="156"/>
      <c r="AN39" s="156"/>
      <c r="AO39" s="159">
        <v>3172171.03</v>
      </c>
      <c r="AP39" s="156"/>
      <c r="AQ39" s="156"/>
      <c r="AR39" s="159">
        <v>2988447.08</v>
      </c>
      <c r="AS39" s="156"/>
      <c r="AT39" s="156"/>
      <c r="AU39" s="159">
        <v>3263217.18</v>
      </c>
      <c r="AV39" s="156"/>
      <c r="AW39" s="156"/>
      <c r="AX39" s="159">
        <v>3584824.99</v>
      </c>
      <c r="AY39" s="156"/>
      <c r="AZ39" s="156"/>
      <c r="BA39" s="156"/>
    </row>
    <row r="40" spans="1:53" ht="14.45" customHeight="1" x14ac:dyDescent="0.25">
      <c r="A40" s="156"/>
      <c r="B40" s="156"/>
      <c r="C40" s="156"/>
      <c r="D40" s="156"/>
      <c r="E40" s="156"/>
      <c r="F40" s="156"/>
      <c r="G40" s="156"/>
      <c r="H40" s="156"/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56"/>
      <c r="AR40" s="156"/>
      <c r="AS40" s="156"/>
      <c r="AT40" s="156"/>
      <c r="AU40" s="156"/>
      <c r="AV40" s="156"/>
      <c r="AW40" s="156"/>
      <c r="AX40" s="156"/>
      <c r="AY40" s="156"/>
      <c r="AZ40" s="156"/>
      <c r="BA40" s="156"/>
    </row>
    <row r="41" spans="1:53" ht="14.45" customHeight="1" x14ac:dyDescent="0.25">
      <c r="A41" s="158" t="s">
        <v>337</v>
      </c>
      <c r="B41" s="156"/>
      <c r="C41" s="159">
        <v>3624543.86</v>
      </c>
      <c r="D41" s="156"/>
      <c r="E41" s="156"/>
      <c r="F41" s="159">
        <v>1549219.89</v>
      </c>
      <c r="G41" s="156"/>
      <c r="H41" s="156"/>
      <c r="I41" s="159">
        <v>1916471.63</v>
      </c>
      <c r="J41" s="156"/>
      <c r="K41" s="156"/>
      <c r="L41" s="159">
        <v>1785627.3</v>
      </c>
      <c r="M41" s="156"/>
      <c r="N41" s="156"/>
      <c r="O41" s="159">
        <v>1728643.18</v>
      </c>
      <c r="P41" s="156"/>
      <c r="Q41" s="156"/>
      <c r="R41" s="156"/>
      <c r="S41" s="156"/>
      <c r="T41" s="159">
        <v>1702519.67</v>
      </c>
      <c r="U41" s="156"/>
      <c r="V41" s="156"/>
      <c r="W41" s="159">
        <v>1441767.52</v>
      </c>
      <c r="X41" s="156"/>
      <c r="Y41" s="156"/>
      <c r="Z41" s="159">
        <v>1536916.3689999999</v>
      </c>
      <c r="AA41" s="156"/>
      <c r="AB41" s="156"/>
      <c r="AC41" s="159">
        <v>848754.429</v>
      </c>
      <c r="AD41" s="156"/>
      <c r="AE41" s="156"/>
      <c r="AF41" s="159">
        <v>2881708.47</v>
      </c>
      <c r="AG41" s="156"/>
      <c r="AH41" s="156"/>
      <c r="AI41" s="159">
        <v>2637170.83</v>
      </c>
      <c r="AJ41" s="156"/>
      <c r="AK41" s="156"/>
      <c r="AL41" s="159">
        <v>2808782.2</v>
      </c>
      <c r="AM41" s="156"/>
      <c r="AN41" s="156"/>
      <c r="AO41" s="159">
        <v>2520820.1189999999</v>
      </c>
      <c r="AP41" s="156"/>
      <c r="AQ41" s="156"/>
      <c r="AR41" s="159">
        <v>2281282.9300000002</v>
      </c>
      <c r="AS41" s="156"/>
      <c r="AT41" s="156"/>
      <c r="AU41" s="159">
        <v>2428752.83</v>
      </c>
      <c r="AV41" s="156"/>
      <c r="AW41" s="156"/>
      <c r="AX41" s="159">
        <v>2653378.11</v>
      </c>
      <c r="AY41" s="156"/>
      <c r="AZ41" s="156"/>
      <c r="BA41" s="156"/>
    </row>
    <row r="42" spans="1:53" ht="14.45" customHeight="1" x14ac:dyDescent="0.25">
      <c r="A42" s="158" t="s">
        <v>338</v>
      </c>
      <c r="B42" s="156"/>
      <c r="C42" s="177">
        <v>133</v>
      </c>
      <c r="D42" s="156"/>
      <c r="E42" s="156"/>
      <c r="F42" s="177">
        <v>119</v>
      </c>
      <c r="G42" s="156"/>
      <c r="H42" s="156"/>
      <c r="I42" s="177">
        <v>108</v>
      </c>
      <c r="J42" s="156"/>
      <c r="K42" s="156"/>
      <c r="L42" s="177">
        <v>98</v>
      </c>
      <c r="M42" s="156"/>
      <c r="N42" s="156"/>
      <c r="O42" s="177">
        <v>94</v>
      </c>
      <c r="P42" s="156"/>
      <c r="Q42" s="156"/>
      <c r="R42" s="156"/>
      <c r="S42" s="156"/>
      <c r="T42" s="177">
        <v>88</v>
      </c>
      <c r="U42" s="156"/>
      <c r="V42" s="156"/>
      <c r="W42" s="177">
        <v>82</v>
      </c>
      <c r="X42" s="156"/>
      <c r="Y42" s="156"/>
      <c r="Z42" s="177">
        <v>90</v>
      </c>
      <c r="AA42" s="156"/>
      <c r="AB42" s="156"/>
      <c r="AC42" s="177">
        <v>97</v>
      </c>
      <c r="AD42" s="156"/>
      <c r="AE42" s="156"/>
      <c r="AF42" s="177">
        <v>90</v>
      </c>
      <c r="AG42" s="156"/>
      <c r="AH42" s="156"/>
      <c r="AI42" s="177">
        <v>76</v>
      </c>
      <c r="AJ42" s="156"/>
      <c r="AK42" s="156"/>
      <c r="AL42" s="177">
        <v>72</v>
      </c>
      <c r="AM42" s="156"/>
      <c r="AN42" s="156"/>
      <c r="AO42" s="177">
        <v>70</v>
      </c>
      <c r="AP42" s="156"/>
      <c r="AQ42" s="156"/>
      <c r="AR42" s="177">
        <v>69</v>
      </c>
      <c r="AS42" s="156"/>
      <c r="AT42" s="156"/>
      <c r="AU42" s="177">
        <v>70</v>
      </c>
      <c r="AV42" s="156"/>
      <c r="AW42" s="156"/>
      <c r="AX42" s="177">
        <v>0</v>
      </c>
      <c r="AY42" s="156"/>
      <c r="AZ42" s="156"/>
      <c r="BA42" s="156"/>
    </row>
    <row r="43" spans="1:53" ht="14.45" customHeight="1" x14ac:dyDescent="0.25">
      <c r="A43" s="156"/>
      <c r="B43" s="156"/>
      <c r="C43" s="156"/>
      <c r="D43" s="156"/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6"/>
      <c r="AR43" s="156"/>
      <c r="AS43" s="156"/>
      <c r="AT43" s="156"/>
      <c r="AU43" s="156"/>
      <c r="AV43" s="156"/>
      <c r="AW43" s="156"/>
      <c r="AX43" s="156"/>
      <c r="AY43" s="156"/>
      <c r="AZ43" s="156"/>
      <c r="BA43" s="156"/>
    </row>
    <row r="44" spans="1:53" ht="14.45" customHeight="1" x14ac:dyDescent="0.25">
      <c r="A44" s="164" t="s">
        <v>339</v>
      </c>
      <c r="B44" s="156"/>
      <c r="C44" s="162"/>
      <c r="D44" s="156"/>
      <c r="E44" s="156"/>
      <c r="F44" s="162"/>
      <c r="G44" s="156"/>
      <c r="H44" s="156"/>
      <c r="I44" s="162"/>
      <c r="J44" s="156"/>
      <c r="K44" s="156"/>
      <c r="L44" s="162"/>
      <c r="M44" s="156"/>
      <c r="N44" s="156"/>
      <c r="O44" s="162"/>
      <c r="P44" s="156"/>
      <c r="Q44" s="156"/>
      <c r="R44" s="156"/>
      <c r="S44" s="156"/>
      <c r="T44" s="162"/>
      <c r="U44" s="156"/>
      <c r="V44" s="156"/>
      <c r="W44" s="162"/>
      <c r="X44" s="156"/>
      <c r="Y44" s="156"/>
      <c r="Z44" s="162"/>
      <c r="AA44" s="156"/>
      <c r="AB44" s="156"/>
      <c r="AC44" s="162"/>
      <c r="AD44" s="156"/>
      <c r="AE44" s="156"/>
      <c r="AF44" s="162"/>
      <c r="AG44" s="156"/>
      <c r="AH44" s="156"/>
      <c r="AI44" s="162"/>
      <c r="AJ44" s="156"/>
      <c r="AK44" s="156"/>
      <c r="AL44" s="162"/>
      <c r="AM44" s="156"/>
      <c r="AN44" s="156"/>
      <c r="AO44" s="162"/>
      <c r="AP44" s="156"/>
      <c r="AQ44" s="156"/>
      <c r="AR44" s="162"/>
      <c r="AS44" s="156"/>
      <c r="AT44" s="156"/>
      <c r="AU44" s="162"/>
      <c r="AV44" s="156"/>
      <c r="AW44" s="156"/>
      <c r="AX44" s="162"/>
      <c r="AY44" s="156"/>
      <c r="AZ44" s="156"/>
      <c r="BA44" s="156"/>
    </row>
    <row r="45" spans="1:53" ht="14.45" customHeight="1" x14ac:dyDescent="0.25">
      <c r="A45" s="158" t="s">
        <v>340</v>
      </c>
      <c r="B45" s="156"/>
      <c r="C45" s="159">
        <v>9819107.6699999999</v>
      </c>
      <c r="D45" s="156"/>
      <c r="E45" s="156"/>
      <c r="F45" s="159">
        <v>6071892.5290000001</v>
      </c>
      <c r="G45" s="156"/>
      <c r="H45" s="156"/>
      <c r="I45" s="159">
        <v>5729821.2999999998</v>
      </c>
      <c r="J45" s="156"/>
      <c r="K45" s="156"/>
      <c r="L45" s="159">
        <v>5590678.8499999996</v>
      </c>
      <c r="M45" s="156"/>
      <c r="N45" s="156"/>
      <c r="O45" s="159">
        <v>5544552.2800000003</v>
      </c>
      <c r="P45" s="156"/>
      <c r="Q45" s="156"/>
      <c r="R45" s="156"/>
      <c r="S45" s="156"/>
      <c r="T45" s="159">
        <v>5577142.6299999999</v>
      </c>
      <c r="U45" s="156"/>
      <c r="V45" s="156"/>
      <c r="W45" s="159">
        <v>5373516.6900000004</v>
      </c>
      <c r="X45" s="156"/>
      <c r="Y45" s="156"/>
      <c r="Z45" s="159">
        <v>5172400.7699999996</v>
      </c>
      <c r="AA45" s="156"/>
      <c r="AB45" s="156"/>
      <c r="AC45" s="159">
        <v>7788028.4100000001</v>
      </c>
      <c r="AD45" s="156"/>
      <c r="AE45" s="156"/>
      <c r="AF45" s="159">
        <v>8475997.1879999992</v>
      </c>
      <c r="AG45" s="156"/>
      <c r="AH45" s="156"/>
      <c r="AI45" s="159">
        <v>9110207.0899999999</v>
      </c>
      <c r="AJ45" s="156"/>
      <c r="AK45" s="156"/>
      <c r="AL45" s="159">
        <v>9614919.9399999995</v>
      </c>
      <c r="AM45" s="156"/>
      <c r="AN45" s="156"/>
      <c r="AO45" s="159">
        <v>9072479.9800000004</v>
      </c>
      <c r="AP45" s="156"/>
      <c r="AQ45" s="156"/>
      <c r="AR45" s="159">
        <v>8603243</v>
      </c>
      <c r="AS45" s="156"/>
      <c r="AT45" s="156"/>
      <c r="AU45" s="159">
        <v>8844999.1199999992</v>
      </c>
      <c r="AV45" s="156"/>
      <c r="AW45" s="156"/>
      <c r="AX45" s="159">
        <v>8934353.0399999991</v>
      </c>
      <c r="AY45" s="156"/>
      <c r="AZ45" s="156"/>
      <c r="BA45" s="156"/>
    </row>
    <row r="46" spans="1:53" ht="14.45" customHeight="1" x14ac:dyDescent="0.25">
      <c r="A46" s="158" t="s">
        <v>341</v>
      </c>
      <c r="B46" s="156"/>
      <c r="C46" s="159">
        <v>9791110.8900000006</v>
      </c>
      <c r="D46" s="156"/>
      <c r="E46" s="156"/>
      <c r="F46" s="159">
        <v>6055313.9699999997</v>
      </c>
      <c r="G46" s="156"/>
      <c r="H46" s="156"/>
      <c r="I46" s="159">
        <v>5712463.54</v>
      </c>
      <c r="J46" s="156"/>
      <c r="K46" s="156"/>
      <c r="L46" s="159">
        <v>5563102.9400000004</v>
      </c>
      <c r="M46" s="156"/>
      <c r="N46" s="156"/>
      <c r="O46" s="159">
        <v>5530345.9199999999</v>
      </c>
      <c r="P46" s="156"/>
      <c r="Q46" s="156"/>
      <c r="R46" s="156"/>
      <c r="S46" s="156"/>
      <c r="T46" s="159">
        <v>5557246.8799999999</v>
      </c>
      <c r="U46" s="156"/>
      <c r="V46" s="156"/>
      <c r="W46" s="159">
        <v>5360288.9000000004</v>
      </c>
      <c r="X46" s="156"/>
      <c r="Y46" s="156"/>
      <c r="Z46" s="159">
        <v>5159943.7</v>
      </c>
      <c r="AA46" s="156"/>
      <c r="AB46" s="156"/>
      <c r="AC46" s="159">
        <v>7779027.9900000002</v>
      </c>
      <c r="AD46" s="156"/>
      <c r="AE46" s="156"/>
      <c r="AF46" s="159">
        <v>8457119.2780000009</v>
      </c>
      <c r="AG46" s="156"/>
      <c r="AH46" s="156"/>
      <c r="AI46" s="159">
        <v>9076413.8200000003</v>
      </c>
      <c r="AJ46" s="156"/>
      <c r="AK46" s="156"/>
      <c r="AL46" s="159">
        <v>9614199.9399999995</v>
      </c>
      <c r="AM46" s="156"/>
      <c r="AN46" s="156"/>
      <c r="AO46" s="159">
        <v>9071549.9800000004</v>
      </c>
      <c r="AP46" s="156"/>
      <c r="AQ46" s="156"/>
      <c r="AR46" s="159">
        <v>8600099.5199999996</v>
      </c>
      <c r="AS46" s="156"/>
      <c r="AT46" s="156"/>
      <c r="AU46" s="159">
        <v>8840316.4499999993</v>
      </c>
      <c r="AV46" s="156"/>
      <c r="AW46" s="156"/>
      <c r="AX46" s="159">
        <v>8929549.7400000002</v>
      </c>
      <c r="AY46" s="156"/>
      <c r="AZ46" s="156"/>
      <c r="BA46" s="156"/>
    </row>
    <row r="47" spans="1:53" ht="14.45" customHeight="1" x14ac:dyDescent="0.25">
      <c r="A47" s="158" t="s">
        <v>342</v>
      </c>
      <c r="B47" s="156"/>
      <c r="C47" s="157" t="s">
        <v>28</v>
      </c>
      <c r="D47" s="156"/>
      <c r="E47" s="156"/>
      <c r="F47" s="157" t="s">
        <v>28</v>
      </c>
      <c r="G47" s="156"/>
      <c r="H47" s="156"/>
      <c r="I47" s="157" t="s">
        <v>28</v>
      </c>
      <c r="J47" s="156"/>
      <c r="K47" s="156"/>
      <c r="L47" s="157" t="s">
        <v>28</v>
      </c>
      <c r="M47" s="156"/>
      <c r="N47" s="156"/>
      <c r="O47" s="157" t="s">
        <v>28</v>
      </c>
      <c r="P47" s="156"/>
      <c r="Q47" s="156"/>
      <c r="R47" s="156"/>
      <c r="S47" s="156"/>
      <c r="T47" s="157" t="s">
        <v>28</v>
      </c>
      <c r="U47" s="156"/>
      <c r="V47" s="156"/>
      <c r="W47" s="157" t="s">
        <v>28</v>
      </c>
      <c r="X47" s="156"/>
      <c r="Y47" s="156"/>
      <c r="Z47" s="157" t="s">
        <v>28</v>
      </c>
      <c r="AA47" s="156"/>
      <c r="AB47" s="156"/>
      <c r="AC47" s="157" t="s">
        <v>28</v>
      </c>
      <c r="AD47" s="156"/>
      <c r="AE47" s="156"/>
      <c r="AF47" s="157" t="s">
        <v>28</v>
      </c>
      <c r="AG47" s="156"/>
      <c r="AH47" s="156"/>
      <c r="AI47" s="157" t="s">
        <v>28</v>
      </c>
      <c r="AJ47" s="156"/>
      <c r="AK47" s="156"/>
      <c r="AL47" s="157" t="s">
        <v>28</v>
      </c>
      <c r="AM47" s="156"/>
      <c r="AN47" s="156"/>
      <c r="AO47" s="157" t="s">
        <v>28</v>
      </c>
      <c r="AP47" s="156"/>
      <c r="AQ47" s="156"/>
      <c r="AR47" s="157" t="s">
        <v>28</v>
      </c>
      <c r="AS47" s="156"/>
      <c r="AT47" s="156"/>
      <c r="AU47" s="157" t="s">
        <v>28</v>
      </c>
      <c r="AV47" s="156"/>
      <c r="AW47" s="156"/>
      <c r="AX47" s="157" t="s">
        <v>28</v>
      </c>
      <c r="AY47" s="156"/>
      <c r="AZ47" s="156"/>
      <c r="BA47" s="156"/>
    </row>
    <row r="48" spans="1:53" ht="14.45" customHeight="1" x14ac:dyDescent="0.25">
      <c r="A48" s="158" t="s">
        <v>343</v>
      </c>
      <c r="B48" s="156"/>
      <c r="C48" s="157" t="s">
        <v>28</v>
      </c>
      <c r="D48" s="156"/>
      <c r="E48" s="156"/>
      <c r="F48" s="157" t="s">
        <v>28</v>
      </c>
      <c r="G48" s="156"/>
      <c r="H48" s="156"/>
      <c r="I48" s="157" t="s">
        <v>28</v>
      </c>
      <c r="J48" s="156"/>
      <c r="K48" s="156"/>
      <c r="L48" s="157" t="s">
        <v>28</v>
      </c>
      <c r="M48" s="156"/>
      <c r="N48" s="156"/>
      <c r="O48" s="157" t="s">
        <v>28</v>
      </c>
      <c r="P48" s="156"/>
      <c r="Q48" s="156"/>
      <c r="R48" s="156"/>
      <c r="S48" s="156"/>
      <c r="T48" s="157" t="s">
        <v>28</v>
      </c>
      <c r="U48" s="156"/>
      <c r="V48" s="156"/>
      <c r="W48" s="157" t="s">
        <v>28</v>
      </c>
      <c r="X48" s="156"/>
      <c r="Y48" s="156"/>
      <c r="Z48" s="157" t="s">
        <v>28</v>
      </c>
      <c r="AA48" s="156"/>
      <c r="AB48" s="156"/>
      <c r="AC48" s="157" t="s">
        <v>28</v>
      </c>
      <c r="AD48" s="156"/>
      <c r="AE48" s="156"/>
      <c r="AF48" s="157" t="s">
        <v>28</v>
      </c>
      <c r="AG48" s="156"/>
      <c r="AH48" s="156"/>
      <c r="AI48" s="157" t="s">
        <v>28</v>
      </c>
      <c r="AJ48" s="156"/>
      <c r="AK48" s="156"/>
      <c r="AL48" s="157" t="s">
        <v>28</v>
      </c>
      <c r="AM48" s="156"/>
      <c r="AN48" s="156"/>
      <c r="AO48" s="157" t="s">
        <v>28</v>
      </c>
      <c r="AP48" s="156"/>
      <c r="AQ48" s="156"/>
      <c r="AR48" s="157" t="s">
        <v>28</v>
      </c>
      <c r="AS48" s="156"/>
      <c r="AT48" s="156"/>
      <c r="AU48" s="157" t="s">
        <v>28</v>
      </c>
      <c r="AV48" s="156"/>
      <c r="AW48" s="156"/>
      <c r="AX48" s="157" t="s">
        <v>28</v>
      </c>
      <c r="AY48" s="156"/>
      <c r="AZ48" s="156"/>
      <c r="BA48" s="156"/>
    </row>
    <row r="49" spans="1:53" ht="14.45" customHeight="1" x14ac:dyDescent="0.25">
      <c r="A49" s="158" t="s">
        <v>344</v>
      </c>
      <c r="B49" s="156"/>
      <c r="C49" s="157" t="s">
        <v>28</v>
      </c>
      <c r="D49" s="156"/>
      <c r="E49" s="156"/>
      <c r="F49" s="157" t="s">
        <v>28</v>
      </c>
      <c r="G49" s="156"/>
      <c r="H49" s="156"/>
      <c r="I49" s="157" t="s">
        <v>28</v>
      </c>
      <c r="J49" s="156"/>
      <c r="K49" s="156"/>
      <c r="L49" s="157" t="s">
        <v>28</v>
      </c>
      <c r="M49" s="156"/>
      <c r="N49" s="156"/>
      <c r="O49" s="157" t="s">
        <v>28</v>
      </c>
      <c r="P49" s="156"/>
      <c r="Q49" s="156"/>
      <c r="R49" s="156"/>
      <c r="S49" s="156"/>
      <c r="T49" s="157" t="s">
        <v>28</v>
      </c>
      <c r="U49" s="156"/>
      <c r="V49" s="156"/>
      <c r="W49" s="157" t="s">
        <v>28</v>
      </c>
      <c r="X49" s="156"/>
      <c r="Y49" s="156"/>
      <c r="Z49" s="157" t="s">
        <v>28</v>
      </c>
      <c r="AA49" s="156"/>
      <c r="AB49" s="156"/>
      <c r="AC49" s="157" t="s">
        <v>28</v>
      </c>
      <c r="AD49" s="156"/>
      <c r="AE49" s="156"/>
      <c r="AF49" s="157" t="s">
        <v>28</v>
      </c>
      <c r="AG49" s="156"/>
      <c r="AH49" s="156"/>
      <c r="AI49" s="157" t="s">
        <v>28</v>
      </c>
      <c r="AJ49" s="156"/>
      <c r="AK49" s="156"/>
      <c r="AL49" s="157" t="s">
        <v>28</v>
      </c>
      <c r="AM49" s="156"/>
      <c r="AN49" s="156"/>
      <c r="AO49" s="157" t="s">
        <v>28</v>
      </c>
      <c r="AP49" s="156"/>
      <c r="AQ49" s="156"/>
      <c r="AR49" s="157" t="s">
        <v>28</v>
      </c>
      <c r="AS49" s="156"/>
      <c r="AT49" s="156"/>
      <c r="AU49" s="157" t="s">
        <v>28</v>
      </c>
      <c r="AV49" s="156"/>
      <c r="AW49" s="156"/>
      <c r="AX49" s="157" t="s">
        <v>28</v>
      </c>
      <c r="AY49" s="156"/>
      <c r="AZ49" s="156"/>
      <c r="BA49" s="156"/>
    </row>
    <row r="50" spans="1:53" ht="14.45" customHeight="1" x14ac:dyDescent="0.25">
      <c r="A50" s="158" t="s">
        <v>345</v>
      </c>
      <c r="B50" s="156"/>
      <c r="C50" s="159">
        <v>2550088.61</v>
      </c>
      <c r="D50" s="156"/>
      <c r="E50" s="156"/>
      <c r="F50" s="159">
        <v>1720394.05</v>
      </c>
      <c r="G50" s="156"/>
      <c r="H50" s="156"/>
      <c r="I50" s="159">
        <v>1689802.86</v>
      </c>
      <c r="J50" s="156"/>
      <c r="K50" s="156"/>
      <c r="L50" s="159">
        <v>1721889.17</v>
      </c>
      <c r="M50" s="156"/>
      <c r="N50" s="156"/>
      <c r="O50" s="159">
        <v>1795931.5</v>
      </c>
      <c r="P50" s="156"/>
      <c r="Q50" s="156"/>
      <c r="R50" s="156"/>
      <c r="S50" s="156"/>
      <c r="T50" s="159">
        <v>2007196.31</v>
      </c>
      <c r="U50" s="156"/>
      <c r="V50" s="156"/>
      <c r="W50" s="159">
        <v>2279985.13</v>
      </c>
      <c r="X50" s="156"/>
      <c r="Y50" s="156"/>
      <c r="Z50" s="159">
        <v>1840824.64</v>
      </c>
      <c r="AA50" s="156"/>
      <c r="AB50" s="156"/>
      <c r="AC50" s="159">
        <v>960279.29</v>
      </c>
      <c r="AD50" s="156"/>
      <c r="AE50" s="156"/>
      <c r="AF50" s="159">
        <v>1312630.5</v>
      </c>
      <c r="AG50" s="156"/>
      <c r="AH50" s="156"/>
      <c r="AI50" s="159">
        <v>1445921.42</v>
      </c>
      <c r="AJ50" s="156"/>
      <c r="AK50" s="156"/>
      <c r="AL50" s="159">
        <v>2005025.2990000001</v>
      </c>
      <c r="AM50" s="156"/>
      <c r="AN50" s="156"/>
      <c r="AO50" s="159">
        <v>1559895.8</v>
      </c>
      <c r="AP50" s="156"/>
      <c r="AQ50" s="156"/>
      <c r="AR50" s="159">
        <v>1164789.179</v>
      </c>
      <c r="AS50" s="156"/>
      <c r="AT50" s="156"/>
      <c r="AU50" s="159">
        <v>1707147.2890000001</v>
      </c>
      <c r="AV50" s="156"/>
      <c r="AW50" s="156"/>
      <c r="AX50" s="159">
        <v>2106765.8990000002</v>
      </c>
      <c r="AY50" s="156"/>
      <c r="AZ50" s="156"/>
      <c r="BA50" s="156"/>
    </row>
    <row r="51" spans="1:53" ht="14.45" customHeight="1" x14ac:dyDescent="0.25">
      <c r="A51" s="158" t="s">
        <v>346</v>
      </c>
      <c r="B51" s="156"/>
      <c r="C51" s="159">
        <v>0</v>
      </c>
      <c r="D51" s="156"/>
      <c r="E51" s="156"/>
      <c r="F51" s="159">
        <v>0</v>
      </c>
      <c r="G51" s="156"/>
      <c r="H51" s="156"/>
      <c r="I51" s="159">
        <v>0</v>
      </c>
      <c r="J51" s="156"/>
      <c r="K51" s="156"/>
      <c r="L51" s="159">
        <v>0</v>
      </c>
      <c r="M51" s="156"/>
      <c r="N51" s="156"/>
      <c r="O51" s="159">
        <v>0</v>
      </c>
      <c r="P51" s="156"/>
      <c r="Q51" s="156"/>
      <c r="R51" s="156"/>
      <c r="S51" s="156"/>
      <c r="T51" s="159">
        <v>0.33</v>
      </c>
      <c r="U51" s="156"/>
      <c r="V51" s="156"/>
      <c r="W51" s="159">
        <v>3.38</v>
      </c>
      <c r="X51" s="156"/>
      <c r="Y51" s="156"/>
      <c r="Z51" s="159">
        <v>0</v>
      </c>
      <c r="AA51" s="156"/>
      <c r="AB51" s="156"/>
      <c r="AC51" s="159">
        <v>0</v>
      </c>
      <c r="AD51" s="156"/>
      <c r="AE51" s="156"/>
      <c r="AF51" s="159">
        <v>0</v>
      </c>
      <c r="AG51" s="156"/>
      <c r="AH51" s="156"/>
      <c r="AI51" s="159">
        <v>0</v>
      </c>
      <c r="AJ51" s="156"/>
      <c r="AK51" s="156"/>
      <c r="AL51" s="159">
        <v>23341.200000000001</v>
      </c>
      <c r="AM51" s="156"/>
      <c r="AN51" s="156"/>
      <c r="AO51" s="159">
        <v>28421.23</v>
      </c>
      <c r="AP51" s="156"/>
      <c r="AQ51" s="156"/>
      <c r="AR51" s="159">
        <v>25339.919999999998</v>
      </c>
      <c r="AS51" s="156"/>
      <c r="AT51" s="156"/>
      <c r="AU51" s="159">
        <v>23348.78</v>
      </c>
      <c r="AV51" s="156"/>
      <c r="AW51" s="156"/>
      <c r="AX51" s="159">
        <v>24959.64</v>
      </c>
      <c r="AY51" s="156"/>
      <c r="AZ51" s="156"/>
      <c r="BA51" s="156"/>
    </row>
    <row r="52" spans="1:53" ht="14.45" customHeight="1" x14ac:dyDescent="0.25">
      <c r="A52" s="158" t="s">
        <v>347</v>
      </c>
      <c r="B52" s="156"/>
      <c r="C52" s="159">
        <v>3432.55</v>
      </c>
      <c r="D52" s="156"/>
      <c r="E52" s="156"/>
      <c r="F52" s="159">
        <v>10127.67</v>
      </c>
      <c r="G52" s="156"/>
      <c r="H52" s="156"/>
      <c r="I52" s="159">
        <v>2337.75</v>
      </c>
      <c r="J52" s="156"/>
      <c r="K52" s="156"/>
      <c r="L52" s="159">
        <v>11107.28</v>
      </c>
      <c r="M52" s="156"/>
      <c r="N52" s="156"/>
      <c r="O52" s="159">
        <v>4531.83</v>
      </c>
      <c r="P52" s="156"/>
      <c r="Q52" s="156"/>
      <c r="R52" s="156"/>
      <c r="S52" s="156"/>
      <c r="T52" s="159">
        <v>19810.89</v>
      </c>
      <c r="U52" s="156"/>
      <c r="V52" s="156"/>
      <c r="W52" s="159">
        <v>23505.72</v>
      </c>
      <c r="X52" s="156"/>
      <c r="Y52" s="156"/>
      <c r="Z52" s="159">
        <v>18668.16</v>
      </c>
      <c r="AA52" s="156"/>
      <c r="AB52" s="156"/>
      <c r="AC52" s="159">
        <v>17017.490000000002</v>
      </c>
      <c r="AD52" s="156"/>
      <c r="AE52" s="156"/>
      <c r="AF52" s="159">
        <v>0</v>
      </c>
      <c r="AG52" s="156"/>
      <c r="AH52" s="156"/>
      <c r="AI52" s="159">
        <v>0</v>
      </c>
      <c r="AJ52" s="156"/>
      <c r="AK52" s="156"/>
      <c r="AL52" s="159">
        <v>11290.02</v>
      </c>
      <c r="AM52" s="156"/>
      <c r="AN52" s="156"/>
      <c r="AO52" s="159">
        <v>30856.28</v>
      </c>
      <c r="AP52" s="156"/>
      <c r="AQ52" s="156"/>
      <c r="AR52" s="159">
        <v>59822.64</v>
      </c>
      <c r="AS52" s="156"/>
      <c r="AT52" s="156"/>
      <c r="AU52" s="159">
        <v>107890.69</v>
      </c>
      <c r="AV52" s="156"/>
      <c r="AW52" s="156"/>
      <c r="AX52" s="159">
        <v>81272.639999999999</v>
      </c>
      <c r="AY52" s="156"/>
      <c r="AZ52" s="156"/>
      <c r="BA52" s="156"/>
    </row>
    <row r="53" spans="1:53" ht="14.45" customHeight="1" x14ac:dyDescent="0.25">
      <c r="A53" s="158" t="s">
        <v>348</v>
      </c>
      <c r="B53" s="156"/>
      <c r="C53" s="159">
        <v>-3432.55</v>
      </c>
      <c r="D53" s="156"/>
      <c r="E53" s="156"/>
      <c r="F53" s="159">
        <v>-10127.67</v>
      </c>
      <c r="G53" s="156"/>
      <c r="H53" s="156"/>
      <c r="I53" s="159">
        <v>-2337.75</v>
      </c>
      <c r="J53" s="156"/>
      <c r="K53" s="156"/>
      <c r="L53" s="159">
        <v>-11107.28</v>
      </c>
      <c r="M53" s="156"/>
      <c r="N53" s="156"/>
      <c r="O53" s="159">
        <v>-4531.83</v>
      </c>
      <c r="P53" s="156"/>
      <c r="Q53" s="156"/>
      <c r="R53" s="156"/>
      <c r="S53" s="156"/>
      <c r="T53" s="159">
        <v>-19810.559000000001</v>
      </c>
      <c r="U53" s="156"/>
      <c r="V53" s="156"/>
      <c r="W53" s="159">
        <v>-23502.34</v>
      </c>
      <c r="X53" s="156"/>
      <c r="Y53" s="156"/>
      <c r="Z53" s="159">
        <v>-18668.16</v>
      </c>
      <c r="AA53" s="156"/>
      <c r="AB53" s="156"/>
      <c r="AC53" s="159">
        <v>-17017.490000000002</v>
      </c>
      <c r="AD53" s="156"/>
      <c r="AE53" s="156"/>
      <c r="AF53" s="159">
        <v>0</v>
      </c>
      <c r="AG53" s="156"/>
      <c r="AH53" s="156"/>
      <c r="AI53" s="159">
        <v>0</v>
      </c>
      <c r="AJ53" s="156"/>
      <c r="AK53" s="156"/>
      <c r="AL53" s="159">
        <v>12051.18</v>
      </c>
      <c r="AM53" s="156"/>
      <c r="AN53" s="156"/>
      <c r="AO53" s="159">
        <v>-2435.049</v>
      </c>
      <c r="AP53" s="156"/>
      <c r="AQ53" s="156"/>
      <c r="AR53" s="159">
        <v>-34482.720000000001</v>
      </c>
      <c r="AS53" s="156"/>
      <c r="AT53" s="156"/>
      <c r="AU53" s="159">
        <v>-84541.91</v>
      </c>
      <c r="AV53" s="156"/>
      <c r="AW53" s="156"/>
      <c r="AX53" s="159">
        <v>-56313</v>
      </c>
      <c r="AY53" s="156"/>
      <c r="AZ53" s="156"/>
      <c r="BA53" s="156"/>
    </row>
    <row r="54" spans="1:53" ht="14.45" customHeight="1" x14ac:dyDescent="0.25">
      <c r="A54" s="158" t="s">
        <v>349</v>
      </c>
      <c r="B54" s="156"/>
      <c r="C54" s="159">
        <v>2546656.06</v>
      </c>
      <c r="D54" s="156"/>
      <c r="E54" s="156"/>
      <c r="F54" s="159">
        <v>1710266.38</v>
      </c>
      <c r="G54" s="156"/>
      <c r="H54" s="156"/>
      <c r="I54" s="159">
        <v>1687465.11</v>
      </c>
      <c r="J54" s="156"/>
      <c r="K54" s="156"/>
      <c r="L54" s="159">
        <v>1710781.89</v>
      </c>
      <c r="M54" s="156"/>
      <c r="N54" s="156"/>
      <c r="O54" s="159">
        <v>1791399.67</v>
      </c>
      <c r="P54" s="156"/>
      <c r="Q54" s="156"/>
      <c r="R54" s="156"/>
      <c r="S54" s="156"/>
      <c r="T54" s="159">
        <v>1987385.75</v>
      </c>
      <c r="U54" s="156"/>
      <c r="V54" s="156"/>
      <c r="W54" s="159">
        <v>2256482.79</v>
      </c>
      <c r="X54" s="156"/>
      <c r="Y54" s="156"/>
      <c r="Z54" s="159">
        <v>1822156.48</v>
      </c>
      <c r="AA54" s="156"/>
      <c r="AB54" s="156"/>
      <c r="AC54" s="159">
        <v>943261.8</v>
      </c>
      <c r="AD54" s="156"/>
      <c r="AE54" s="156"/>
      <c r="AF54" s="159">
        <v>1312630.5</v>
      </c>
      <c r="AG54" s="156"/>
      <c r="AH54" s="156"/>
      <c r="AI54" s="159">
        <v>1445921.42</v>
      </c>
      <c r="AJ54" s="156"/>
      <c r="AK54" s="156"/>
      <c r="AL54" s="159">
        <v>2017076.4790000001</v>
      </c>
      <c r="AM54" s="156"/>
      <c r="AN54" s="156"/>
      <c r="AO54" s="159">
        <v>1557460.75</v>
      </c>
      <c r="AP54" s="156"/>
      <c r="AQ54" s="156"/>
      <c r="AR54" s="159">
        <v>1130306.459</v>
      </c>
      <c r="AS54" s="156"/>
      <c r="AT54" s="156"/>
      <c r="AU54" s="159">
        <v>1622605.379</v>
      </c>
      <c r="AV54" s="156"/>
      <c r="AW54" s="156"/>
      <c r="AX54" s="159">
        <v>2050452.899</v>
      </c>
      <c r="AY54" s="156"/>
      <c r="AZ54" s="156"/>
      <c r="BA54" s="156"/>
    </row>
    <row r="55" spans="1:53" ht="14.45" customHeight="1" x14ac:dyDescent="0.25">
      <c r="A55" s="158" t="s">
        <v>350</v>
      </c>
      <c r="B55" s="156"/>
      <c r="C55" s="159">
        <v>290179.95</v>
      </c>
      <c r="D55" s="156"/>
      <c r="E55" s="156"/>
      <c r="F55" s="159">
        <v>415274.19</v>
      </c>
      <c r="G55" s="156"/>
      <c r="H55" s="156"/>
      <c r="I55" s="159">
        <v>401121.44</v>
      </c>
      <c r="J55" s="156"/>
      <c r="K55" s="156"/>
      <c r="L55" s="159">
        <v>415583.02</v>
      </c>
      <c r="M55" s="156"/>
      <c r="N55" s="156"/>
      <c r="O55" s="159">
        <v>23802.38</v>
      </c>
      <c r="P55" s="156"/>
      <c r="Q55" s="156"/>
      <c r="R55" s="156"/>
      <c r="S55" s="156"/>
      <c r="T55" s="159">
        <v>18965.560000000001</v>
      </c>
      <c r="U55" s="156"/>
      <c r="V55" s="156"/>
      <c r="W55" s="159">
        <v>18296.16</v>
      </c>
      <c r="X55" s="156"/>
      <c r="Y55" s="156"/>
      <c r="Z55" s="159">
        <v>11187.98</v>
      </c>
      <c r="AA55" s="156"/>
      <c r="AB55" s="156"/>
      <c r="AC55" s="159">
        <v>13302.59</v>
      </c>
      <c r="AD55" s="156"/>
      <c r="AE55" s="156"/>
      <c r="AF55" s="159">
        <v>0</v>
      </c>
      <c r="AG55" s="156"/>
      <c r="AH55" s="156"/>
      <c r="AI55" s="159">
        <v>0</v>
      </c>
      <c r="AJ55" s="156"/>
      <c r="AK55" s="156"/>
      <c r="AL55" s="159">
        <v>0</v>
      </c>
      <c r="AM55" s="156"/>
      <c r="AN55" s="156"/>
      <c r="AO55" s="159">
        <v>0</v>
      </c>
      <c r="AP55" s="156"/>
      <c r="AQ55" s="156"/>
      <c r="AR55" s="159">
        <v>0</v>
      </c>
      <c r="AS55" s="156"/>
      <c r="AT55" s="156"/>
      <c r="AU55" s="159">
        <v>0</v>
      </c>
      <c r="AV55" s="156"/>
      <c r="AW55" s="156"/>
      <c r="AX55" s="159">
        <v>0</v>
      </c>
      <c r="AY55" s="156"/>
      <c r="AZ55" s="156"/>
      <c r="BA55" s="156"/>
    </row>
    <row r="56" spans="1:53" ht="14.45" customHeight="1" x14ac:dyDescent="0.25">
      <c r="A56" s="158" t="s">
        <v>351</v>
      </c>
      <c r="B56" s="156"/>
      <c r="C56" s="159">
        <v>2256476.11</v>
      </c>
      <c r="D56" s="156"/>
      <c r="E56" s="156"/>
      <c r="F56" s="159">
        <v>1294992.19</v>
      </c>
      <c r="G56" s="156"/>
      <c r="H56" s="156"/>
      <c r="I56" s="159">
        <v>1286343.67</v>
      </c>
      <c r="J56" s="156"/>
      <c r="K56" s="156"/>
      <c r="L56" s="159">
        <v>1295198.8689999999</v>
      </c>
      <c r="M56" s="156"/>
      <c r="N56" s="156"/>
      <c r="O56" s="159">
        <v>1767597.29</v>
      </c>
      <c r="P56" s="156"/>
      <c r="Q56" s="156"/>
      <c r="R56" s="156"/>
      <c r="S56" s="156"/>
      <c r="T56" s="159">
        <v>1968420.19</v>
      </c>
      <c r="U56" s="156"/>
      <c r="V56" s="156"/>
      <c r="W56" s="159">
        <v>2238186.63</v>
      </c>
      <c r="X56" s="156"/>
      <c r="Y56" s="156"/>
      <c r="Z56" s="159">
        <v>1810968.5</v>
      </c>
      <c r="AA56" s="156"/>
      <c r="AB56" s="156"/>
      <c r="AC56" s="159">
        <v>929959.21</v>
      </c>
      <c r="AD56" s="156"/>
      <c r="AE56" s="156"/>
      <c r="AF56" s="159">
        <v>1312630.5</v>
      </c>
      <c r="AG56" s="156"/>
      <c r="AH56" s="156"/>
      <c r="AI56" s="159">
        <v>1445921.42</v>
      </c>
      <c r="AJ56" s="156"/>
      <c r="AK56" s="156"/>
      <c r="AL56" s="159">
        <v>2017076.4790000001</v>
      </c>
      <c r="AM56" s="156"/>
      <c r="AN56" s="156"/>
      <c r="AO56" s="159">
        <v>1557460.75</v>
      </c>
      <c r="AP56" s="156"/>
      <c r="AQ56" s="156"/>
      <c r="AR56" s="159">
        <v>1130306.459</v>
      </c>
      <c r="AS56" s="156"/>
      <c r="AT56" s="156"/>
      <c r="AU56" s="159">
        <v>1622605.379</v>
      </c>
      <c r="AV56" s="156"/>
      <c r="AW56" s="156"/>
      <c r="AX56" s="159">
        <v>2050452.899</v>
      </c>
      <c r="AY56" s="156"/>
      <c r="AZ56" s="156"/>
      <c r="BA56" s="156"/>
    </row>
    <row r="57" spans="1:53" ht="14.45" customHeight="1" x14ac:dyDescent="0.25">
      <c r="A57" s="158" t="s">
        <v>352</v>
      </c>
      <c r="B57" s="156"/>
      <c r="C57" s="157" t="s">
        <v>28</v>
      </c>
      <c r="D57" s="156"/>
      <c r="E57" s="156"/>
      <c r="F57" s="157" t="s">
        <v>28</v>
      </c>
      <c r="G57" s="156"/>
      <c r="H57" s="156"/>
      <c r="I57" s="157" t="s">
        <v>28</v>
      </c>
      <c r="J57" s="156"/>
      <c r="K57" s="156"/>
      <c r="L57" s="157" t="s">
        <v>28</v>
      </c>
      <c r="M57" s="156"/>
      <c r="N57" s="156"/>
      <c r="O57" s="157" t="s">
        <v>28</v>
      </c>
      <c r="P57" s="156"/>
      <c r="Q57" s="156"/>
      <c r="R57" s="156"/>
      <c r="S57" s="156"/>
      <c r="T57" s="157" t="s">
        <v>28</v>
      </c>
      <c r="U57" s="156"/>
      <c r="V57" s="156"/>
      <c r="W57" s="157" t="s">
        <v>28</v>
      </c>
      <c r="X57" s="156"/>
      <c r="Y57" s="156"/>
      <c r="Z57" s="157" t="s">
        <v>28</v>
      </c>
      <c r="AA57" s="156"/>
      <c r="AB57" s="156"/>
      <c r="AC57" s="157" t="s">
        <v>28</v>
      </c>
      <c r="AD57" s="156"/>
      <c r="AE57" s="156"/>
      <c r="AF57" s="157" t="s">
        <v>28</v>
      </c>
      <c r="AG57" s="156"/>
      <c r="AH57" s="156"/>
      <c r="AI57" s="157" t="s">
        <v>28</v>
      </c>
      <c r="AJ57" s="156"/>
      <c r="AK57" s="156"/>
      <c r="AL57" s="159">
        <v>338.54</v>
      </c>
      <c r="AM57" s="156"/>
      <c r="AN57" s="156"/>
      <c r="AO57" s="159">
        <v>0</v>
      </c>
      <c r="AP57" s="156"/>
      <c r="AQ57" s="156"/>
      <c r="AR57" s="159">
        <v>0</v>
      </c>
      <c r="AS57" s="156"/>
      <c r="AT57" s="156"/>
      <c r="AU57" s="159">
        <v>2453.75</v>
      </c>
      <c r="AV57" s="156"/>
      <c r="AW57" s="156"/>
      <c r="AX57" s="159">
        <v>41579.660000000003</v>
      </c>
      <c r="AY57" s="156"/>
      <c r="AZ57" s="156"/>
      <c r="BA57" s="156"/>
    </row>
    <row r="58" spans="1:53" ht="14.45" customHeight="1" x14ac:dyDescent="0.25">
      <c r="A58" s="158" t="s">
        <v>353</v>
      </c>
      <c r="B58" s="156"/>
      <c r="C58" s="157" t="s">
        <v>28</v>
      </c>
      <c r="D58" s="156"/>
      <c r="E58" s="156"/>
      <c r="F58" s="157" t="s">
        <v>28</v>
      </c>
      <c r="G58" s="156"/>
      <c r="H58" s="156"/>
      <c r="I58" s="157" t="s">
        <v>28</v>
      </c>
      <c r="J58" s="156"/>
      <c r="K58" s="156"/>
      <c r="L58" s="157" t="s">
        <v>28</v>
      </c>
      <c r="M58" s="156"/>
      <c r="N58" s="156"/>
      <c r="O58" s="157" t="s">
        <v>28</v>
      </c>
      <c r="P58" s="156"/>
      <c r="Q58" s="156"/>
      <c r="R58" s="156"/>
      <c r="S58" s="156"/>
      <c r="T58" s="157" t="s">
        <v>28</v>
      </c>
      <c r="U58" s="156"/>
      <c r="V58" s="156"/>
      <c r="W58" s="157" t="s">
        <v>28</v>
      </c>
      <c r="X58" s="156"/>
      <c r="Y58" s="156"/>
      <c r="Z58" s="157" t="s">
        <v>28</v>
      </c>
      <c r="AA58" s="156"/>
      <c r="AB58" s="156"/>
      <c r="AC58" s="157" t="s">
        <v>28</v>
      </c>
      <c r="AD58" s="156"/>
      <c r="AE58" s="156"/>
      <c r="AF58" s="157" t="s">
        <v>28</v>
      </c>
      <c r="AG58" s="156"/>
      <c r="AH58" s="156"/>
      <c r="AI58" s="157" t="s">
        <v>28</v>
      </c>
      <c r="AJ58" s="156"/>
      <c r="AK58" s="156"/>
      <c r="AL58" s="159">
        <v>3455.51</v>
      </c>
      <c r="AM58" s="156"/>
      <c r="AN58" s="156"/>
      <c r="AO58" s="159">
        <v>3442.58</v>
      </c>
      <c r="AP58" s="156"/>
      <c r="AQ58" s="156"/>
      <c r="AR58" s="159">
        <v>2398.2800000000002</v>
      </c>
      <c r="AS58" s="156"/>
      <c r="AT58" s="156"/>
      <c r="AU58" s="159">
        <v>2194.04</v>
      </c>
      <c r="AV58" s="156"/>
      <c r="AW58" s="156"/>
      <c r="AX58" s="159">
        <v>2169.04</v>
      </c>
      <c r="AY58" s="156"/>
      <c r="AZ58" s="156"/>
      <c r="BA58" s="156"/>
    </row>
    <row r="59" spans="1:53" ht="14.45" customHeight="1" x14ac:dyDescent="0.25">
      <c r="A59" s="158" t="s">
        <v>354</v>
      </c>
      <c r="B59" s="156"/>
      <c r="C59" s="157" t="s">
        <v>28</v>
      </c>
      <c r="D59" s="156"/>
      <c r="E59" s="156"/>
      <c r="F59" s="157" t="s">
        <v>28</v>
      </c>
      <c r="G59" s="156"/>
      <c r="H59" s="156"/>
      <c r="I59" s="157" t="s">
        <v>28</v>
      </c>
      <c r="J59" s="156"/>
      <c r="K59" s="156"/>
      <c r="L59" s="157" t="s">
        <v>28</v>
      </c>
      <c r="M59" s="156"/>
      <c r="N59" s="156"/>
      <c r="O59" s="157" t="s">
        <v>28</v>
      </c>
      <c r="P59" s="156"/>
      <c r="Q59" s="156"/>
      <c r="R59" s="156"/>
      <c r="S59" s="156"/>
      <c r="T59" s="157" t="s">
        <v>28</v>
      </c>
      <c r="U59" s="156"/>
      <c r="V59" s="156"/>
      <c r="W59" s="157" t="s">
        <v>28</v>
      </c>
      <c r="X59" s="156"/>
      <c r="Y59" s="156"/>
      <c r="Z59" s="157" t="s">
        <v>28</v>
      </c>
      <c r="AA59" s="156"/>
      <c r="AB59" s="156"/>
      <c r="AC59" s="157" t="s">
        <v>28</v>
      </c>
      <c r="AD59" s="156"/>
      <c r="AE59" s="156"/>
      <c r="AF59" s="157" t="s">
        <v>28</v>
      </c>
      <c r="AG59" s="156"/>
      <c r="AH59" s="156"/>
      <c r="AI59" s="157" t="s">
        <v>28</v>
      </c>
      <c r="AJ59" s="156"/>
      <c r="AK59" s="156"/>
      <c r="AL59" s="159">
        <v>-3116.97</v>
      </c>
      <c r="AM59" s="156"/>
      <c r="AN59" s="156"/>
      <c r="AO59" s="159">
        <v>-3442.58</v>
      </c>
      <c r="AP59" s="156"/>
      <c r="AQ59" s="156"/>
      <c r="AR59" s="159">
        <v>-2398.2800000000002</v>
      </c>
      <c r="AS59" s="156"/>
      <c r="AT59" s="156"/>
      <c r="AU59" s="159">
        <v>259.70999999999998</v>
      </c>
      <c r="AV59" s="156"/>
      <c r="AW59" s="156"/>
      <c r="AX59" s="159">
        <v>39410.620000000003</v>
      </c>
      <c r="AY59" s="156"/>
      <c r="AZ59" s="156"/>
      <c r="BA59" s="156"/>
    </row>
    <row r="60" spans="1:53" ht="14.45" customHeight="1" x14ac:dyDescent="0.25">
      <c r="A60" s="158" t="s">
        <v>355</v>
      </c>
      <c r="B60" s="156"/>
      <c r="C60" s="159">
        <v>2256476.11</v>
      </c>
      <c r="D60" s="156"/>
      <c r="E60" s="156"/>
      <c r="F60" s="159">
        <v>1294992.19</v>
      </c>
      <c r="G60" s="156"/>
      <c r="H60" s="156"/>
      <c r="I60" s="159">
        <v>1286343.67</v>
      </c>
      <c r="J60" s="156"/>
      <c r="K60" s="156"/>
      <c r="L60" s="159">
        <v>1295198.8700000001</v>
      </c>
      <c r="M60" s="156"/>
      <c r="N60" s="156"/>
      <c r="O60" s="159">
        <v>1767597.29</v>
      </c>
      <c r="P60" s="156"/>
      <c r="Q60" s="156"/>
      <c r="R60" s="156"/>
      <c r="S60" s="156"/>
      <c r="T60" s="159">
        <v>1968420.19</v>
      </c>
      <c r="U60" s="156"/>
      <c r="V60" s="156"/>
      <c r="W60" s="159">
        <v>2238186.63</v>
      </c>
      <c r="X60" s="156"/>
      <c r="Y60" s="156"/>
      <c r="Z60" s="159">
        <v>1810968.5</v>
      </c>
      <c r="AA60" s="156"/>
      <c r="AB60" s="156"/>
      <c r="AC60" s="159">
        <v>929959.21</v>
      </c>
      <c r="AD60" s="156"/>
      <c r="AE60" s="156"/>
      <c r="AF60" s="159">
        <v>1312630.5</v>
      </c>
      <c r="AG60" s="156"/>
      <c r="AH60" s="156"/>
      <c r="AI60" s="159">
        <v>1445921.42</v>
      </c>
      <c r="AJ60" s="156"/>
      <c r="AK60" s="156"/>
      <c r="AL60" s="159">
        <v>2013959.51</v>
      </c>
      <c r="AM60" s="156"/>
      <c r="AN60" s="156"/>
      <c r="AO60" s="159">
        <v>1554018.17</v>
      </c>
      <c r="AP60" s="156"/>
      <c r="AQ60" s="156"/>
      <c r="AR60" s="159">
        <v>1127908.18</v>
      </c>
      <c r="AS60" s="156"/>
      <c r="AT60" s="156"/>
      <c r="AU60" s="159">
        <v>1622865.09</v>
      </c>
      <c r="AV60" s="156"/>
      <c r="AW60" s="156"/>
      <c r="AX60" s="159">
        <v>2089863.52</v>
      </c>
      <c r="AY60" s="156"/>
      <c r="AZ60" s="156"/>
      <c r="BA60" s="156"/>
    </row>
    <row r="61" spans="1:53" ht="14.45" customHeight="1" x14ac:dyDescent="0.25">
      <c r="A61" s="156"/>
      <c r="B61" s="156"/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6"/>
      <c r="AF61" s="156"/>
      <c r="AG61" s="156"/>
      <c r="AH61" s="156"/>
      <c r="AI61" s="156"/>
      <c r="AJ61" s="156"/>
      <c r="AK61" s="156"/>
      <c r="AL61" s="156"/>
      <c r="AM61" s="156"/>
      <c r="AN61" s="156"/>
      <c r="AO61" s="156"/>
      <c r="AP61" s="156"/>
      <c r="AQ61" s="156"/>
      <c r="AR61" s="156"/>
      <c r="AS61" s="156"/>
      <c r="AT61" s="156"/>
      <c r="AU61" s="156"/>
      <c r="AV61" s="156"/>
      <c r="AW61" s="156"/>
      <c r="AX61" s="156"/>
      <c r="AY61" s="156"/>
      <c r="AZ61" s="156"/>
      <c r="BA61" s="156"/>
    </row>
    <row r="62" spans="1:53" ht="14.45" customHeight="1" x14ac:dyDescent="0.25">
      <c r="A62" s="158" t="s">
        <v>356</v>
      </c>
      <c r="B62" s="156"/>
      <c r="C62" s="159">
        <v>2710165.39</v>
      </c>
      <c r="D62" s="156"/>
      <c r="E62" s="156"/>
      <c r="F62" s="159">
        <v>609858.78</v>
      </c>
      <c r="G62" s="156"/>
      <c r="H62" s="156"/>
      <c r="I62" s="159">
        <v>628677.81000000006</v>
      </c>
      <c r="J62" s="156"/>
      <c r="K62" s="156"/>
      <c r="L62" s="159">
        <v>653203.21</v>
      </c>
      <c r="M62" s="156"/>
      <c r="N62" s="156"/>
      <c r="O62" s="159">
        <v>670250.86</v>
      </c>
      <c r="P62" s="156"/>
      <c r="Q62" s="156"/>
      <c r="R62" s="156"/>
      <c r="S62" s="156"/>
      <c r="T62" s="159">
        <v>756460.99</v>
      </c>
      <c r="U62" s="156"/>
      <c r="V62" s="156"/>
      <c r="W62" s="159">
        <v>502240.61</v>
      </c>
      <c r="X62" s="156"/>
      <c r="Y62" s="156"/>
      <c r="Z62" s="159">
        <v>560527.94999999995</v>
      </c>
      <c r="AA62" s="156"/>
      <c r="AB62" s="156"/>
      <c r="AC62" s="159">
        <v>548360.34</v>
      </c>
      <c r="AD62" s="156"/>
      <c r="AE62" s="156"/>
      <c r="AF62" s="159">
        <v>710502.1</v>
      </c>
      <c r="AG62" s="156"/>
      <c r="AH62" s="156"/>
      <c r="AI62" s="159">
        <v>904869.86</v>
      </c>
      <c r="AJ62" s="156"/>
      <c r="AK62" s="156"/>
      <c r="AL62" s="159">
        <v>933432.36</v>
      </c>
      <c r="AM62" s="156"/>
      <c r="AN62" s="156"/>
      <c r="AO62" s="159">
        <v>934705</v>
      </c>
      <c r="AP62" s="156"/>
      <c r="AQ62" s="156"/>
      <c r="AR62" s="159">
        <v>966600.46</v>
      </c>
      <c r="AS62" s="156"/>
      <c r="AT62" s="156"/>
      <c r="AU62" s="159">
        <v>911911.94</v>
      </c>
      <c r="AV62" s="156"/>
      <c r="AW62" s="156"/>
      <c r="AX62" s="159">
        <v>842253.97</v>
      </c>
      <c r="AY62" s="156"/>
      <c r="AZ62" s="156"/>
      <c r="BA62" s="156"/>
    </row>
    <row r="63" spans="1:53" ht="14.45" customHeight="1" x14ac:dyDescent="0.25">
      <c r="A63" s="158" t="s">
        <v>357</v>
      </c>
      <c r="B63" s="156"/>
      <c r="C63" s="159">
        <v>2128340.0090000001</v>
      </c>
      <c r="D63" s="156"/>
      <c r="E63" s="156"/>
      <c r="F63" s="159">
        <v>1894680.71</v>
      </c>
      <c r="G63" s="156"/>
      <c r="H63" s="156"/>
      <c r="I63" s="159">
        <v>1738315.82</v>
      </c>
      <c r="J63" s="156"/>
      <c r="K63" s="156"/>
      <c r="L63" s="159">
        <v>1625124.82</v>
      </c>
      <c r="M63" s="156"/>
      <c r="N63" s="156"/>
      <c r="O63" s="159">
        <v>1525139.02</v>
      </c>
      <c r="P63" s="156"/>
      <c r="Q63" s="156"/>
      <c r="R63" s="156"/>
      <c r="S63" s="156"/>
      <c r="T63" s="159">
        <v>1427726.42</v>
      </c>
      <c r="U63" s="156"/>
      <c r="V63" s="156"/>
      <c r="W63" s="159">
        <v>1329293.97</v>
      </c>
      <c r="X63" s="156"/>
      <c r="Y63" s="156"/>
      <c r="Z63" s="159">
        <v>1616800.72</v>
      </c>
      <c r="AA63" s="156"/>
      <c r="AB63" s="156"/>
      <c r="AC63" s="159">
        <v>1567925.69</v>
      </c>
      <c r="AD63" s="156"/>
      <c r="AE63" s="156"/>
      <c r="AF63" s="159">
        <v>1437765.24</v>
      </c>
      <c r="AG63" s="156"/>
      <c r="AH63" s="156"/>
      <c r="AI63" s="159">
        <v>1430699.33</v>
      </c>
      <c r="AJ63" s="156"/>
      <c r="AK63" s="156"/>
      <c r="AL63" s="159">
        <v>1376960.75</v>
      </c>
      <c r="AM63" s="156"/>
      <c r="AN63" s="156"/>
      <c r="AO63" s="159">
        <v>1320698.54</v>
      </c>
      <c r="AP63" s="156"/>
      <c r="AQ63" s="156"/>
      <c r="AR63" s="159">
        <v>1272530.49</v>
      </c>
      <c r="AS63" s="156"/>
      <c r="AT63" s="156"/>
      <c r="AU63" s="159">
        <v>1251431.1000000001</v>
      </c>
      <c r="AV63" s="156"/>
      <c r="AW63" s="156"/>
      <c r="AX63" s="159">
        <v>1218921.48</v>
      </c>
      <c r="AY63" s="156"/>
      <c r="AZ63" s="156"/>
      <c r="BA63" s="156"/>
    </row>
    <row r="64" spans="1:53" ht="14.45" customHeight="1" x14ac:dyDescent="0.25">
      <c r="A64" s="158" t="s">
        <v>358</v>
      </c>
      <c r="B64" s="156"/>
      <c r="C64" s="159">
        <v>105567.03</v>
      </c>
      <c r="D64" s="156"/>
      <c r="E64" s="156"/>
      <c r="F64" s="159">
        <v>90270.19</v>
      </c>
      <c r="G64" s="156"/>
      <c r="H64" s="156"/>
      <c r="I64" s="159">
        <v>89878.63</v>
      </c>
      <c r="J64" s="156"/>
      <c r="K64" s="156"/>
      <c r="L64" s="159">
        <v>81064.53</v>
      </c>
      <c r="M64" s="156"/>
      <c r="N64" s="156"/>
      <c r="O64" s="159">
        <v>59138.2</v>
      </c>
      <c r="P64" s="156"/>
      <c r="Q64" s="156"/>
      <c r="R64" s="156"/>
      <c r="S64" s="156"/>
      <c r="T64" s="159">
        <v>46501.760000000002</v>
      </c>
      <c r="U64" s="156"/>
      <c r="V64" s="156"/>
      <c r="W64" s="159">
        <v>40655.199999999997</v>
      </c>
      <c r="X64" s="156"/>
      <c r="Y64" s="156"/>
      <c r="Z64" s="159">
        <v>43555.51</v>
      </c>
      <c r="AA64" s="156"/>
      <c r="AB64" s="156"/>
      <c r="AC64" s="159">
        <v>45748.32</v>
      </c>
      <c r="AD64" s="156"/>
      <c r="AE64" s="156"/>
      <c r="AF64" s="159">
        <v>56354.02</v>
      </c>
      <c r="AG64" s="156"/>
      <c r="AH64" s="156"/>
      <c r="AI64" s="159">
        <v>59712.85</v>
      </c>
      <c r="AJ64" s="156"/>
      <c r="AK64" s="156"/>
      <c r="AL64" s="159">
        <v>0</v>
      </c>
      <c r="AM64" s="156"/>
      <c r="AN64" s="156"/>
      <c r="AO64" s="159">
        <v>0</v>
      </c>
      <c r="AP64" s="156"/>
      <c r="AQ64" s="156"/>
      <c r="AR64" s="159">
        <v>0</v>
      </c>
      <c r="AS64" s="156"/>
      <c r="AT64" s="156"/>
      <c r="AU64" s="159">
        <v>0</v>
      </c>
      <c r="AV64" s="156"/>
      <c r="AW64" s="156"/>
      <c r="AX64" s="159">
        <v>119478.94</v>
      </c>
      <c r="AY64" s="156"/>
      <c r="AZ64" s="156"/>
      <c r="BA64" s="156"/>
    </row>
    <row r="65" spans="1:53" ht="14.45" customHeight="1" x14ac:dyDescent="0.25">
      <c r="A65" s="158" t="s">
        <v>359</v>
      </c>
      <c r="B65" s="156"/>
      <c r="C65" s="159">
        <v>2324946.63</v>
      </c>
      <c r="D65" s="156"/>
      <c r="E65" s="156"/>
      <c r="F65" s="159">
        <v>1756688.8</v>
      </c>
      <c r="G65" s="156"/>
      <c r="H65" s="156"/>
      <c r="I65" s="159">
        <v>1583146.18</v>
      </c>
      <c r="J65" s="156"/>
      <c r="K65" s="156"/>
      <c r="L65" s="159">
        <v>1509397.1189999999</v>
      </c>
      <c r="M65" s="156"/>
      <c r="N65" s="156"/>
      <c r="O65" s="159">
        <v>1494092.7</v>
      </c>
      <c r="P65" s="156"/>
      <c r="Q65" s="156"/>
      <c r="R65" s="156"/>
      <c r="S65" s="156"/>
      <c r="T65" s="159">
        <v>1339257.149</v>
      </c>
      <c r="U65" s="156"/>
      <c r="V65" s="156"/>
      <c r="W65" s="159">
        <v>1221341.78</v>
      </c>
      <c r="X65" s="156"/>
      <c r="Y65" s="156"/>
      <c r="Z65" s="159">
        <v>1110691.95</v>
      </c>
      <c r="AA65" s="156"/>
      <c r="AB65" s="156"/>
      <c r="AC65" s="159">
        <v>4665714.7699999996</v>
      </c>
      <c r="AD65" s="156"/>
      <c r="AE65" s="156"/>
      <c r="AF65" s="159">
        <v>4958745.33</v>
      </c>
      <c r="AG65" s="156"/>
      <c r="AH65" s="156"/>
      <c r="AI65" s="159">
        <v>5269003.63</v>
      </c>
      <c r="AJ65" s="156"/>
      <c r="AK65" s="156"/>
      <c r="AL65" s="157" t="s">
        <v>28</v>
      </c>
      <c r="AM65" s="156"/>
      <c r="AN65" s="156"/>
      <c r="AO65" s="157" t="s">
        <v>28</v>
      </c>
      <c r="AP65" s="156"/>
      <c r="AQ65" s="156"/>
      <c r="AR65" s="157" t="s">
        <v>28</v>
      </c>
      <c r="AS65" s="156"/>
      <c r="AT65" s="156"/>
      <c r="AU65" s="157" t="s">
        <v>28</v>
      </c>
      <c r="AV65" s="156"/>
      <c r="AW65" s="156"/>
      <c r="AX65" s="157" t="s">
        <v>28</v>
      </c>
      <c r="AY65" s="156"/>
      <c r="AZ65" s="156"/>
      <c r="BA65" s="156"/>
    </row>
    <row r="66" spans="1:53" ht="14.45" customHeight="1" x14ac:dyDescent="0.25">
      <c r="A66" s="158" t="s">
        <v>275</v>
      </c>
      <c r="B66" s="156"/>
      <c r="C66" s="159">
        <v>3432.55</v>
      </c>
      <c r="D66" s="156"/>
      <c r="E66" s="156"/>
      <c r="F66" s="159">
        <v>10127.67</v>
      </c>
      <c r="G66" s="156"/>
      <c r="H66" s="156"/>
      <c r="I66" s="159">
        <v>2337.75</v>
      </c>
      <c r="J66" s="156"/>
      <c r="K66" s="156"/>
      <c r="L66" s="159">
        <v>11107.28</v>
      </c>
      <c r="M66" s="156"/>
      <c r="N66" s="156"/>
      <c r="O66" s="159">
        <v>4531.83</v>
      </c>
      <c r="P66" s="156"/>
      <c r="Q66" s="156"/>
      <c r="R66" s="156"/>
      <c r="S66" s="156"/>
      <c r="T66" s="159">
        <v>6759.81</v>
      </c>
      <c r="U66" s="156"/>
      <c r="V66" s="156"/>
      <c r="W66" s="159">
        <v>11102.73</v>
      </c>
      <c r="X66" s="156"/>
      <c r="Y66" s="156"/>
      <c r="Z66" s="159">
        <v>7637.33</v>
      </c>
      <c r="AA66" s="156"/>
      <c r="AB66" s="156"/>
      <c r="AC66" s="159">
        <v>5293.97</v>
      </c>
      <c r="AD66" s="156"/>
      <c r="AE66" s="156"/>
      <c r="AF66" s="159">
        <v>0</v>
      </c>
      <c r="AG66" s="156"/>
      <c r="AH66" s="156"/>
      <c r="AI66" s="159">
        <v>3391.37</v>
      </c>
      <c r="AJ66" s="156"/>
      <c r="AK66" s="156"/>
      <c r="AL66" s="159">
        <v>11290.02</v>
      </c>
      <c r="AM66" s="156"/>
      <c r="AN66" s="156"/>
      <c r="AO66" s="159">
        <v>30856.28</v>
      </c>
      <c r="AP66" s="156"/>
      <c r="AQ66" s="156"/>
      <c r="AR66" s="159">
        <v>59822.64</v>
      </c>
      <c r="AS66" s="156"/>
      <c r="AT66" s="156"/>
      <c r="AU66" s="159">
        <v>107890.69</v>
      </c>
      <c r="AV66" s="156"/>
      <c r="AW66" s="156"/>
      <c r="AX66" s="159">
        <v>81272.639999999999</v>
      </c>
      <c r="AY66" s="156"/>
      <c r="AZ66" s="156"/>
      <c r="BA66" s="156"/>
    </row>
    <row r="67" spans="1:53" ht="14.45" customHeight="1" x14ac:dyDescent="0.25">
      <c r="A67" s="156"/>
      <c r="B67" s="156"/>
      <c r="C67" s="156"/>
      <c r="D67" s="156"/>
      <c r="E67" s="156"/>
      <c r="F67" s="156"/>
      <c r="G67" s="156"/>
      <c r="H67" s="156"/>
      <c r="I67" s="156"/>
      <c r="J67" s="156"/>
      <c r="K67" s="156"/>
      <c r="L67" s="156"/>
      <c r="M67" s="156"/>
      <c r="N67" s="156"/>
      <c r="O67" s="156"/>
      <c r="P67" s="156"/>
      <c r="Q67" s="156"/>
      <c r="R67" s="156"/>
      <c r="S67" s="156"/>
      <c r="T67" s="156"/>
      <c r="U67" s="156"/>
      <c r="V67" s="156"/>
      <c r="W67" s="156"/>
      <c r="X67" s="156"/>
      <c r="Y67" s="156"/>
      <c r="Z67" s="156"/>
      <c r="AA67" s="156"/>
      <c r="AB67" s="156"/>
      <c r="AC67" s="156"/>
      <c r="AD67" s="156"/>
      <c r="AE67" s="156"/>
      <c r="AF67" s="156"/>
      <c r="AG67" s="156"/>
      <c r="AH67" s="156"/>
      <c r="AI67" s="156"/>
      <c r="AJ67" s="156"/>
      <c r="AK67" s="156"/>
      <c r="AL67" s="156"/>
      <c r="AM67" s="156"/>
      <c r="AN67" s="156"/>
      <c r="AO67" s="156"/>
      <c r="AP67" s="156"/>
      <c r="AQ67" s="156"/>
      <c r="AR67" s="156"/>
      <c r="AS67" s="156"/>
      <c r="AT67" s="156"/>
      <c r="AU67" s="156"/>
      <c r="AV67" s="156"/>
      <c r="AW67" s="156"/>
      <c r="AX67" s="156"/>
      <c r="AY67" s="156"/>
      <c r="AZ67" s="156"/>
      <c r="BA67" s="156"/>
    </row>
    <row r="68" spans="1:53" ht="14.45" customHeight="1" x14ac:dyDescent="0.25">
      <c r="A68" s="158" t="s">
        <v>360</v>
      </c>
      <c r="B68" s="156"/>
      <c r="C68" s="159">
        <v>2362043.139</v>
      </c>
      <c r="D68" s="156"/>
      <c r="E68" s="156"/>
      <c r="F68" s="159">
        <v>1385262.38</v>
      </c>
      <c r="G68" s="156"/>
      <c r="H68" s="156"/>
      <c r="I68" s="159">
        <v>1376222.2990000001</v>
      </c>
      <c r="J68" s="156"/>
      <c r="K68" s="156"/>
      <c r="L68" s="159">
        <v>1376263.4</v>
      </c>
      <c r="M68" s="156"/>
      <c r="N68" s="156"/>
      <c r="O68" s="159">
        <v>1826735.49</v>
      </c>
      <c r="P68" s="156"/>
      <c r="Q68" s="156"/>
      <c r="R68" s="156"/>
      <c r="S68" s="156"/>
      <c r="T68" s="159">
        <v>2014921.95</v>
      </c>
      <c r="U68" s="156"/>
      <c r="V68" s="156"/>
      <c r="W68" s="159">
        <v>2278841.83</v>
      </c>
      <c r="X68" s="156"/>
      <c r="Y68" s="156"/>
      <c r="Z68" s="159">
        <v>1854524.01</v>
      </c>
      <c r="AA68" s="156"/>
      <c r="AB68" s="156"/>
      <c r="AC68" s="159">
        <v>975707.52899999998</v>
      </c>
      <c r="AD68" s="156"/>
      <c r="AE68" s="156"/>
      <c r="AF68" s="159">
        <v>1368984.52</v>
      </c>
      <c r="AG68" s="156"/>
      <c r="AH68" s="156"/>
      <c r="AI68" s="159">
        <v>1505634.27</v>
      </c>
      <c r="AJ68" s="156"/>
      <c r="AK68" s="156"/>
      <c r="AL68" s="159">
        <v>2013959.51</v>
      </c>
      <c r="AM68" s="156"/>
      <c r="AN68" s="156"/>
      <c r="AO68" s="159">
        <v>1554018.17</v>
      </c>
      <c r="AP68" s="156"/>
      <c r="AQ68" s="156"/>
      <c r="AR68" s="159">
        <v>1127908.18</v>
      </c>
      <c r="AS68" s="156"/>
      <c r="AT68" s="156"/>
      <c r="AU68" s="159">
        <v>1622865.09</v>
      </c>
      <c r="AV68" s="156"/>
      <c r="AW68" s="156"/>
      <c r="AX68" s="159">
        <v>2209342.46</v>
      </c>
      <c r="AY68" s="156"/>
      <c r="AZ68" s="156"/>
      <c r="BA68" s="156"/>
    </row>
    <row r="69" spans="1:53" ht="14.45" customHeight="1" x14ac:dyDescent="0.25">
      <c r="A69" s="158" t="s">
        <v>361</v>
      </c>
      <c r="B69" s="156"/>
      <c r="C69" s="159">
        <v>4783995.6490000002</v>
      </c>
      <c r="D69" s="156"/>
      <c r="E69" s="156"/>
      <c r="F69" s="159">
        <v>3705344.949</v>
      </c>
      <c r="G69" s="156"/>
      <c r="H69" s="156"/>
      <c r="I69" s="159">
        <v>3517997.3089999999</v>
      </c>
      <c r="J69" s="156"/>
      <c r="K69" s="156"/>
      <c r="L69" s="159">
        <v>3428078.5189999999</v>
      </c>
      <c r="M69" s="156"/>
      <c r="N69" s="156"/>
      <c r="O69" s="159">
        <v>3380208.72</v>
      </c>
      <c r="P69" s="156"/>
      <c r="Q69" s="156"/>
      <c r="R69" s="156"/>
      <c r="S69" s="156"/>
      <c r="T69" s="159">
        <v>3468373.7390000001</v>
      </c>
      <c r="U69" s="156"/>
      <c r="V69" s="156"/>
      <c r="W69" s="159">
        <v>3637534.69</v>
      </c>
      <c r="X69" s="156"/>
      <c r="Y69" s="156"/>
      <c r="Z69" s="159">
        <v>3490150.04</v>
      </c>
      <c r="AA69" s="156"/>
      <c r="AB69" s="156"/>
      <c r="AC69" s="159">
        <v>2562229.7799999998</v>
      </c>
      <c r="AD69" s="156"/>
      <c r="AE69" s="156"/>
      <c r="AF69" s="159">
        <v>2806749.76</v>
      </c>
      <c r="AG69" s="156"/>
      <c r="AH69" s="156"/>
      <c r="AI69" s="159">
        <v>2939724.97</v>
      </c>
      <c r="AJ69" s="156"/>
      <c r="AK69" s="156"/>
      <c r="AL69" s="159">
        <v>3402210.28</v>
      </c>
      <c r="AM69" s="156"/>
      <c r="AN69" s="156"/>
      <c r="AO69" s="159">
        <v>2905572.9890000001</v>
      </c>
      <c r="AP69" s="156"/>
      <c r="AQ69" s="156"/>
      <c r="AR69" s="159">
        <v>2460261.31</v>
      </c>
      <c r="AS69" s="156"/>
      <c r="AT69" s="156"/>
      <c r="AU69" s="159">
        <v>2982186.88</v>
      </c>
      <c r="AV69" s="156"/>
      <c r="AW69" s="156"/>
      <c r="AX69" s="159">
        <v>3509536.58</v>
      </c>
      <c r="AY69" s="156"/>
      <c r="AZ69" s="156"/>
      <c r="BA69" s="156"/>
    </row>
    <row r="70" spans="1:53" ht="14.45" customHeight="1" x14ac:dyDescent="0.25">
      <c r="A70" s="158" t="s">
        <v>362</v>
      </c>
      <c r="B70" s="156"/>
      <c r="C70" s="159">
        <v>2550088.61</v>
      </c>
      <c r="D70" s="156"/>
      <c r="E70" s="156"/>
      <c r="F70" s="159">
        <v>1720394.05</v>
      </c>
      <c r="G70" s="156"/>
      <c r="H70" s="156"/>
      <c r="I70" s="159">
        <v>1689802.86</v>
      </c>
      <c r="J70" s="156"/>
      <c r="K70" s="156"/>
      <c r="L70" s="159">
        <v>1721889.17</v>
      </c>
      <c r="M70" s="156"/>
      <c r="N70" s="156"/>
      <c r="O70" s="159">
        <v>1795931.5</v>
      </c>
      <c r="P70" s="156"/>
      <c r="Q70" s="156"/>
      <c r="R70" s="156"/>
      <c r="S70" s="156"/>
      <c r="T70" s="159">
        <v>2007196.31</v>
      </c>
      <c r="U70" s="156"/>
      <c r="V70" s="156"/>
      <c r="W70" s="159">
        <v>2279985.13</v>
      </c>
      <c r="X70" s="156"/>
      <c r="Y70" s="156"/>
      <c r="Z70" s="159">
        <v>1840824.64</v>
      </c>
      <c r="AA70" s="156"/>
      <c r="AB70" s="156"/>
      <c r="AC70" s="159">
        <v>960279.29</v>
      </c>
      <c r="AD70" s="156"/>
      <c r="AE70" s="156"/>
      <c r="AF70" s="159">
        <v>1312630.5</v>
      </c>
      <c r="AG70" s="156"/>
      <c r="AH70" s="156"/>
      <c r="AI70" s="159">
        <v>1445921.42</v>
      </c>
      <c r="AJ70" s="156"/>
      <c r="AK70" s="156"/>
      <c r="AL70" s="159">
        <v>2005025.2990000001</v>
      </c>
      <c r="AM70" s="156"/>
      <c r="AN70" s="156"/>
      <c r="AO70" s="159">
        <v>1559895.8</v>
      </c>
      <c r="AP70" s="156"/>
      <c r="AQ70" s="156"/>
      <c r="AR70" s="159">
        <v>1164789.179</v>
      </c>
      <c r="AS70" s="156"/>
      <c r="AT70" s="156"/>
      <c r="AU70" s="159">
        <v>1707147.2890000001</v>
      </c>
      <c r="AV70" s="156"/>
      <c r="AW70" s="156"/>
      <c r="AX70" s="159">
        <v>2106765.8990000002</v>
      </c>
      <c r="AY70" s="156"/>
      <c r="AZ70" s="156"/>
      <c r="BA70" s="156"/>
    </row>
    <row r="71" spans="1:53" ht="14.45" customHeight="1" x14ac:dyDescent="0.25">
      <c r="A71" s="158" t="s">
        <v>363</v>
      </c>
      <c r="B71" s="156"/>
      <c r="C71" s="159">
        <v>2655655.639</v>
      </c>
      <c r="D71" s="156"/>
      <c r="E71" s="156"/>
      <c r="F71" s="159">
        <v>1810664.24</v>
      </c>
      <c r="G71" s="156"/>
      <c r="H71" s="156"/>
      <c r="I71" s="159">
        <v>1779681.49</v>
      </c>
      <c r="J71" s="156"/>
      <c r="K71" s="156"/>
      <c r="L71" s="159">
        <v>1802953.7</v>
      </c>
      <c r="M71" s="156"/>
      <c r="N71" s="156"/>
      <c r="O71" s="159">
        <v>1855069.7</v>
      </c>
      <c r="P71" s="156"/>
      <c r="Q71" s="156"/>
      <c r="R71" s="156"/>
      <c r="S71" s="156"/>
      <c r="T71" s="159">
        <v>2053698.07</v>
      </c>
      <c r="U71" s="156"/>
      <c r="V71" s="156"/>
      <c r="W71" s="159">
        <v>2320640.33</v>
      </c>
      <c r="X71" s="156"/>
      <c r="Y71" s="156"/>
      <c r="Z71" s="159">
        <v>1884380.15</v>
      </c>
      <c r="AA71" s="156"/>
      <c r="AB71" s="156"/>
      <c r="AC71" s="159">
        <v>1006027.61</v>
      </c>
      <c r="AD71" s="156"/>
      <c r="AE71" s="156"/>
      <c r="AF71" s="159">
        <v>1368984.52</v>
      </c>
      <c r="AG71" s="156"/>
      <c r="AH71" s="156"/>
      <c r="AI71" s="159">
        <v>1505634.27</v>
      </c>
      <c r="AJ71" s="156"/>
      <c r="AK71" s="156"/>
      <c r="AL71" s="159">
        <v>2005025.2990000001</v>
      </c>
      <c r="AM71" s="156"/>
      <c r="AN71" s="156"/>
      <c r="AO71" s="159">
        <v>1559895.8</v>
      </c>
      <c r="AP71" s="156"/>
      <c r="AQ71" s="156"/>
      <c r="AR71" s="159">
        <v>1164789.179</v>
      </c>
      <c r="AS71" s="156"/>
      <c r="AT71" s="156"/>
      <c r="AU71" s="159">
        <v>1707147.2890000001</v>
      </c>
      <c r="AV71" s="156"/>
      <c r="AW71" s="156"/>
      <c r="AX71" s="159">
        <v>2226244.8390000002</v>
      </c>
      <c r="AY71" s="156"/>
      <c r="AZ71" s="156"/>
      <c r="BA71" s="156"/>
    </row>
  </sheetData>
  <mergeCells count="1129">
    <mergeCell ref="C71:E71"/>
    <mergeCell ref="F71:H71"/>
    <mergeCell ref="I71:K71"/>
    <mergeCell ref="L71:N71"/>
    <mergeCell ref="AI71:AK71"/>
    <mergeCell ref="AL71:AN71"/>
    <mergeCell ref="AO71:AQ71"/>
    <mergeCell ref="AF70:AH70"/>
    <mergeCell ref="AI70:AK70"/>
    <mergeCell ref="AL70:AN70"/>
    <mergeCell ref="AO70:AQ70"/>
    <mergeCell ref="O71:S71"/>
    <mergeCell ref="T71:V71"/>
    <mergeCell ref="W71:Y71"/>
    <mergeCell ref="Z71:AB71"/>
    <mergeCell ref="AC71:AE71"/>
    <mergeCell ref="AF71:AH71"/>
    <mergeCell ref="AR71:AT71"/>
    <mergeCell ref="AU71:AW71"/>
    <mergeCell ref="AX71:BA71"/>
    <mergeCell ref="AU70:AW70"/>
    <mergeCell ref="AX70:BA70"/>
    <mergeCell ref="AO69:AQ69"/>
    <mergeCell ref="AR69:AT69"/>
    <mergeCell ref="AU69:AW69"/>
    <mergeCell ref="AX69:BA69"/>
    <mergeCell ref="AO68:AQ68"/>
    <mergeCell ref="AR68:AT68"/>
    <mergeCell ref="AU68:AW68"/>
    <mergeCell ref="AX68:BA68"/>
    <mergeCell ref="A70:B70"/>
    <mergeCell ref="C70:E70"/>
    <mergeCell ref="F70:H70"/>
    <mergeCell ref="I70:K70"/>
    <mergeCell ref="L70:N70"/>
    <mergeCell ref="AL69:AN69"/>
    <mergeCell ref="A69:B69"/>
    <mergeCell ref="C69:E69"/>
    <mergeCell ref="F69:H69"/>
    <mergeCell ref="I69:K69"/>
    <mergeCell ref="AR70:AT70"/>
    <mergeCell ref="O70:S70"/>
    <mergeCell ref="T70:V70"/>
    <mergeCell ref="W70:Y70"/>
    <mergeCell ref="Z70:AB70"/>
    <mergeCell ref="AC70:AE70"/>
    <mergeCell ref="AI68:AK68"/>
    <mergeCell ref="AL68:AN68"/>
    <mergeCell ref="A71:B71"/>
    <mergeCell ref="O68:S68"/>
    <mergeCell ref="T68:V68"/>
    <mergeCell ref="W68:Y68"/>
    <mergeCell ref="Z68:AB68"/>
    <mergeCell ref="AC68:AE68"/>
    <mergeCell ref="AF68:AH68"/>
    <mergeCell ref="AF69:AH69"/>
    <mergeCell ref="AI69:AK69"/>
    <mergeCell ref="AR67:AT67"/>
    <mergeCell ref="AU67:AW67"/>
    <mergeCell ref="AX67:BA67"/>
    <mergeCell ref="A68:B68"/>
    <mergeCell ref="C68:E68"/>
    <mergeCell ref="F68:H68"/>
    <mergeCell ref="I68:K68"/>
    <mergeCell ref="L68:N68"/>
    <mergeCell ref="L69:N69"/>
    <mergeCell ref="O69:S69"/>
    <mergeCell ref="T69:V69"/>
    <mergeCell ref="W69:Y69"/>
    <mergeCell ref="Z69:AB69"/>
    <mergeCell ref="AC69:AE69"/>
    <mergeCell ref="A65:B65"/>
    <mergeCell ref="C65:E65"/>
    <mergeCell ref="F65:H65"/>
    <mergeCell ref="I65:K65"/>
    <mergeCell ref="AR66:AT66"/>
    <mergeCell ref="O66:S66"/>
    <mergeCell ref="T66:V66"/>
    <mergeCell ref="W66:Y66"/>
    <mergeCell ref="Z66:AB66"/>
    <mergeCell ref="AC66:AE66"/>
    <mergeCell ref="AL67:AN67"/>
    <mergeCell ref="AO67:AQ67"/>
    <mergeCell ref="AF66:AH66"/>
    <mergeCell ref="AI66:AK66"/>
    <mergeCell ref="AL66:AN66"/>
    <mergeCell ref="AO66:AQ66"/>
    <mergeCell ref="T67:V67"/>
    <mergeCell ref="W67:Y67"/>
    <mergeCell ref="Z67:AB67"/>
    <mergeCell ref="AC67:AE67"/>
    <mergeCell ref="AF67:AH67"/>
    <mergeCell ref="AI67:AK67"/>
    <mergeCell ref="AF65:AH65"/>
    <mergeCell ref="AI65:AK65"/>
    <mergeCell ref="A67:B67"/>
    <mergeCell ref="C67:E67"/>
    <mergeCell ref="F67:H67"/>
    <mergeCell ref="I67:K67"/>
    <mergeCell ref="L67:N67"/>
    <mergeCell ref="O67:S67"/>
    <mergeCell ref="A66:B66"/>
    <mergeCell ref="C66:E66"/>
    <mergeCell ref="L65:N65"/>
    <mergeCell ref="O65:S65"/>
    <mergeCell ref="T65:V65"/>
    <mergeCell ref="W65:Y65"/>
    <mergeCell ref="Z65:AB65"/>
    <mergeCell ref="AC65:AE65"/>
    <mergeCell ref="AO65:AQ65"/>
    <mergeCell ref="AR65:AT65"/>
    <mergeCell ref="AU65:AW65"/>
    <mergeCell ref="AX65:BA65"/>
    <mergeCell ref="AO64:AQ64"/>
    <mergeCell ref="AR64:AT64"/>
    <mergeCell ref="AU64:AW64"/>
    <mergeCell ref="AX64:BA64"/>
    <mergeCell ref="AL63:AN63"/>
    <mergeCell ref="AO63:AQ63"/>
    <mergeCell ref="F66:H66"/>
    <mergeCell ref="I66:K66"/>
    <mergeCell ref="L66:N66"/>
    <mergeCell ref="AL65:AN65"/>
    <mergeCell ref="AU66:AW66"/>
    <mergeCell ref="AX66:BA66"/>
    <mergeCell ref="T63:V63"/>
    <mergeCell ref="W63:Y63"/>
    <mergeCell ref="Z63:AB63"/>
    <mergeCell ref="AC63:AE63"/>
    <mergeCell ref="AF63:AH63"/>
    <mergeCell ref="AI63:AK63"/>
    <mergeCell ref="AI64:AK64"/>
    <mergeCell ref="AL64:AN64"/>
    <mergeCell ref="O64:S64"/>
    <mergeCell ref="T64:V64"/>
    <mergeCell ref="W64:Y64"/>
    <mergeCell ref="Z64:AB64"/>
    <mergeCell ref="AC64:AE64"/>
    <mergeCell ref="AF64:AH64"/>
    <mergeCell ref="AR63:AT63"/>
    <mergeCell ref="AU63:AW63"/>
    <mergeCell ref="AX63:BA63"/>
    <mergeCell ref="A64:B64"/>
    <mergeCell ref="C64:E64"/>
    <mergeCell ref="F64:H64"/>
    <mergeCell ref="I64:K64"/>
    <mergeCell ref="L64:N64"/>
    <mergeCell ref="A62:B62"/>
    <mergeCell ref="C62:E62"/>
    <mergeCell ref="F62:H62"/>
    <mergeCell ref="I62:K62"/>
    <mergeCell ref="L62:N62"/>
    <mergeCell ref="AR62:AT62"/>
    <mergeCell ref="O62:S62"/>
    <mergeCell ref="T62:V62"/>
    <mergeCell ref="W62:Y62"/>
    <mergeCell ref="Z62:AB62"/>
    <mergeCell ref="AC62:AE62"/>
    <mergeCell ref="AF62:AH62"/>
    <mergeCell ref="AI62:AK62"/>
    <mergeCell ref="AL62:AN62"/>
    <mergeCell ref="AO62:AQ62"/>
    <mergeCell ref="O60:S60"/>
    <mergeCell ref="T60:V60"/>
    <mergeCell ref="W60:Y60"/>
    <mergeCell ref="Z60:AB60"/>
    <mergeCell ref="AC60:AE60"/>
    <mergeCell ref="AF60:AH60"/>
    <mergeCell ref="AF61:AH61"/>
    <mergeCell ref="AI61:AK61"/>
    <mergeCell ref="AR59:AT59"/>
    <mergeCell ref="AU59:AW59"/>
    <mergeCell ref="AU62:AW62"/>
    <mergeCell ref="AX62:BA62"/>
    <mergeCell ref="A63:B63"/>
    <mergeCell ref="C63:E63"/>
    <mergeCell ref="F63:H63"/>
    <mergeCell ref="I63:K63"/>
    <mergeCell ref="L63:N63"/>
    <mergeCell ref="O63:S63"/>
    <mergeCell ref="AX59:BA59"/>
    <mergeCell ref="A60:B60"/>
    <mergeCell ref="C60:E60"/>
    <mergeCell ref="F60:H60"/>
    <mergeCell ref="I60:K60"/>
    <mergeCell ref="L60:N60"/>
    <mergeCell ref="L61:N61"/>
    <mergeCell ref="O61:S61"/>
    <mergeCell ref="T61:V61"/>
    <mergeCell ref="W61:Y61"/>
    <mergeCell ref="Z61:AB61"/>
    <mergeCell ref="AC61:AE61"/>
    <mergeCell ref="AO61:AQ61"/>
    <mergeCell ref="AR61:AT61"/>
    <mergeCell ref="AU61:AW61"/>
    <mergeCell ref="AX61:BA61"/>
    <mergeCell ref="AO60:AQ60"/>
    <mergeCell ref="AR60:AT60"/>
    <mergeCell ref="AU60:AW60"/>
    <mergeCell ref="AX60:BA60"/>
    <mergeCell ref="AL61:AN61"/>
    <mergeCell ref="A61:B61"/>
    <mergeCell ref="C61:E61"/>
    <mergeCell ref="F61:H61"/>
    <mergeCell ref="I61:K61"/>
    <mergeCell ref="AI60:AK60"/>
    <mergeCell ref="AL60:AN60"/>
    <mergeCell ref="A57:B57"/>
    <mergeCell ref="C57:E57"/>
    <mergeCell ref="F57:H57"/>
    <mergeCell ref="I57:K57"/>
    <mergeCell ref="AR58:AT58"/>
    <mergeCell ref="O58:S58"/>
    <mergeCell ref="T58:V58"/>
    <mergeCell ref="W58:Y58"/>
    <mergeCell ref="Z58:AB58"/>
    <mergeCell ref="AC58:AE58"/>
    <mergeCell ref="AL59:AN59"/>
    <mergeCell ref="AO59:AQ59"/>
    <mergeCell ref="AF58:AH58"/>
    <mergeCell ref="AI58:AK58"/>
    <mergeCell ref="AL58:AN58"/>
    <mergeCell ref="AO58:AQ58"/>
    <mergeCell ref="T59:V59"/>
    <mergeCell ref="W59:Y59"/>
    <mergeCell ref="Z59:AB59"/>
    <mergeCell ref="AC59:AE59"/>
    <mergeCell ref="AF59:AH59"/>
    <mergeCell ref="AI59:AK59"/>
    <mergeCell ref="AF57:AH57"/>
    <mergeCell ref="AI57:AK57"/>
    <mergeCell ref="A59:B59"/>
    <mergeCell ref="C59:E59"/>
    <mergeCell ref="F59:H59"/>
    <mergeCell ref="I59:K59"/>
    <mergeCell ref="L59:N59"/>
    <mergeCell ref="O59:S59"/>
    <mergeCell ref="A58:B58"/>
    <mergeCell ref="C58:E58"/>
    <mergeCell ref="L57:N57"/>
    <mergeCell ref="O57:S57"/>
    <mergeCell ref="T57:V57"/>
    <mergeCell ref="W57:Y57"/>
    <mergeCell ref="Z57:AB57"/>
    <mergeCell ref="AC57:AE57"/>
    <mergeCell ref="AO57:AQ57"/>
    <mergeCell ref="AR57:AT57"/>
    <mergeCell ref="AU57:AW57"/>
    <mergeCell ref="AX57:BA57"/>
    <mergeCell ref="AO56:AQ56"/>
    <mergeCell ref="AR56:AT56"/>
    <mergeCell ref="AU56:AW56"/>
    <mergeCell ref="AX56:BA56"/>
    <mergeCell ref="AL55:AN55"/>
    <mergeCell ref="AO55:AQ55"/>
    <mergeCell ref="F58:H58"/>
    <mergeCell ref="I58:K58"/>
    <mergeCell ref="L58:N58"/>
    <mergeCell ref="AL57:AN57"/>
    <mergeCell ref="AU58:AW58"/>
    <mergeCell ref="AX58:BA58"/>
    <mergeCell ref="T55:V55"/>
    <mergeCell ref="W55:Y55"/>
    <mergeCell ref="Z55:AB55"/>
    <mergeCell ref="AC55:AE55"/>
    <mergeCell ref="AF55:AH55"/>
    <mergeCell ref="AI55:AK55"/>
    <mergeCell ref="AI56:AK56"/>
    <mergeCell ref="AL56:AN56"/>
    <mergeCell ref="O56:S56"/>
    <mergeCell ref="T56:V56"/>
    <mergeCell ref="W56:Y56"/>
    <mergeCell ref="Z56:AB56"/>
    <mergeCell ref="AC56:AE56"/>
    <mergeCell ref="AF56:AH56"/>
    <mergeCell ref="AR55:AT55"/>
    <mergeCell ref="AU55:AW55"/>
    <mergeCell ref="AX55:BA55"/>
    <mergeCell ref="A56:B56"/>
    <mergeCell ref="C56:E56"/>
    <mergeCell ref="F56:H56"/>
    <mergeCell ref="I56:K56"/>
    <mergeCell ref="L56:N56"/>
    <mergeCell ref="A54:B54"/>
    <mergeCell ref="C54:E54"/>
    <mergeCell ref="F54:H54"/>
    <mergeCell ref="I54:K54"/>
    <mergeCell ref="L54:N54"/>
    <mergeCell ref="AR54:AT54"/>
    <mergeCell ref="O54:S54"/>
    <mergeCell ref="T54:V54"/>
    <mergeCell ref="W54:Y54"/>
    <mergeCell ref="Z54:AB54"/>
    <mergeCell ref="AC54:AE54"/>
    <mergeCell ref="AF54:AH54"/>
    <mergeCell ref="AI54:AK54"/>
    <mergeCell ref="AL54:AN54"/>
    <mergeCell ref="AO54:AQ54"/>
    <mergeCell ref="O52:S52"/>
    <mergeCell ref="T52:V52"/>
    <mergeCell ref="W52:Y52"/>
    <mergeCell ref="Z52:AB52"/>
    <mergeCell ref="AC52:AE52"/>
    <mergeCell ref="AF52:AH52"/>
    <mergeCell ref="AF53:AH53"/>
    <mergeCell ref="AI53:AK53"/>
    <mergeCell ref="AR51:AT51"/>
    <mergeCell ref="AU51:AW51"/>
    <mergeCell ref="AU54:AW54"/>
    <mergeCell ref="AX54:BA54"/>
    <mergeCell ref="A55:B55"/>
    <mergeCell ref="C55:E55"/>
    <mergeCell ref="F55:H55"/>
    <mergeCell ref="I55:K55"/>
    <mergeCell ref="L55:N55"/>
    <mergeCell ref="O55:S55"/>
    <mergeCell ref="AX51:BA51"/>
    <mergeCell ref="A52:B52"/>
    <mergeCell ref="C52:E52"/>
    <mergeCell ref="F52:H52"/>
    <mergeCell ref="I52:K52"/>
    <mergeCell ref="L52:N52"/>
    <mergeCell ref="L53:N53"/>
    <mergeCell ref="O53:S53"/>
    <mergeCell ref="T53:V53"/>
    <mergeCell ref="W53:Y53"/>
    <mergeCell ref="Z53:AB53"/>
    <mergeCell ref="AC53:AE53"/>
    <mergeCell ref="AO53:AQ53"/>
    <mergeCell ref="AR53:AT53"/>
    <mergeCell ref="AU53:AW53"/>
    <mergeCell ref="AX53:BA53"/>
    <mergeCell ref="AO52:AQ52"/>
    <mergeCell ref="AR52:AT52"/>
    <mergeCell ref="AU52:AW52"/>
    <mergeCell ref="AX52:BA52"/>
    <mergeCell ref="AL53:AN53"/>
    <mergeCell ref="A53:B53"/>
    <mergeCell ref="C53:E53"/>
    <mergeCell ref="F53:H53"/>
    <mergeCell ref="I53:K53"/>
    <mergeCell ref="AI52:AK52"/>
    <mergeCell ref="AL52:AN52"/>
    <mergeCell ref="A49:B49"/>
    <mergeCell ref="C49:E49"/>
    <mergeCell ref="F49:H49"/>
    <mergeCell ref="I49:K49"/>
    <mergeCell ref="AR50:AT50"/>
    <mergeCell ref="O50:S50"/>
    <mergeCell ref="T50:V50"/>
    <mergeCell ref="W50:Y50"/>
    <mergeCell ref="Z50:AB50"/>
    <mergeCell ref="AC50:AE50"/>
    <mergeCell ref="AL51:AN51"/>
    <mergeCell ref="AO51:AQ51"/>
    <mergeCell ref="AF50:AH50"/>
    <mergeCell ref="AI50:AK50"/>
    <mergeCell ref="AL50:AN50"/>
    <mergeCell ref="AO50:AQ50"/>
    <mergeCell ref="T51:V51"/>
    <mergeCell ref="W51:Y51"/>
    <mergeCell ref="Z51:AB51"/>
    <mergeCell ref="AC51:AE51"/>
    <mergeCell ref="AF51:AH51"/>
    <mergeCell ref="AI51:AK51"/>
    <mergeCell ref="AF49:AH49"/>
    <mergeCell ref="AI49:AK49"/>
    <mergeCell ref="A51:B51"/>
    <mergeCell ref="C51:E51"/>
    <mergeCell ref="F51:H51"/>
    <mergeCell ref="I51:K51"/>
    <mergeCell ref="L51:N51"/>
    <mergeCell ref="O51:S51"/>
    <mergeCell ref="A50:B50"/>
    <mergeCell ref="C50:E50"/>
    <mergeCell ref="L49:N49"/>
    <mergeCell ref="O49:S49"/>
    <mergeCell ref="T49:V49"/>
    <mergeCell ref="W49:Y49"/>
    <mergeCell ref="Z49:AB49"/>
    <mergeCell ref="AC49:AE49"/>
    <mergeCell ref="AO49:AQ49"/>
    <mergeCell ref="AR49:AT49"/>
    <mergeCell ref="AU49:AW49"/>
    <mergeCell ref="AX49:BA49"/>
    <mergeCell ref="AO48:AQ48"/>
    <mergeCell ref="AR48:AT48"/>
    <mergeCell ref="AU48:AW48"/>
    <mergeCell ref="AX48:BA48"/>
    <mergeCell ref="AL47:AN47"/>
    <mergeCell ref="AO47:AQ47"/>
    <mergeCell ref="F50:H50"/>
    <mergeCell ref="I50:K50"/>
    <mergeCell ref="L50:N50"/>
    <mergeCell ref="AL49:AN49"/>
    <mergeCell ref="AU50:AW50"/>
    <mergeCell ref="AX50:BA50"/>
    <mergeCell ref="T47:V47"/>
    <mergeCell ref="W47:Y47"/>
    <mergeCell ref="Z47:AB47"/>
    <mergeCell ref="AC47:AE47"/>
    <mergeCell ref="AF47:AH47"/>
    <mergeCell ref="AI47:AK47"/>
    <mergeCell ref="AI48:AK48"/>
    <mergeCell ref="AL48:AN48"/>
    <mergeCell ref="O48:S48"/>
    <mergeCell ref="T48:V48"/>
    <mergeCell ref="W48:Y48"/>
    <mergeCell ref="Z48:AB48"/>
    <mergeCell ref="AC48:AE48"/>
    <mergeCell ref="AF48:AH48"/>
    <mergeCell ref="AR47:AT47"/>
    <mergeCell ref="AU47:AW47"/>
    <mergeCell ref="AX47:BA47"/>
    <mergeCell ref="A48:B48"/>
    <mergeCell ref="C48:E48"/>
    <mergeCell ref="F48:H48"/>
    <mergeCell ref="I48:K48"/>
    <mergeCell ref="L48:N48"/>
    <mergeCell ref="A46:B46"/>
    <mergeCell ref="C46:E46"/>
    <mergeCell ref="F46:H46"/>
    <mergeCell ref="I46:K46"/>
    <mergeCell ref="L46:N46"/>
    <mergeCell ref="AR46:AT46"/>
    <mergeCell ref="O46:S46"/>
    <mergeCell ref="T46:V46"/>
    <mergeCell ref="W46:Y46"/>
    <mergeCell ref="Z46:AB46"/>
    <mergeCell ref="AC46:AE46"/>
    <mergeCell ref="AF46:AH46"/>
    <mergeCell ref="AI46:AK46"/>
    <mergeCell ref="AL46:AN46"/>
    <mergeCell ref="AO46:AQ46"/>
    <mergeCell ref="O44:S44"/>
    <mergeCell ref="T44:V44"/>
    <mergeCell ref="W44:Y44"/>
    <mergeCell ref="Z44:AB44"/>
    <mergeCell ref="AC44:AE44"/>
    <mergeCell ref="AF44:AH44"/>
    <mergeCell ref="AF45:AH45"/>
    <mergeCell ref="AI45:AK45"/>
    <mergeCell ref="AR43:AT43"/>
    <mergeCell ref="AU43:AW43"/>
    <mergeCell ref="AU46:AW46"/>
    <mergeCell ref="AX46:BA46"/>
    <mergeCell ref="A47:B47"/>
    <mergeCell ref="C47:E47"/>
    <mergeCell ref="F47:H47"/>
    <mergeCell ref="I47:K47"/>
    <mergeCell ref="L47:N47"/>
    <mergeCell ref="O47:S47"/>
    <mergeCell ref="AX43:BA43"/>
    <mergeCell ref="A44:B44"/>
    <mergeCell ref="C44:E44"/>
    <mergeCell ref="F44:H44"/>
    <mergeCell ref="I44:K44"/>
    <mergeCell ref="L44:N44"/>
    <mergeCell ref="L45:N45"/>
    <mergeCell ref="O45:S45"/>
    <mergeCell ref="T45:V45"/>
    <mergeCell ref="W45:Y45"/>
    <mergeCell ref="Z45:AB45"/>
    <mergeCell ref="AC45:AE45"/>
    <mergeCell ref="AO45:AQ45"/>
    <mergeCell ref="AR45:AT45"/>
    <mergeCell ref="AU45:AW45"/>
    <mergeCell ref="AX45:BA45"/>
    <mergeCell ref="AO44:AQ44"/>
    <mergeCell ref="AR44:AT44"/>
    <mergeCell ref="AU44:AW44"/>
    <mergeCell ref="AX44:BA44"/>
    <mergeCell ref="AL45:AN45"/>
    <mergeCell ref="A45:B45"/>
    <mergeCell ref="C45:E45"/>
    <mergeCell ref="F45:H45"/>
    <mergeCell ref="I45:K45"/>
    <mergeCell ref="AI44:AK44"/>
    <mergeCell ref="AL44:AN44"/>
    <mergeCell ref="A41:B41"/>
    <mergeCell ref="C41:E41"/>
    <mergeCell ref="F41:H41"/>
    <mergeCell ref="I41:K41"/>
    <mergeCell ref="AR42:AT42"/>
    <mergeCell ref="O42:S42"/>
    <mergeCell ref="T42:V42"/>
    <mergeCell ref="W42:Y42"/>
    <mergeCell ref="Z42:AB42"/>
    <mergeCell ref="AC42:AE42"/>
    <mergeCell ref="AL43:AN43"/>
    <mergeCell ref="AO43:AQ43"/>
    <mergeCell ref="AF42:AH42"/>
    <mergeCell ref="AI42:AK42"/>
    <mergeCell ref="AL42:AN42"/>
    <mergeCell ref="AO42:AQ42"/>
    <mergeCell ref="T43:V43"/>
    <mergeCell ref="W43:Y43"/>
    <mergeCell ref="Z43:AB43"/>
    <mergeCell ref="AC43:AE43"/>
    <mergeCell ref="AF43:AH43"/>
    <mergeCell ref="AI43:AK43"/>
    <mergeCell ref="AF41:AH41"/>
    <mergeCell ref="AI41:AK41"/>
    <mergeCell ref="A43:B43"/>
    <mergeCell ref="C43:E43"/>
    <mergeCell ref="F43:H43"/>
    <mergeCell ref="I43:K43"/>
    <mergeCell ref="L43:N43"/>
    <mergeCell ref="O43:S43"/>
    <mergeCell ref="A42:B42"/>
    <mergeCell ref="C42:E42"/>
    <mergeCell ref="L41:N41"/>
    <mergeCell ref="O41:S41"/>
    <mergeCell ref="T41:V41"/>
    <mergeCell ref="W41:Y41"/>
    <mergeCell ref="Z41:AB41"/>
    <mergeCell ref="AC41:AE41"/>
    <mergeCell ref="AO41:AQ41"/>
    <mergeCell ref="AR41:AT41"/>
    <mergeCell ref="AU41:AW41"/>
    <mergeCell ref="AX41:BA41"/>
    <mergeCell ref="AO40:AQ40"/>
    <mergeCell ref="AR40:AT40"/>
    <mergeCell ref="AU40:AW40"/>
    <mergeCell ref="AX40:BA40"/>
    <mergeCell ref="AL39:AN39"/>
    <mergeCell ref="AO39:AQ39"/>
    <mergeCell ref="F42:H42"/>
    <mergeCell ref="I42:K42"/>
    <mergeCell ref="L42:N42"/>
    <mergeCell ref="AL41:AN41"/>
    <mergeCell ref="AU42:AW42"/>
    <mergeCell ref="AX42:BA42"/>
    <mergeCell ref="T39:V39"/>
    <mergeCell ref="W39:Y39"/>
    <mergeCell ref="Z39:AB39"/>
    <mergeCell ref="AC39:AE39"/>
    <mergeCell ref="AF39:AH39"/>
    <mergeCell ref="AI39:AK39"/>
    <mergeCell ref="AI40:AK40"/>
    <mergeCell ref="AL40:AN40"/>
    <mergeCell ref="O40:S40"/>
    <mergeCell ref="T40:V40"/>
    <mergeCell ref="W40:Y40"/>
    <mergeCell ref="Z40:AB40"/>
    <mergeCell ref="AC40:AE40"/>
    <mergeCell ref="AF40:AH40"/>
    <mergeCell ref="AR39:AT39"/>
    <mergeCell ref="AU39:AW39"/>
    <mergeCell ref="AX39:BA39"/>
    <mergeCell ref="A40:B40"/>
    <mergeCell ref="C40:E40"/>
    <mergeCell ref="F40:H40"/>
    <mergeCell ref="I40:K40"/>
    <mergeCell ref="L40:N40"/>
    <mergeCell ref="A38:B38"/>
    <mergeCell ref="C38:E38"/>
    <mergeCell ref="F38:H38"/>
    <mergeCell ref="I38:K38"/>
    <mergeCell ref="L38:N38"/>
    <mergeCell ref="AR38:AT38"/>
    <mergeCell ref="O38:S38"/>
    <mergeCell ref="T38:V38"/>
    <mergeCell ref="W38:Y38"/>
    <mergeCell ref="Z38:AB38"/>
    <mergeCell ref="AC38:AE38"/>
    <mergeCell ref="AF38:AH38"/>
    <mergeCell ref="AI38:AK38"/>
    <mergeCell ref="AL38:AN38"/>
    <mergeCell ref="AO38:AQ38"/>
    <mergeCell ref="O36:S36"/>
    <mergeCell ref="T36:V36"/>
    <mergeCell ref="W36:Y36"/>
    <mergeCell ref="Z36:AB36"/>
    <mergeCell ref="AC36:AE36"/>
    <mergeCell ref="AF36:AH36"/>
    <mergeCell ref="AF37:AH37"/>
    <mergeCell ref="AI37:AK37"/>
    <mergeCell ref="AR35:AT35"/>
    <mergeCell ref="AU35:AW35"/>
    <mergeCell ref="AU38:AW38"/>
    <mergeCell ref="AX38:BA38"/>
    <mergeCell ref="A39:B39"/>
    <mergeCell ref="C39:E39"/>
    <mergeCell ref="F39:H39"/>
    <mergeCell ref="I39:K39"/>
    <mergeCell ref="L39:N39"/>
    <mergeCell ref="O39:S39"/>
    <mergeCell ref="AX35:BA35"/>
    <mergeCell ref="A36:B36"/>
    <mergeCell ref="C36:E36"/>
    <mergeCell ref="F36:H36"/>
    <mergeCell ref="I36:K36"/>
    <mergeCell ref="L36:N36"/>
    <mergeCell ref="L37:N37"/>
    <mergeCell ref="O37:S37"/>
    <mergeCell ref="T37:V37"/>
    <mergeCell ref="W37:Y37"/>
    <mergeCell ref="Z37:AB37"/>
    <mergeCell ref="AC37:AE37"/>
    <mergeCell ref="AO37:AQ37"/>
    <mergeCell ref="AR37:AT37"/>
    <mergeCell ref="AU37:AW37"/>
    <mergeCell ref="AX37:BA37"/>
    <mergeCell ref="AO36:AQ36"/>
    <mergeCell ref="AR36:AT36"/>
    <mergeCell ref="AU36:AW36"/>
    <mergeCell ref="AX36:BA36"/>
    <mergeCell ref="AL37:AN37"/>
    <mergeCell ref="A37:B37"/>
    <mergeCell ref="C37:E37"/>
    <mergeCell ref="F37:H37"/>
    <mergeCell ref="I37:K37"/>
    <mergeCell ref="AI36:AK36"/>
    <mergeCell ref="AL36:AN36"/>
    <mergeCell ref="A33:B33"/>
    <mergeCell ref="C33:E33"/>
    <mergeCell ref="F33:H33"/>
    <mergeCell ref="I33:K33"/>
    <mergeCell ref="AR34:AT34"/>
    <mergeCell ref="O34:S34"/>
    <mergeCell ref="T34:V34"/>
    <mergeCell ref="W34:Y34"/>
    <mergeCell ref="Z34:AB34"/>
    <mergeCell ref="AC34:AE34"/>
    <mergeCell ref="AL35:AN35"/>
    <mergeCell ref="AO35:AQ35"/>
    <mergeCell ref="AF34:AH34"/>
    <mergeCell ref="AI34:AK34"/>
    <mergeCell ref="AL34:AN34"/>
    <mergeCell ref="AO34:AQ34"/>
    <mergeCell ref="T35:V35"/>
    <mergeCell ref="W35:Y35"/>
    <mergeCell ref="Z35:AB35"/>
    <mergeCell ref="AC35:AE35"/>
    <mergeCell ref="AF35:AH35"/>
    <mergeCell ref="AI35:AK35"/>
    <mergeCell ref="AF33:AH33"/>
    <mergeCell ref="AI33:AK33"/>
    <mergeCell ref="A35:B35"/>
    <mergeCell ref="C35:E35"/>
    <mergeCell ref="F35:H35"/>
    <mergeCell ref="I35:K35"/>
    <mergeCell ref="L35:N35"/>
    <mergeCell ref="O35:S35"/>
    <mergeCell ref="A34:B34"/>
    <mergeCell ref="C34:E34"/>
    <mergeCell ref="L33:N33"/>
    <mergeCell ref="O33:S33"/>
    <mergeCell ref="T33:V33"/>
    <mergeCell ref="W33:Y33"/>
    <mergeCell ref="Z33:AB33"/>
    <mergeCell ref="AC33:AE33"/>
    <mergeCell ref="AO33:AQ33"/>
    <mergeCell ref="AR33:AT33"/>
    <mergeCell ref="AU33:AW33"/>
    <mergeCell ref="AX33:BA33"/>
    <mergeCell ref="AO32:AQ32"/>
    <mergeCell ref="AR32:AT32"/>
    <mergeCell ref="AU32:AW32"/>
    <mergeCell ref="AX32:BA32"/>
    <mergeCell ref="AL31:AN31"/>
    <mergeCell ref="AO31:AQ31"/>
    <mergeCell ref="F34:H34"/>
    <mergeCell ref="I34:K34"/>
    <mergeCell ref="L34:N34"/>
    <mergeCell ref="AL33:AN33"/>
    <mergeCell ref="AU34:AW34"/>
    <mergeCell ref="AX34:BA34"/>
    <mergeCell ref="T31:V31"/>
    <mergeCell ref="W31:Y31"/>
    <mergeCell ref="Z31:AB31"/>
    <mergeCell ref="AC31:AE31"/>
    <mergeCell ref="AF31:AH31"/>
    <mergeCell ref="AI31:AK31"/>
    <mergeCell ref="AI32:AK32"/>
    <mergeCell ref="AL32:AN32"/>
    <mergeCell ref="O32:S32"/>
    <mergeCell ref="T32:V32"/>
    <mergeCell ref="W32:Y32"/>
    <mergeCell ref="Z32:AB32"/>
    <mergeCell ref="AC32:AE32"/>
    <mergeCell ref="AF32:AH32"/>
    <mergeCell ref="AR31:AT31"/>
    <mergeCell ref="AU31:AW31"/>
    <mergeCell ref="AX31:BA31"/>
    <mergeCell ref="A32:B32"/>
    <mergeCell ref="C32:E32"/>
    <mergeCell ref="F32:H32"/>
    <mergeCell ref="I32:K32"/>
    <mergeCell ref="L32:N32"/>
    <mergeCell ref="A30:B30"/>
    <mergeCell ref="C30:E30"/>
    <mergeCell ref="F30:H30"/>
    <mergeCell ref="I30:K30"/>
    <mergeCell ref="L30:N30"/>
    <mergeCell ref="AR30:AT30"/>
    <mergeCell ref="O30:S30"/>
    <mergeCell ref="T30:V30"/>
    <mergeCell ref="W30:Y30"/>
    <mergeCell ref="Z30:AB30"/>
    <mergeCell ref="AC30:AE30"/>
    <mergeCell ref="AF30:AH30"/>
    <mergeCell ref="AI30:AK30"/>
    <mergeCell ref="AL30:AN30"/>
    <mergeCell ref="AO30:AQ30"/>
    <mergeCell ref="O28:S28"/>
    <mergeCell ref="T28:V28"/>
    <mergeCell ref="W28:Y28"/>
    <mergeCell ref="Z28:AB28"/>
    <mergeCell ref="AC28:AE28"/>
    <mergeCell ref="AF28:AH28"/>
    <mergeCell ref="AF29:AH29"/>
    <mergeCell ref="AI29:AK29"/>
    <mergeCell ref="AR27:AT27"/>
    <mergeCell ref="AU27:AW27"/>
    <mergeCell ref="AU30:AW30"/>
    <mergeCell ref="AX30:BA30"/>
    <mergeCell ref="A31:B31"/>
    <mergeCell ref="C31:E31"/>
    <mergeCell ref="F31:H31"/>
    <mergeCell ref="I31:K31"/>
    <mergeCell ref="L31:N31"/>
    <mergeCell ref="O31:S31"/>
    <mergeCell ref="AX27:BA27"/>
    <mergeCell ref="A28:B28"/>
    <mergeCell ref="C28:E28"/>
    <mergeCell ref="F28:H28"/>
    <mergeCell ref="I28:K28"/>
    <mergeCell ref="L28:N28"/>
    <mergeCell ref="L29:N29"/>
    <mergeCell ref="O29:S29"/>
    <mergeCell ref="T29:V29"/>
    <mergeCell ref="W29:Y29"/>
    <mergeCell ref="Z29:AB29"/>
    <mergeCell ref="AC29:AE29"/>
    <mergeCell ref="AO29:AQ29"/>
    <mergeCell ref="AR29:AT29"/>
    <mergeCell ref="AU29:AW29"/>
    <mergeCell ref="AX29:BA29"/>
    <mergeCell ref="AO28:AQ28"/>
    <mergeCell ref="AR28:AT28"/>
    <mergeCell ref="AU28:AW28"/>
    <mergeCell ref="AX28:BA28"/>
    <mergeCell ref="AL29:AN29"/>
    <mergeCell ref="A29:B29"/>
    <mergeCell ref="C29:E29"/>
    <mergeCell ref="F29:H29"/>
    <mergeCell ref="I29:K29"/>
    <mergeCell ref="AI28:AK28"/>
    <mergeCell ref="AL28:AN28"/>
    <mergeCell ref="A25:B25"/>
    <mergeCell ref="C25:E25"/>
    <mergeCell ref="F25:H25"/>
    <mergeCell ref="I25:K25"/>
    <mergeCell ref="AR26:AT26"/>
    <mergeCell ref="O26:S26"/>
    <mergeCell ref="T26:V26"/>
    <mergeCell ref="W26:Y26"/>
    <mergeCell ref="Z26:AB26"/>
    <mergeCell ref="AC26:AE26"/>
    <mergeCell ref="AL27:AN27"/>
    <mergeCell ref="AO27:AQ27"/>
    <mergeCell ref="AF26:AH26"/>
    <mergeCell ref="AI26:AK26"/>
    <mergeCell ref="AL26:AN26"/>
    <mergeCell ref="AO26:AQ26"/>
    <mergeCell ref="T27:V27"/>
    <mergeCell ref="W27:Y27"/>
    <mergeCell ref="Z27:AB27"/>
    <mergeCell ref="AC27:AE27"/>
    <mergeCell ref="AF27:AH27"/>
    <mergeCell ref="AI27:AK27"/>
    <mergeCell ref="AF25:AH25"/>
    <mergeCell ref="AI25:AK25"/>
    <mergeCell ref="A27:B27"/>
    <mergeCell ref="C27:E27"/>
    <mergeCell ref="F27:H27"/>
    <mergeCell ref="I27:K27"/>
    <mergeCell ref="L27:N27"/>
    <mergeCell ref="O27:S27"/>
    <mergeCell ref="A26:B26"/>
    <mergeCell ref="C26:E26"/>
    <mergeCell ref="L25:N25"/>
    <mergeCell ref="O25:S25"/>
    <mergeCell ref="T25:V25"/>
    <mergeCell ref="W25:Y25"/>
    <mergeCell ref="Z25:AB25"/>
    <mergeCell ref="AC25:AE25"/>
    <mergeCell ref="AO25:AQ25"/>
    <mergeCell ref="AR25:AT25"/>
    <mergeCell ref="AU25:AW25"/>
    <mergeCell ref="AX25:BA25"/>
    <mergeCell ref="AO24:AQ24"/>
    <mergeCell ref="AR24:AT24"/>
    <mergeCell ref="AU24:AW24"/>
    <mergeCell ref="AX24:BA24"/>
    <mergeCell ref="AL23:AN23"/>
    <mergeCell ref="AO23:AQ23"/>
    <mergeCell ref="F26:H26"/>
    <mergeCell ref="I26:K26"/>
    <mergeCell ref="L26:N26"/>
    <mergeCell ref="AL25:AN25"/>
    <mergeCell ref="AU26:AW26"/>
    <mergeCell ref="AX26:BA26"/>
    <mergeCell ref="T23:V23"/>
    <mergeCell ref="W23:Y23"/>
    <mergeCell ref="Z23:AB23"/>
    <mergeCell ref="AC23:AE23"/>
    <mergeCell ref="AF23:AH23"/>
    <mergeCell ref="AI23:AK23"/>
    <mergeCell ref="AI24:AK24"/>
    <mergeCell ref="AL24:AN24"/>
    <mergeCell ref="O24:S24"/>
    <mergeCell ref="T24:V24"/>
    <mergeCell ref="W24:Y24"/>
    <mergeCell ref="Z24:AB24"/>
    <mergeCell ref="AC24:AE24"/>
    <mergeCell ref="AF24:AH24"/>
    <mergeCell ref="AR23:AT23"/>
    <mergeCell ref="AU23:AW23"/>
    <mergeCell ref="AX23:BA23"/>
    <mergeCell ref="A24:B24"/>
    <mergeCell ref="C24:E24"/>
    <mergeCell ref="F24:H24"/>
    <mergeCell ref="I24:K24"/>
    <mergeCell ref="L24:N24"/>
    <mergeCell ref="A22:B22"/>
    <mergeCell ref="C22:E22"/>
    <mergeCell ref="F22:H22"/>
    <mergeCell ref="I22:K22"/>
    <mergeCell ref="L22:N22"/>
    <mergeCell ref="AR22:AT22"/>
    <mergeCell ref="O22:S22"/>
    <mergeCell ref="T22:V22"/>
    <mergeCell ref="W22:Y22"/>
    <mergeCell ref="Z22:AB22"/>
    <mergeCell ref="AC22:AE22"/>
    <mergeCell ref="AF22:AH22"/>
    <mergeCell ref="AI22:AK22"/>
    <mergeCell ref="AL22:AN22"/>
    <mergeCell ref="AO22:AQ22"/>
    <mergeCell ref="O20:S20"/>
    <mergeCell ref="T20:V20"/>
    <mergeCell ref="W20:Y20"/>
    <mergeCell ref="Z20:AB20"/>
    <mergeCell ref="AC20:AE20"/>
    <mergeCell ref="AF20:AH20"/>
    <mergeCell ref="AF21:AH21"/>
    <mergeCell ref="AI21:AK21"/>
    <mergeCell ref="AR19:AT19"/>
    <mergeCell ref="AU19:AW19"/>
    <mergeCell ref="AU22:AW22"/>
    <mergeCell ref="AX22:BA22"/>
    <mergeCell ref="A23:B23"/>
    <mergeCell ref="C23:E23"/>
    <mergeCell ref="F23:H23"/>
    <mergeCell ref="I23:K23"/>
    <mergeCell ref="L23:N23"/>
    <mergeCell ref="O23:S23"/>
    <mergeCell ref="AX19:BA19"/>
    <mergeCell ref="A20:B20"/>
    <mergeCell ref="C20:E20"/>
    <mergeCell ref="F20:H20"/>
    <mergeCell ref="I20:K20"/>
    <mergeCell ref="L20:N20"/>
    <mergeCell ref="L21:N21"/>
    <mergeCell ref="O21:S21"/>
    <mergeCell ref="T21:V21"/>
    <mergeCell ref="W21:Y21"/>
    <mergeCell ref="Z21:AB21"/>
    <mergeCell ref="AC21:AE21"/>
    <mergeCell ref="AO21:AQ21"/>
    <mergeCell ref="AR21:AT21"/>
    <mergeCell ref="AU21:AW21"/>
    <mergeCell ref="AX21:BA21"/>
    <mergeCell ref="AO20:AQ20"/>
    <mergeCell ref="AR20:AT20"/>
    <mergeCell ref="AU20:AW20"/>
    <mergeCell ref="AX20:BA20"/>
    <mergeCell ref="AL21:AN21"/>
    <mergeCell ref="A21:B21"/>
    <mergeCell ref="C21:E21"/>
    <mergeCell ref="F21:H21"/>
    <mergeCell ref="I21:K21"/>
    <mergeCell ref="AI20:AK20"/>
    <mergeCell ref="AL20:AN20"/>
    <mergeCell ref="A17:B17"/>
    <mergeCell ref="C17:E17"/>
    <mergeCell ref="F17:H17"/>
    <mergeCell ref="I17:K17"/>
    <mergeCell ref="AR18:AT18"/>
    <mergeCell ref="O18:S18"/>
    <mergeCell ref="T18:V18"/>
    <mergeCell ref="W18:Y18"/>
    <mergeCell ref="Z18:AB18"/>
    <mergeCell ref="AC18:AE18"/>
    <mergeCell ref="AL19:AN19"/>
    <mergeCell ref="AO19:AQ19"/>
    <mergeCell ref="AF18:AH18"/>
    <mergeCell ref="AI18:AK18"/>
    <mergeCell ref="AL18:AN18"/>
    <mergeCell ref="AO18:AQ18"/>
    <mergeCell ref="T19:V19"/>
    <mergeCell ref="W19:Y19"/>
    <mergeCell ref="Z19:AB19"/>
    <mergeCell ref="AC19:AE19"/>
    <mergeCell ref="AF19:AH19"/>
    <mergeCell ref="AI19:AK19"/>
    <mergeCell ref="AF17:AH17"/>
    <mergeCell ref="AI17:AK17"/>
    <mergeCell ref="A19:B19"/>
    <mergeCell ref="C19:E19"/>
    <mergeCell ref="F19:H19"/>
    <mergeCell ref="I19:K19"/>
    <mergeCell ref="L19:N19"/>
    <mergeCell ref="O19:S19"/>
    <mergeCell ref="A18:B18"/>
    <mergeCell ref="C18:E18"/>
    <mergeCell ref="L17:N17"/>
    <mergeCell ref="O17:S17"/>
    <mergeCell ref="T17:V17"/>
    <mergeCell ref="W17:Y17"/>
    <mergeCell ref="Z17:AB17"/>
    <mergeCell ref="AC17:AE17"/>
    <mergeCell ref="AO17:AQ17"/>
    <mergeCell ref="AR17:AT17"/>
    <mergeCell ref="AU17:AW17"/>
    <mergeCell ref="AX17:BA17"/>
    <mergeCell ref="AO16:AQ16"/>
    <mergeCell ref="AR16:AT16"/>
    <mergeCell ref="AU16:AW16"/>
    <mergeCell ref="AX16:BA16"/>
    <mergeCell ref="AL15:AN15"/>
    <mergeCell ref="AO15:AQ15"/>
    <mergeCell ref="F18:H18"/>
    <mergeCell ref="I18:K18"/>
    <mergeCell ref="L18:N18"/>
    <mergeCell ref="AL17:AN17"/>
    <mergeCell ref="AU18:AW18"/>
    <mergeCell ref="AX18:BA18"/>
    <mergeCell ref="T15:V15"/>
    <mergeCell ref="W15:Y15"/>
    <mergeCell ref="Z15:AB15"/>
    <mergeCell ref="AC15:AE15"/>
    <mergeCell ref="AF15:AH15"/>
    <mergeCell ref="AI15:AK15"/>
    <mergeCell ref="AI16:AK16"/>
    <mergeCell ref="AL16:AN16"/>
    <mergeCell ref="A15:B15"/>
    <mergeCell ref="C15:E15"/>
    <mergeCell ref="F15:H15"/>
    <mergeCell ref="I15:K15"/>
    <mergeCell ref="L15:N15"/>
    <mergeCell ref="O15:S15"/>
    <mergeCell ref="O16:S16"/>
    <mergeCell ref="T16:V16"/>
    <mergeCell ref="W16:Y16"/>
    <mergeCell ref="Z16:AB16"/>
    <mergeCell ref="AC16:AE16"/>
    <mergeCell ref="AF16:AH16"/>
    <mergeCell ref="AR15:AT15"/>
    <mergeCell ref="AU15:AW15"/>
    <mergeCell ref="AX15:BA15"/>
    <mergeCell ref="A16:B16"/>
    <mergeCell ref="C16:E16"/>
    <mergeCell ref="F16:H16"/>
    <mergeCell ref="I16:K16"/>
    <mergeCell ref="L16:N16"/>
    <mergeCell ref="AR13:AT13"/>
    <mergeCell ref="AU13:AW13"/>
    <mergeCell ref="AX13:BA13"/>
    <mergeCell ref="AO12:AQ12"/>
    <mergeCell ref="AR12:AT12"/>
    <mergeCell ref="AU12:AW12"/>
    <mergeCell ref="AX12:BA12"/>
    <mergeCell ref="A14:B14"/>
    <mergeCell ref="C14:E14"/>
    <mergeCell ref="F14:H14"/>
    <mergeCell ref="I14:K14"/>
    <mergeCell ref="L14:N14"/>
    <mergeCell ref="AL13:AN13"/>
    <mergeCell ref="A13:B13"/>
    <mergeCell ref="C13:E13"/>
    <mergeCell ref="F13:H13"/>
    <mergeCell ref="I13:K13"/>
    <mergeCell ref="AR14:AT14"/>
    <mergeCell ref="O14:S14"/>
    <mergeCell ref="T14:V14"/>
    <mergeCell ref="W14:Y14"/>
    <mergeCell ref="Z14:AB14"/>
    <mergeCell ref="AC14:AE14"/>
    <mergeCell ref="AI12:AK12"/>
    <mergeCell ref="AL12:AN12"/>
    <mergeCell ref="AF14:AH14"/>
    <mergeCell ref="AI14:AK14"/>
    <mergeCell ref="AL14:AN14"/>
    <mergeCell ref="AO14:AQ14"/>
    <mergeCell ref="AU14:AW14"/>
    <mergeCell ref="AX14:BA14"/>
    <mergeCell ref="AX10:BA10"/>
    <mergeCell ref="A11:B11"/>
    <mergeCell ref="C11:E11"/>
    <mergeCell ref="F11:H11"/>
    <mergeCell ref="I11:K11"/>
    <mergeCell ref="L11:N11"/>
    <mergeCell ref="O11:S11"/>
    <mergeCell ref="O12:S12"/>
    <mergeCell ref="T12:V12"/>
    <mergeCell ref="W12:Y12"/>
    <mergeCell ref="Z12:AB12"/>
    <mergeCell ref="AC12:AE12"/>
    <mergeCell ref="AF12:AH12"/>
    <mergeCell ref="AF13:AH13"/>
    <mergeCell ref="AI13:AK13"/>
    <mergeCell ref="AR11:AT11"/>
    <mergeCell ref="AU11:AW11"/>
    <mergeCell ref="AX11:BA11"/>
    <mergeCell ref="A12:B12"/>
    <mergeCell ref="C12:E12"/>
    <mergeCell ref="F12:H12"/>
    <mergeCell ref="I12:K12"/>
    <mergeCell ref="L12:N12"/>
    <mergeCell ref="L13:N13"/>
    <mergeCell ref="O13:S13"/>
    <mergeCell ref="T13:V13"/>
    <mergeCell ref="W13:Y13"/>
    <mergeCell ref="Z13:AB13"/>
    <mergeCell ref="AC13:AE13"/>
    <mergeCell ref="A10:B10"/>
    <mergeCell ref="C10:E10"/>
    <mergeCell ref="AO13:AQ13"/>
    <mergeCell ref="F10:H10"/>
    <mergeCell ref="I10:K10"/>
    <mergeCell ref="L10:N10"/>
    <mergeCell ref="AU7:AV9"/>
    <mergeCell ref="AO7:AP9"/>
    <mergeCell ref="AR7:AS9"/>
    <mergeCell ref="AR10:AT10"/>
    <mergeCell ref="O10:S10"/>
    <mergeCell ref="T10:V10"/>
    <mergeCell ref="W10:Y10"/>
    <mergeCell ref="Z10:AB10"/>
    <mergeCell ref="AC10:AE10"/>
    <mergeCell ref="AL11:AN11"/>
    <mergeCell ref="AO11:AQ11"/>
    <mergeCell ref="AF10:AH10"/>
    <mergeCell ref="AI10:AK10"/>
    <mergeCell ref="AL10:AN10"/>
    <mergeCell ref="AO10:AQ10"/>
    <mergeCell ref="T11:V11"/>
    <mergeCell ref="W11:Y11"/>
    <mergeCell ref="Z11:AB11"/>
    <mergeCell ref="AC11:AE11"/>
    <mergeCell ref="AF11:AH11"/>
    <mergeCell ref="AI11:AK11"/>
    <mergeCell ref="AU10:AW10"/>
    <mergeCell ref="A7:B7"/>
    <mergeCell ref="C7:D9"/>
    <mergeCell ref="F7:G9"/>
    <mergeCell ref="I7:J9"/>
    <mergeCell ref="L7:M9"/>
    <mergeCell ref="O7:R9"/>
    <mergeCell ref="T7:U9"/>
    <mergeCell ref="W7:X9"/>
    <mergeCell ref="Z7:AA9"/>
    <mergeCell ref="AX7:AY9"/>
    <mergeCell ref="AZ7:BA7"/>
    <mergeCell ref="A8:B8"/>
    <mergeCell ref="AZ8:BA8"/>
    <mergeCell ref="A9:B9"/>
    <mergeCell ref="AZ9:BA9"/>
    <mergeCell ref="AC7:AD9"/>
    <mergeCell ref="AF7:AG9"/>
    <mergeCell ref="AI7:AJ9"/>
    <mergeCell ref="AL7:AM9"/>
    <mergeCell ref="AR5:AR6"/>
    <mergeCell ref="AS5:AT5"/>
    <mergeCell ref="AU5:AU6"/>
    <mergeCell ref="AV5:AW5"/>
    <mergeCell ref="AY5:BA5"/>
    <mergeCell ref="D6:E6"/>
    <mergeCell ref="G6:H6"/>
    <mergeCell ref="J6:K6"/>
    <mergeCell ref="M6:N6"/>
    <mergeCell ref="P6:S6"/>
    <mergeCell ref="U6:V6"/>
    <mergeCell ref="X6:Y6"/>
    <mergeCell ref="AA6:AB6"/>
    <mergeCell ref="AD6:AE6"/>
    <mergeCell ref="AY6:BA6"/>
    <mergeCell ref="J5:K5"/>
    <mergeCell ref="L5:L6"/>
    <mergeCell ref="M5:N5"/>
    <mergeCell ref="O5:O6"/>
    <mergeCell ref="P5:S5"/>
    <mergeCell ref="T5:T6"/>
    <mergeCell ref="B1:Q1"/>
    <mergeCell ref="A2:P2"/>
    <mergeCell ref="A3:AZ3"/>
    <mergeCell ref="A4:P4"/>
    <mergeCell ref="A5:B6"/>
    <mergeCell ref="C5:C6"/>
    <mergeCell ref="D5:E5"/>
    <mergeCell ref="F5:F6"/>
    <mergeCell ref="G5:H5"/>
    <mergeCell ref="I5:I6"/>
    <mergeCell ref="AC5:AC6"/>
    <mergeCell ref="AD5:AE5"/>
    <mergeCell ref="AF5:AF6"/>
    <mergeCell ref="AG5:AH5"/>
    <mergeCell ref="AI5:AI6"/>
    <mergeCell ref="U5:V5"/>
    <mergeCell ref="W5:W6"/>
    <mergeCell ref="X5:Y5"/>
    <mergeCell ref="Z5:Z6"/>
    <mergeCell ref="AA5:AB5"/>
    <mergeCell ref="AX5:AX6"/>
    <mergeCell ref="AJ5:AK5"/>
    <mergeCell ref="AL5:AL6"/>
    <mergeCell ref="AM5:AN5"/>
    <mergeCell ref="AO5:AO6"/>
    <mergeCell ref="AP5:AQ5"/>
    <mergeCell ref="AG6:AH6"/>
    <mergeCell ref="AJ6:AK6"/>
    <mergeCell ref="AM6:AN6"/>
    <mergeCell ref="AP6:AQ6"/>
    <mergeCell ref="AS6:AT6"/>
    <mergeCell ref="AV6:AW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01D6-0AF9-43D6-8A7B-CA1F9CBE7EE1}">
  <dimension ref="A1:BA20"/>
  <sheetViews>
    <sheetView showGridLines="0" topLeftCell="A4" workbookViewId="0">
      <selection activeCell="B23" sqref="B23"/>
    </sheetView>
  </sheetViews>
  <sheetFormatPr defaultRowHeight="15" x14ac:dyDescent="0.25"/>
  <cols>
    <col min="1" max="1" width="0.5703125" style="7" customWidth="1"/>
    <col min="2" max="2" width="43.85546875" style="7" customWidth="1"/>
    <col min="3" max="3" width="2.42578125" style="7" customWidth="1"/>
    <col min="4" max="4" width="2" style="7" customWidth="1"/>
    <col min="5" max="5" width="9" style="7" customWidth="1"/>
    <col min="6" max="6" width="2.42578125" style="7" customWidth="1"/>
    <col min="7" max="7" width="2" style="7" customWidth="1"/>
    <col min="8" max="8" width="9" style="7" customWidth="1"/>
    <col min="9" max="9" width="2.42578125" style="7" customWidth="1"/>
    <col min="10" max="10" width="2" style="7" customWidth="1"/>
    <col min="11" max="11" width="9" style="7" customWidth="1"/>
    <col min="12" max="12" width="2.42578125" style="7" customWidth="1"/>
    <col min="13" max="13" width="2" style="7" customWidth="1"/>
    <col min="14" max="14" width="9" style="7" customWidth="1"/>
    <col min="15" max="15" width="2.42578125" style="7" customWidth="1"/>
    <col min="16" max="16" width="1.140625" style="7" customWidth="1"/>
    <col min="17" max="17" width="0.5703125" style="7" customWidth="1"/>
    <col min="18" max="18" width="0.140625" style="7" customWidth="1"/>
    <col min="19" max="19" width="9" style="7" customWidth="1"/>
    <col min="20" max="20" width="2.42578125" style="7" customWidth="1"/>
    <col min="21" max="21" width="2" style="7" customWidth="1"/>
    <col min="22" max="22" width="9" style="7" customWidth="1"/>
    <col min="23" max="23" width="2.42578125" style="7" customWidth="1"/>
    <col min="24" max="24" width="2" style="7" customWidth="1"/>
    <col min="25" max="25" width="9" style="7" customWidth="1"/>
    <col min="26" max="26" width="2.42578125" style="7" customWidth="1"/>
    <col min="27" max="27" width="2" style="7" customWidth="1"/>
    <col min="28" max="28" width="9" style="7" customWidth="1"/>
    <col min="29" max="29" width="2.42578125" style="7" customWidth="1"/>
    <col min="30" max="30" width="2" style="7" customWidth="1"/>
    <col min="31" max="31" width="9" style="7" customWidth="1"/>
    <col min="32" max="32" width="2.42578125" style="7" customWidth="1"/>
    <col min="33" max="33" width="2" style="7" customWidth="1"/>
    <col min="34" max="34" width="9" style="7" customWidth="1"/>
    <col min="35" max="35" width="2.42578125" style="7" customWidth="1"/>
    <col min="36" max="36" width="2" style="7" customWidth="1"/>
    <col min="37" max="37" width="9" style="7" customWidth="1"/>
    <col min="38" max="38" width="2.42578125" style="7" customWidth="1"/>
    <col min="39" max="39" width="2" style="7" customWidth="1"/>
    <col min="40" max="40" width="9" style="7" customWidth="1"/>
    <col min="41" max="41" width="2.42578125" style="7" customWidth="1"/>
    <col min="42" max="42" width="2" style="7" customWidth="1"/>
    <col min="43" max="43" width="9" style="7" customWidth="1"/>
    <col min="44" max="44" width="2.42578125" style="7" customWidth="1"/>
    <col min="45" max="45" width="2" style="7" customWidth="1"/>
    <col min="46" max="46" width="9" style="7" customWidth="1"/>
    <col min="47" max="47" width="2.42578125" style="7" customWidth="1"/>
    <col min="48" max="48" width="2" style="7" customWidth="1"/>
    <col min="49" max="49" width="9" style="7" customWidth="1"/>
    <col min="50" max="50" width="2.42578125" style="7" customWidth="1"/>
    <col min="51" max="51" width="2" style="7" customWidth="1"/>
    <col min="52" max="52" width="6.5703125" style="7" customWidth="1"/>
    <col min="53" max="53" width="2.42578125" style="7" customWidth="1"/>
    <col min="54" max="16384" width="9.140625" style="6"/>
  </cols>
  <sheetData>
    <row r="1" spans="1:53" ht="20.45" customHeight="1" x14ac:dyDescent="0.25">
      <c r="A1" s="19"/>
      <c r="B1" s="174" t="s">
        <v>0</v>
      </c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</row>
    <row r="2" spans="1:53" ht="13.15" customHeight="1" x14ac:dyDescent="0.25">
      <c r="A2" s="175"/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</row>
    <row r="3" spans="1:53" ht="19.149999999999999" customHeight="1" x14ac:dyDescent="0.25">
      <c r="A3" s="176" t="s">
        <v>364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2"/>
      <c r="AF3" s="172"/>
      <c r="AG3" s="172"/>
      <c r="AH3" s="172"/>
      <c r="AI3" s="172"/>
      <c r="AJ3" s="172"/>
      <c r="AK3" s="172"/>
      <c r="AL3" s="172"/>
      <c r="AM3" s="172"/>
      <c r="AN3" s="172"/>
      <c r="AO3" s="172"/>
      <c r="AP3" s="172"/>
      <c r="AQ3" s="172"/>
      <c r="AR3" s="172"/>
      <c r="AS3" s="172"/>
      <c r="AT3" s="172"/>
      <c r="AU3" s="172"/>
      <c r="AV3" s="172"/>
      <c r="AW3" s="172"/>
      <c r="AX3" s="172"/>
      <c r="AY3" s="172"/>
      <c r="AZ3" s="172"/>
    </row>
    <row r="4" spans="1:53" ht="13.15" customHeight="1" x14ac:dyDescent="0.25">
      <c r="A4" s="175"/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</row>
    <row r="5" spans="1:53" ht="14.45" customHeight="1" x14ac:dyDescent="0.25">
      <c r="A5" s="173" t="s">
        <v>2</v>
      </c>
      <c r="B5" s="165"/>
      <c r="C5" s="167"/>
      <c r="D5" s="168" t="s">
        <v>3</v>
      </c>
      <c r="E5" s="165"/>
      <c r="F5" s="167"/>
      <c r="G5" s="168" t="s">
        <v>4</v>
      </c>
      <c r="H5" s="165"/>
      <c r="I5" s="167"/>
      <c r="J5" s="168" t="s">
        <v>5</v>
      </c>
      <c r="K5" s="165"/>
      <c r="L5" s="167"/>
      <c r="M5" s="168" t="s">
        <v>6</v>
      </c>
      <c r="N5" s="165"/>
      <c r="O5" s="167"/>
      <c r="P5" s="168" t="s">
        <v>7</v>
      </c>
      <c r="Q5" s="165"/>
      <c r="R5" s="165"/>
      <c r="S5" s="165"/>
      <c r="T5" s="167"/>
      <c r="U5" s="168" t="s">
        <v>8</v>
      </c>
      <c r="V5" s="165"/>
      <c r="W5" s="167"/>
      <c r="X5" s="168" t="s">
        <v>9</v>
      </c>
      <c r="Y5" s="165"/>
      <c r="Z5" s="167"/>
      <c r="AA5" s="168" t="s">
        <v>10</v>
      </c>
      <c r="AB5" s="165"/>
      <c r="AC5" s="167"/>
      <c r="AD5" s="168" t="s">
        <v>11</v>
      </c>
      <c r="AE5" s="165"/>
      <c r="AF5" s="167"/>
      <c r="AG5" s="168" t="s">
        <v>12</v>
      </c>
      <c r="AH5" s="165"/>
      <c r="AI5" s="167"/>
      <c r="AJ5" s="168" t="s">
        <v>13</v>
      </c>
      <c r="AK5" s="165"/>
      <c r="AL5" s="167"/>
      <c r="AM5" s="168" t="s">
        <v>14</v>
      </c>
      <c r="AN5" s="165"/>
      <c r="AO5" s="167"/>
      <c r="AP5" s="168" t="s">
        <v>15</v>
      </c>
      <c r="AQ5" s="165"/>
      <c r="AR5" s="167"/>
      <c r="AS5" s="168" t="s">
        <v>16</v>
      </c>
      <c r="AT5" s="165"/>
      <c r="AU5" s="167"/>
      <c r="AV5" s="168" t="s">
        <v>17</v>
      </c>
      <c r="AW5" s="165"/>
      <c r="AX5" s="167"/>
      <c r="AY5" s="168" t="s">
        <v>18</v>
      </c>
      <c r="AZ5" s="165"/>
      <c r="BA5" s="165"/>
    </row>
    <row r="6" spans="1:53" ht="14.45" customHeight="1" x14ac:dyDescent="0.25">
      <c r="A6" s="156"/>
      <c r="B6" s="156"/>
      <c r="C6" s="156"/>
      <c r="D6" s="169" t="s">
        <v>19</v>
      </c>
      <c r="E6" s="156"/>
      <c r="F6" s="156"/>
      <c r="G6" s="169" t="s">
        <v>19</v>
      </c>
      <c r="H6" s="156"/>
      <c r="I6" s="156"/>
      <c r="J6" s="169" t="s">
        <v>19</v>
      </c>
      <c r="K6" s="156"/>
      <c r="L6" s="156"/>
      <c r="M6" s="169" t="s">
        <v>19</v>
      </c>
      <c r="N6" s="156"/>
      <c r="O6" s="156"/>
      <c r="P6" s="169" t="s">
        <v>19</v>
      </c>
      <c r="Q6" s="156"/>
      <c r="R6" s="156"/>
      <c r="S6" s="156"/>
      <c r="T6" s="156"/>
      <c r="U6" s="169" t="s">
        <v>19</v>
      </c>
      <c r="V6" s="156"/>
      <c r="W6" s="156"/>
      <c r="X6" s="169" t="s">
        <v>19</v>
      </c>
      <c r="Y6" s="156"/>
      <c r="Z6" s="156"/>
      <c r="AA6" s="169" t="s">
        <v>19</v>
      </c>
      <c r="AB6" s="156"/>
      <c r="AC6" s="156"/>
      <c r="AD6" s="169" t="s">
        <v>19</v>
      </c>
      <c r="AE6" s="156"/>
      <c r="AF6" s="156"/>
      <c r="AG6" s="169" t="s">
        <v>19</v>
      </c>
      <c r="AH6" s="156"/>
      <c r="AI6" s="156"/>
      <c r="AJ6" s="169" t="s">
        <v>19</v>
      </c>
      <c r="AK6" s="156"/>
      <c r="AL6" s="156"/>
      <c r="AM6" s="169" t="s">
        <v>19</v>
      </c>
      <c r="AN6" s="156"/>
      <c r="AO6" s="156"/>
      <c r="AP6" s="169" t="s">
        <v>19</v>
      </c>
      <c r="AQ6" s="156"/>
      <c r="AR6" s="156"/>
      <c r="AS6" s="169" t="s">
        <v>19</v>
      </c>
      <c r="AT6" s="156"/>
      <c r="AU6" s="156"/>
      <c r="AV6" s="169" t="s">
        <v>19</v>
      </c>
      <c r="AW6" s="156"/>
      <c r="AX6" s="156"/>
      <c r="AY6" s="169" t="s">
        <v>19</v>
      </c>
      <c r="AZ6" s="156"/>
      <c r="BA6" s="156"/>
    </row>
    <row r="7" spans="1:53" ht="14.45" customHeight="1" x14ac:dyDescent="0.25">
      <c r="A7" s="165"/>
      <c r="B7" s="165"/>
      <c r="C7" s="165"/>
      <c r="D7" s="165"/>
      <c r="E7" s="9" t="s">
        <v>20</v>
      </c>
      <c r="F7" s="165"/>
      <c r="G7" s="165"/>
      <c r="H7" s="9" t="s">
        <v>20</v>
      </c>
      <c r="I7" s="165"/>
      <c r="J7" s="165"/>
      <c r="K7" s="9" t="s">
        <v>20</v>
      </c>
      <c r="L7" s="165"/>
      <c r="M7" s="165"/>
      <c r="N7" s="9" t="s">
        <v>20</v>
      </c>
      <c r="O7" s="165"/>
      <c r="P7" s="165"/>
      <c r="Q7" s="165"/>
      <c r="R7" s="165"/>
      <c r="S7" s="9" t="s">
        <v>20</v>
      </c>
      <c r="T7" s="165"/>
      <c r="U7" s="165"/>
      <c r="V7" s="9" t="s">
        <v>20</v>
      </c>
      <c r="W7" s="165"/>
      <c r="X7" s="165"/>
      <c r="Y7" s="9" t="s">
        <v>20</v>
      </c>
      <c r="Z7" s="165"/>
      <c r="AA7" s="165"/>
      <c r="AB7" s="9" t="s">
        <v>20</v>
      </c>
      <c r="AC7" s="165"/>
      <c r="AD7" s="165"/>
      <c r="AE7" s="9" t="s">
        <v>20</v>
      </c>
      <c r="AF7" s="165"/>
      <c r="AG7" s="165"/>
      <c r="AH7" s="9" t="s">
        <v>20</v>
      </c>
      <c r="AI7" s="165"/>
      <c r="AJ7" s="165"/>
      <c r="AK7" s="9" t="s">
        <v>20</v>
      </c>
      <c r="AL7" s="165"/>
      <c r="AM7" s="165"/>
      <c r="AN7" s="9" t="s">
        <v>20</v>
      </c>
      <c r="AO7" s="165"/>
      <c r="AP7" s="165"/>
      <c r="AQ7" s="9" t="s">
        <v>20</v>
      </c>
      <c r="AR7" s="165"/>
      <c r="AS7" s="165"/>
      <c r="AT7" s="9" t="s">
        <v>20</v>
      </c>
      <c r="AU7" s="165"/>
      <c r="AV7" s="165"/>
      <c r="AW7" s="9" t="s">
        <v>20</v>
      </c>
      <c r="AX7" s="165"/>
      <c r="AY7" s="165"/>
      <c r="AZ7" s="166" t="s">
        <v>20</v>
      </c>
      <c r="BA7" s="165"/>
    </row>
    <row r="8" spans="1:53" ht="14.45" customHeight="1" x14ac:dyDescent="0.25">
      <c r="A8" s="165"/>
      <c r="B8" s="165"/>
      <c r="C8" s="165"/>
      <c r="D8" s="165"/>
      <c r="E8" s="9" t="s">
        <v>21</v>
      </c>
      <c r="F8" s="165"/>
      <c r="G8" s="165"/>
      <c r="I8" s="165"/>
      <c r="J8" s="165"/>
      <c r="K8" s="9" t="s">
        <v>21</v>
      </c>
      <c r="L8" s="165"/>
      <c r="M8" s="165"/>
      <c r="N8" s="9" t="s">
        <v>21</v>
      </c>
      <c r="O8" s="165"/>
      <c r="P8" s="165"/>
      <c r="Q8" s="165"/>
      <c r="R8" s="165"/>
      <c r="S8" s="9" t="s">
        <v>21</v>
      </c>
      <c r="T8" s="165"/>
      <c r="U8" s="165"/>
      <c r="V8" s="9" t="s">
        <v>21</v>
      </c>
      <c r="W8" s="165"/>
      <c r="X8" s="165"/>
      <c r="Z8" s="165"/>
      <c r="AA8" s="165"/>
      <c r="AC8" s="165"/>
      <c r="AD8" s="165"/>
      <c r="AF8" s="165"/>
      <c r="AG8" s="165"/>
      <c r="AI8" s="165"/>
      <c r="AJ8" s="165"/>
      <c r="AL8" s="165"/>
      <c r="AM8" s="165"/>
      <c r="AO8" s="165"/>
      <c r="AP8" s="165"/>
      <c r="AR8" s="165"/>
      <c r="AS8" s="165"/>
      <c r="AU8" s="165"/>
      <c r="AV8" s="165"/>
      <c r="AX8" s="165"/>
      <c r="AY8" s="165"/>
      <c r="AZ8" s="165"/>
      <c r="BA8" s="165"/>
    </row>
    <row r="9" spans="1:53" ht="14.45" customHeight="1" x14ac:dyDescent="0.25">
      <c r="A9" s="156"/>
      <c r="B9" s="156"/>
      <c r="C9" s="156"/>
      <c r="D9" s="156"/>
      <c r="E9" s="8" t="s">
        <v>22</v>
      </c>
      <c r="F9" s="156"/>
      <c r="G9" s="156"/>
      <c r="H9" s="8" t="s">
        <v>22</v>
      </c>
      <c r="I9" s="156"/>
      <c r="J9" s="156"/>
      <c r="K9" s="8" t="s">
        <v>22</v>
      </c>
      <c r="L9" s="156"/>
      <c r="M9" s="156"/>
      <c r="N9" s="8" t="s">
        <v>22</v>
      </c>
      <c r="O9" s="156"/>
      <c r="P9" s="156"/>
      <c r="Q9" s="156"/>
      <c r="R9" s="156"/>
      <c r="S9" s="8" t="s">
        <v>22</v>
      </c>
      <c r="T9" s="156"/>
      <c r="U9" s="156"/>
      <c r="V9" s="8" t="s">
        <v>22</v>
      </c>
      <c r="W9" s="156"/>
      <c r="X9" s="156"/>
      <c r="Y9" s="8" t="s">
        <v>22</v>
      </c>
      <c r="Z9" s="156"/>
      <c r="AA9" s="156"/>
      <c r="AB9" s="8" t="s">
        <v>22</v>
      </c>
      <c r="AC9" s="156"/>
      <c r="AD9" s="156"/>
      <c r="AE9" s="8" t="s">
        <v>22</v>
      </c>
      <c r="AF9" s="156"/>
      <c r="AG9" s="156"/>
      <c r="AH9" s="8" t="s">
        <v>22</v>
      </c>
      <c r="AI9" s="156"/>
      <c r="AJ9" s="156"/>
      <c r="AK9" s="8" t="s">
        <v>22</v>
      </c>
      <c r="AL9" s="156"/>
      <c r="AM9" s="156"/>
      <c r="AN9" s="8" t="s">
        <v>23</v>
      </c>
      <c r="AO9" s="156"/>
      <c r="AP9" s="156"/>
      <c r="AQ9" s="8" t="s">
        <v>23</v>
      </c>
      <c r="AR9" s="156"/>
      <c r="AS9" s="156"/>
      <c r="AT9" s="8" t="s">
        <v>23</v>
      </c>
      <c r="AU9" s="156"/>
      <c r="AV9" s="156"/>
      <c r="AW9" s="8" t="s">
        <v>23</v>
      </c>
      <c r="AX9" s="156"/>
      <c r="AY9" s="156"/>
      <c r="AZ9" s="157" t="s">
        <v>23</v>
      </c>
      <c r="BA9" s="156"/>
    </row>
    <row r="10" spans="1:53" ht="14.45" customHeight="1" x14ac:dyDescent="0.25">
      <c r="A10" s="158" t="s">
        <v>365</v>
      </c>
      <c r="B10" s="156"/>
      <c r="C10" s="178">
        <v>61.694000000000003</v>
      </c>
      <c r="D10" s="156"/>
      <c r="E10" s="156"/>
      <c r="F10" s="178">
        <v>6.0010000000000003</v>
      </c>
      <c r="G10" s="156"/>
      <c r="H10" s="156"/>
      <c r="I10" s="178">
        <v>2.6840000000000002</v>
      </c>
      <c r="J10" s="156"/>
      <c r="K10" s="156"/>
      <c r="L10" s="178">
        <v>0.59199999999999997</v>
      </c>
      <c r="M10" s="156"/>
      <c r="N10" s="156"/>
      <c r="O10" s="178">
        <v>-0.48399999999999999</v>
      </c>
      <c r="P10" s="156"/>
      <c r="Q10" s="156"/>
      <c r="R10" s="156"/>
      <c r="S10" s="156"/>
      <c r="T10" s="178">
        <v>3.6739999999999999</v>
      </c>
      <c r="U10" s="156"/>
      <c r="V10" s="156"/>
      <c r="W10" s="178">
        <v>3.8820000000000001</v>
      </c>
      <c r="X10" s="156"/>
      <c r="Y10" s="156"/>
      <c r="Z10" s="178">
        <v>-33.667999999999999</v>
      </c>
      <c r="AA10" s="156"/>
      <c r="AB10" s="156"/>
      <c r="AC10" s="178">
        <v>-8.0169999999999995</v>
      </c>
      <c r="AD10" s="156"/>
      <c r="AE10" s="156"/>
      <c r="AF10" s="178">
        <v>-6.8230000000000004</v>
      </c>
      <c r="AG10" s="156"/>
      <c r="AH10" s="156"/>
      <c r="AI10" s="178">
        <v>-5.593</v>
      </c>
      <c r="AJ10" s="156"/>
      <c r="AK10" s="156"/>
      <c r="AL10" s="178">
        <v>5.9809999999999999</v>
      </c>
      <c r="AM10" s="156"/>
      <c r="AN10" s="156"/>
      <c r="AO10" s="178">
        <v>5.4809999999999999</v>
      </c>
      <c r="AP10" s="156"/>
      <c r="AQ10" s="156"/>
      <c r="AR10" s="178">
        <v>-2.7170000000000001</v>
      </c>
      <c r="AS10" s="156"/>
      <c r="AT10" s="156"/>
      <c r="AU10" s="178">
        <v>-0.999</v>
      </c>
      <c r="AV10" s="156"/>
      <c r="AW10" s="156"/>
      <c r="AX10" s="157" t="s">
        <v>28</v>
      </c>
      <c r="AY10" s="156"/>
      <c r="AZ10" s="156"/>
      <c r="BA10" s="156"/>
    </row>
    <row r="11" spans="1:53" ht="14.45" customHeight="1" x14ac:dyDescent="0.25">
      <c r="A11" s="158" t="s">
        <v>349</v>
      </c>
      <c r="B11" s="156"/>
      <c r="C11" s="178">
        <v>48.904000000000003</v>
      </c>
      <c r="D11" s="156"/>
      <c r="E11" s="156"/>
      <c r="F11" s="178">
        <v>1.351</v>
      </c>
      <c r="G11" s="156"/>
      <c r="H11" s="156"/>
      <c r="I11" s="178">
        <v>-1.3620000000000001</v>
      </c>
      <c r="J11" s="156"/>
      <c r="K11" s="156"/>
      <c r="L11" s="178">
        <v>-4.5</v>
      </c>
      <c r="M11" s="156"/>
      <c r="N11" s="156"/>
      <c r="O11" s="178">
        <v>-9.8610000000000007</v>
      </c>
      <c r="P11" s="156"/>
      <c r="Q11" s="156"/>
      <c r="R11" s="156"/>
      <c r="S11" s="156"/>
      <c r="T11" s="178">
        <v>-11.925000000000001</v>
      </c>
      <c r="U11" s="156"/>
      <c r="V11" s="156"/>
      <c r="W11" s="178">
        <v>23.835000000000001</v>
      </c>
      <c r="X11" s="156"/>
      <c r="Y11" s="156"/>
      <c r="Z11" s="178">
        <v>93.176000000000002</v>
      </c>
      <c r="AA11" s="156"/>
      <c r="AB11" s="156"/>
      <c r="AC11" s="178">
        <v>-28.138999999999999</v>
      </c>
      <c r="AD11" s="156"/>
      <c r="AE11" s="156"/>
      <c r="AF11" s="178">
        <v>-9.218</v>
      </c>
      <c r="AG11" s="156"/>
      <c r="AH11" s="156"/>
      <c r="AI11" s="178">
        <v>-28.315000000000001</v>
      </c>
      <c r="AJ11" s="156"/>
      <c r="AK11" s="156"/>
      <c r="AL11" s="178">
        <v>29.51</v>
      </c>
      <c r="AM11" s="156"/>
      <c r="AN11" s="156"/>
      <c r="AO11" s="178">
        <v>37.790999999999997</v>
      </c>
      <c r="AP11" s="156"/>
      <c r="AQ11" s="156"/>
      <c r="AR11" s="178">
        <v>-30.34</v>
      </c>
      <c r="AS11" s="156"/>
      <c r="AT11" s="156"/>
      <c r="AU11" s="178">
        <v>-20.866</v>
      </c>
      <c r="AV11" s="156"/>
      <c r="AW11" s="156"/>
      <c r="AX11" s="157" t="s">
        <v>28</v>
      </c>
      <c r="AY11" s="156"/>
      <c r="AZ11" s="156"/>
      <c r="BA11" s="156"/>
    </row>
    <row r="12" spans="1:53" ht="14.45" customHeight="1" x14ac:dyDescent="0.25">
      <c r="A12" s="158" t="s">
        <v>356</v>
      </c>
      <c r="B12" s="156"/>
      <c r="C12" s="178">
        <v>344.392</v>
      </c>
      <c r="D12" s="156"/>
      <c r="E12" s="156"/>
      <c r="F12" s="178">
        <v>-2.9929999999999999</v>
      </c>
      <c r="G12" s="156"/>
      <c r="H12" s="156"/>
      <c r="I12" s="178">
        <v>-3.754</v>
      </c>
      <c r="J12" s="156"/>
      <c r="K12" s="156"/>
      <c r="L12" s="178">
        <v>-2.5430000000000001</v>
      </c>
      <c r="M12" s="156"/>
      <c r="N12" s="156"/>
      <c r="O12" s="178">
        <v>-11.396000000000001</v>
      </c>
      <c r="P12" s="156"/>
      <c r="Q12" s="156"/>
      <c r="R12" s="156"/>
      <c r="S12" s="156"/>
      <c r="T12" s="178">
        <v>50.616999999999997</v>
      </c>
      <c r="U12" s="156"/>
      <c r="V12" s="156"/>
      <c r="W12" s="178">
        <v>-10.398</v>
      </c>
      <c r="X12" s="156"/>
      <c r="Y12" s="156"/>
      <c r="Z12" s="178">
        <v>2.218</v>
      </c>
      <c r="AA12" s="156"/>
      <c r="AB12" s="156"/>
      <c r="AC12" s="178">
        <v>-22.82</v>
      </c>
      <c r="AD12" s="156"/>
      <c r="AE12" s="156"/>
      <c r="AF12" s="178">
        <v>-21.48</v>
      </c>
      <c r="AG12" s="156"/>
      <c r="AH12" s="156"/>
      <c r="AI12" s="178">
        <v>-3.0590000000000002</v>
      </c>
      <c r="AJ12" s="156"/>
      <c r="AK12" s="156"/>
      <c r="AL12" s="178">
        <v>-0.13600000000000001</v>
      </c>
      <c r="AM12" s="156"/>
      <c r="AN12" s="156"/>
      <c r="AO12" s="178">
        <v>-3.2989999999999999</v>
      </c>
      <c r="AP12" s="156"/>
      <c r="AQ12" s="156"/>
      <c r="AR12" s="178">
        <v>5.9969999999999999</v>
      </c>
      <c r="AS12" s="156"/>
      <c r="AT12" s="156"/>
      <c r="AU12" s="178">
        <v>8.27</v>
      </c>
      <c r="AV12" s="156"/>
      <c r="AW12" s="156"/>
      <c r="AX12" s="157" t="s">
        <v>28</v>
      </c>
      <c r="AY12" s="156"/>
      <c r="AZ12" s="156"/>
      <c r="BA12" s="156"/>
    </row>
    <row r="13" spans="1:53" ht="14.45" customHeight="1" x14ac:dyDescent="0.25">
      <c r="A13" s="158" t="s">
        <v>357</v>
      </c>
      <c r="B13" s="156"/>
      <c r="C13" s="178">
        <v>12.332000000000001</v>
      </c>
      <c r="D13" s="156"/>
      <c r="E13" s="156"/>
      <c r="F13" s="178">
        <v>8.9949999999999992</v>
      </c>
      <c r="G13" s="156"/>
      <c r="H13" s="156"/>
      <c r="I13" s="178">
        <v>6.9649999999999999</v>
      </c>
      <c r="J13" s="156"/>
      <c r="K13" s="156"/>
      <c r="L13" s="178">
        <v>6.5549999999999997</v>
      </c>
      <c r="M13" s="156"/>
      <c r="N13" s="156"/>
      <c r="O13" s="178">
        <v>6.8220000000000001</v>
      </c>
      <c r="P13" s="156"/>
      <c r="Q13" s="156"/>
      <c r="R13" s="156"/>
      <c r="S13" s="156"/>
      <c r="T13" s="178">
        <v>7.4039999999999999</v>
      </c>
      <c r="U13" s="156"/>
      <c r="V13" s="156"/>
      <c r="W13" s="178">
        <v>-17.782</v>
      </c>
      <c r="X13" s="156"/>
      <c r="Y13" s="156"/>
      <c r="Z13" s="178">
        <v>3.117</v>
      </c>
      <c r="AA13" s="156"/>
      <c r="AB13" s="156"/>
      <c r="AC13" s="178">
        <v>9.0519999999999996</v>
      </c>
      <c r="AD13" s="156"/>
      <c r="AE13" s="156"/>
      <c r="AF13" s="178">
        <v>0.49299999999999999</v>
      </c>
      <c r="AG13" s="156"/>
      <c r="AH13" s="156"/>
      <c r="AI13" s="178">
        <v>3.9020000000000001</v>
      </c>
      <c r="AJ13" s="156"/>
      <c r="AK13" s="156"/>
      <c r="AL13" s="178">
        <v>4.26</v>
      </c>
      <c r="AM13" s="156"/>
      <c r="AN13" s="156"/>
      <c r="AO13" s="178">
        <v>3.7850000000000001</v>
      </c>
      <c r="AP13" s="156"/>
      <c r="AQ13" s="156"/>
      <c r="AR13" s="178">
        <v>1.6859999999999999</v>
      </c>
      <c r="AS13" s="156"/>
      <c r="AT13" s="156"/>
      <c r="AU13" s="178">
        <v>2.6669999999999998</v>
      </c>
      <c r="AV13" s="156"/>
      <c r="AW13" s="156"/>
      <c r="AX13" s="157" t="s">
        <v>28</v>
      </c>
      <c r="AY13" s="156"/>
      <c r="AZ13" s="156"/>
      <c r="BA13" s="156"/>
    </row>
    <row r="14" spans="1:53" ht="14.45" customHeight="1" x14ac:dyDescent="0.25">
      <c r="A14" s="158" t="s">
        <v>316</v>
      </c>
      <c r="B14" s="156"/>
      <c r="C14" s="178">
        <v>77.915000000000006</v>
      </c>
      <c r="D14" s="156"/>
      <c r="E14" s="156"/>
      <c r="F14" s="178">
        <v>18.013000000000002</v>
      </c>
      <c r="G14" s="156"/>
      <c r="H14" s="156"/>
      <c r="I14" s="178">
        <v>6.0309999999999997</v>
      </c>
      <c r="J14" s="156"/>
      <c r="K14" s="156"/>
      <c r="L14" s="178">
        <v>7.6230000000000002</v>
      </c>
      <c r="M14" s="156"/>
      <c r="N14" s="156"/>
      <c r="O14" s="178">
        <v>13.266</v>
      </c>
      <c r="P14" s="156"/>
      <c r="Q14" s="156"/>
      <c r="R14" s="156"/>
      <c r="S14" s="156"/>
      <c r="T14" s="178">
        <v>33.411999999999999</v>
      </c>
      <c r="U14" s="156"/>
      <c r="V14" s="156"/>
      <c r="W14" s="178">
        <v>-1.216</v>
      </c>
      <c r="X14" s="156"/>
      <c r="Y14" s="156"/>
      <c r="Z14" s="178">
        <v>-7.9249999999999998</v>
      </c>
      <c r="AA14" s="156"/>
      <c r="AB14" s="156"/>
      <c r="AC14" s="178">
        <v>-5.6340000000000003</v>
      </c>
      <c r="AD14" s="156"/>
      <c r="AE14" s="156"/>
      <c r="AF14" s="178">
        <v>-4.5220000000000002</v>
      </c>
      <c r="AG14" s="156"/>
      <c r="AH14" s="156"/>
      <c r="AI14" s="178">
        <v>0.66300000000000003</v>
      </c>
      <c r="AJ14" s="156"/>
      <c r="AK14" s="156"/>
      <c r="AL14" s="178">
        <v>-9.3979999999999997</v>
      </c>
      <c r="AM14" s="156"/>
      <c r="AN14" s="156"/>
      <c r="AO14" s="178">
        <v>-18.509</v>
      </c>
      <c r="AP14" s="156"/>
      <c r="AQ14" s="156"/>
      <c r="AR14" s="178">
        <v>-16.928000000000001</v>
      </c>
      <c r="AS14" s="156"/>
      <c r="AT14" s="156"/>
      <c r="AU14" s="178">
        <v>-0.23499999999999999</v>
      </c>
      <c r="AV14" s="156"/>
      <c r="AW14" s="156"/>
      <c r="AX14" s="157" t="s">
        <v>28</v>
      </c>
      <c r="AY14" s="156"/>
      <c r="AZ14" s="156"/>
      <c r="BA14" s="156"/>
    </row>
    <row r="15" spans="1:53" ht="14.45" customHeight="1" x14ac:dyDescent="0.25">
      <c r="A15" s="158" t="s">
        <v>325</v>
      </c>
      <c r="B15" s="156"/>
      <c r="C15" s="178">
        <v>120.575</v>
      </c>
      <c r="D15" s="156"/>
      <c r="E15" s="156"/>
      <c r="F15" s="178">
        <v>-8.6210000000000004</v>
      </c>
      <c r="G15" s="156"/>
      <c r="H15" s="156"/>
      <c r="I15" s="178">
        <v>10.8</v>
      </c>
      <c r="J15" s="156"/>
      <c r="K15" s="156"/>
      <c r="L15" s="178">
        <v>-18.552</v>
      </c>
      <c r="M15" s="156"/>
      <c r="N15" s="156"/>
      <c r="O15" s="178">
        <v>21.963000000000001</v>
      </c>
      <c r="P15" s="156"/>
      <c r="Q15" s="156"/>
      <c r="R15" s="156"/>
      <c r="S15" s="156"/>
      <c r="T15" s="178">
        <v>-19.129000000000001</v>
      </c>
      <c r="U15" s="156"/>
      <c r="V15" s="156"/>
      <c r="W15" s="178">
        <v>37.04</v>
      </c>
      <c r="X15" s="156"/>
      <c r="Y15" s="156"/>
      <c r="Z15" s="178">
        <v>-11.215999999999999</v>
      </c>
      <c r="AA15" s="156"/>
      <c r="AB15" s="156"/>
      <c r="AC15" s="178">
        <v>-26.667000000000002</v>
      </c>
      <c r="AD15" s="156"/>
      <c r="AE15" s="156"/>
      <c r="AF15" s="178">
        <v>15.972</v>
      </c>
      <c r="AG15" s="156"/>
      <c r="AH15" s="156"/>
      <c r="AI15" s="178">
        <v>-9.3179999999999996</v>
      </c>
      <c r="AJ15" s="156"/>
      <c r="AK15" s="156"/>
      <c r="AL15" s="178">
        <v>20.184000000000001</v>
      </c>
      <c r="AM15" s="156"/>
      <c r="AN15" s="156"/>
      <c r="AO15" s="178">
        <v>6.1470000000000002</v>
      </c>
      <c r="AP15" s="156"/>
      <c r="AQ15" s="156"/>
      <c r="AR15" s="178">
        <v>-8.42</v>
      </c>
      <c r="AS15" s="156"/>
      <c r="AT15" s="156"/>
      <c r="AU15" s="178">
        <v>-8.9710000000000001</v>
      </c>
      <c r="AV15" s="156"/>
      <c r="AW15" s="156"/>
      <c r="AX15" s="157" t="s">
        <v>28</v>
      </c>
      <c r="AY15" s="156"/>
      <c r="AZ15" s="156"/>
      <c r="BA15" s="156"/>
    </row>
    <row r="16" spans="1:53" ht="14.45" customHeight="1" x14ac:dyDescent="0.25">
      <c r="A16" s="158" t="s">
        <v>326</v>
      </c>
      <c r="B16" s="156"/>
      <c r="C16" s="178">
        <v>126.404</v>
      </c>
      <c r="D16" s="156"/>
      <c r="E16" s="156"/>
      <c r="F16" s="178">
        <v>165.804</v>
      </c>
      <c r="G16" s="156"/>
      <c r="H16" s="156"/>
      <c r="I16" s="178">
        <v>-53.715000000000003</v>
      </c>
      <c r="J16" s="156"/>
      <c r="K16" s="156"/>
      <c r="L16" s="178">
        <v>-25.756</v>
      </c>
      <c r="M16" s="156"/>
      <c r="N16" s="156"/>
      <c r="O16" s="178">
        <v>-9.8680000000000003</v>
      </c>
      <c r="P16" s="156"/>
      <c r="Q16" s="156"/>
      <c r="R16" s="156"/>
      <c r="S16" s="156"/>
      <c r="T16" s="178">
        <v>-11.705</v>
      </c>
      <c r="U16" s="156"/>
      <c r="V16" s="156"/>
      <c r="W16" s="178">
        <v>22.754999999999999</v>
      </c>
      <c r="X16" s="156"/>
      <c r="Y16" s="156"/>
      <c r="Z16" s="178">
        <v>88.414000000000001</v>
      </c>
      <c r="AA16" s="156"/>
      <c r="AB16" s="156"/>
      <c r="AC16" s="178">
        <v>-27.747</v>
      </c>
      <c r="AD16" s="156"/>
      <c r="AE16" s="156"/>
      <c r="AF16" s="178">
        <v>-8.8130000000000006</v>
      </c>
      <c r="AG16" s="156"/>
      <c r="AH16" s="156"/>
      <c r="AI16" s="178">
        <v>-27.303000000000001</v>
      </c>
      <c r="AJ16" s="156"/>
      <c r="AK16" s="156"/>
      <c r="AL16" s="178">
        <v>28.382000000000001</v>
      </c>
      <c r="AM16" s="156"/>
      <c r="AN16" s="156"/>
      <c r="AO16" s="178">
        <v>35.674999999999997</v>
      </c>
      <c r="AP16" s="156"/>
      <c r="AQ16" s="156"/>
      <c r="AR16" s="178">
        <v>-29.297999999999998</v>
      </c>
      <c r="AS16" s="156"/>
      <c r="AT16" s="156"/>
      <c r="AU16" s="178">
        <v>-21.655999999999999</v>
      </c>
      <c r="AV16" s="156"/>
      <c r="AW16" s="156"/>
      <c r="AX16" s="157" t="s">
        <v>28</v>
      </c>
      <c r="AY16" s="156"/>
      <c r="AZ16" s="156"/>
      <c r="BA16" s="156"/>
    </row>
    <row r="17" spans="1:53" ht="14.45" customHeight="1" x14ac:dyDescent="0.25">
      <c r="A17" s="158" t="s">
        <v>366</v>
      </c>
      <c r="B17" s="156"/>
      <c r="C17" s="157" t="s">
        <v>367</v>
      </c>
      <c r="D17" s="156"/>
      <c r="E17" s="156"/>
      <c r="F17" s="178">
        <v>-100</v>
      </c>
      <c r="G17" s="156"/>
      <c r="H17" s="156"/>
      <c r="I17" s="157" t="s">
        <v>367</v>
      </c>
      <c r="J17" s="156"/>
      <c r="K17" s="156"/>
      <c r="L17" s="157" t="s">
        <v>367</v>
      </c>
      <c r="M17" s="156"/>
      <c r="N17" s="156"/>
      <c r="O17" s="157" t="s">
        <v>367</v>
      </c>
      <c r="P17" s="156"/>
      <c r="Q17" s="156"/>
      <c r="R17" s="156"/>
      <c r="S17" s="156"/>
      <c r="T17" s="157" t="s">
        <v>367</v>
      </c>
      <c r="U17" s="156"/>
      <c r="V17" s="156"/>
      <c r="W17" s="157" t="s">
        <v>367</v>
      </c>
      <c r="X17" s="156"/>
      <c r="Y17" s="156"/>
      <c r="Z17" s="157" t="s">
        <v>367</v>
      </c>
      <c r="AA17" s="156"/>
      <c r="AB17" s="156"/>
      <c r="AC17" s="157" t="s">
        <v>367</v>
      </c>
      <c r="AD17" s="156"/>
      <c r="AE17" s="156"/>
      <c r="AF17" s="157" t="s">
        <v>367</v>
      </c>
      <c r="AG17" s="156"/>
      <c r="AH17" s="156"/>
      <c r="AI17" s="157" t="s">
        <v>367</v>
      </c>
      <c r="AJ17" s="156"/>
      <c r="AK17" s="156"/>
      <c r="AL17" s="157" t="s">
        <v>367</v>
      </c>
      <c r="AM17" s="156"/>
      <c r="AN17" s="156"/>
      <c r="AO17" s="157" t="s">
        <v>367</v>
      </c>
      <c r="AP17" s="156"/>
      <c r="AQ17" s="156"/>
      <c r="AR17" s="157" t="s">
        <v>367</v>
      </c>
      <c r="AS17" s="156"/>
      <c r="AT17" s="156"/>
      <c r="AU17" s="157" t="s">
        <v>367</v>
      </c>
      <c r="AV17" s="156"/>
      <c r="AW17" s="156"/>
      <c r="AX17" s="157" t="s">
        <v>28</v>
      </c>
      <c r="AY17" s="156"/>
      <c r="AZ17" s="156"/>
      <c r="BA17" s="156"/>
    </row>
    <row r="18" spans="1:53" ht="14.45" customHeight="1" x14ac:dyDescent="0.25">
      <c r="A18" s="158" t="s">
        <v>337</v>
      </c>
      <c r="B18" s="156"/>
      <c r="C18" s="178">
        <v>133.959</v>
      </c>
      <c r="D18" s="156"/>
      <c r="E18" s="156"/>
      <c r="F18" s="178">
        <v>-19.161999999999999</v>
      </c>
      <c r="G18" s="156"/>
      <c r="H18" s="156"/>
      <c r="I18" s="178">
        <v>7.327</v>
      </c>
      <c r="J18" s="156"/>
      <c r="K18" s="156"/>
      <c r="L18" s="178">
        <v>3.2959999999999998</v>
      </c>
      <c r="M18" s="156"/>
      <c r="N18" s="156"/>
      <c r="O18" s="178">
        <v>1.534</v>
      </c>
      <c r="P18" s="156"/>
      <c r="Q18" s="156"/>
      <c r="R18" s="156"/>
      <c r="S18" s="156"/>
      <c r="T18" s="178">
        <v>18.085000000000001</v>
      </c>
      <c r="U18" s="156"/>
      <c r="V18" s="156"/>
      <c r="W18" s="178">
        <v>-6.19</v>
      </c>
      <c r="X18" s="156"/>
      <c r="Y18" s="156"/>
      <c r="Z18" s="178">
        <v>81.078999999999994</v>
      </c>
      <c r="AA18" s="156"/>
      <c r="AB18" s="156"/>
      <c r="AC18" s="178">
        <v>-70.546000000000006</v>
      </c>
      <c r="AD18" s="156"/>
      <c r="AE18" s="156"/>
      <c r="AF18" s="178">
        <v>9.2720000000000002</v>
      </c>
      <c r="AG18" s="156"/>
      <c r="AH18" s="156"/>
      <c r="AI18" s="178">
        <v>-6.109</v>
      </c>
      <c r="AJ18" s="156"/>
      <c r="AK18" s="156"/>
      <c r="AL18" s="178">
        <v>11.423</v>
      </c>
      <c r="AM18" s="156"/>
      <c r="AN18" s="156"/>
      <c r="AO18" s="178">
        <v>10.5</v>
      </c>
      <c r="AP18" s="156"/>
      <c r="AQ18" s="156"/>
      <c r="AR18" s="178">
        <v>-6.0709999999999997</v>
      </c>
      <c r="AS18" s="156"/>
      <c r="AT18" s="156"/>
      <c r="AU18" s="178">
        <v>-8.4649999999999999</v>
      </c>
      <c r="AV18" s="156"/>
      <c r="AW18" s="156"/>
      <c r="AX18" s="157" t="s">
        <v>28</v>
      </c>
      <c r="AY18" s="156"/>
      <c r="AZ18" s="156"/>
      <c r="BA18" s="156"/>
    </row>
    <row r="19" spans="1:53" ht="14.45" customHeight="1" x14ac:dyDescent="0.25">
      <c r="A19" s="158" t="s">
        <v>368</v>
      </c>
      <c r="B19" s="156"/>
      <c r="C19" s="178">
        <v>1.903</v>
      </c>
      <c r="D19" s="156"/>
      <c r="E19" s="156"/>
      <c r="F19" s="178">
        <v>-0.28899999999999998</v>
      </c>
      <c r="G19" s="156"/>
      <c r="H19" s="156"/>
      <c r="I19" s="178">
        <v>0.502</v>
      </c>
      <c r="J19" s="156"/>
      <c r="K19" s="156"/>
      <c r="L19" s="178">
        <v>-0.31900000000000001</v>
      </c>
      <c r="M19" s="156"/>
      <c r="N19" s="156"/>
      <c r="O19" s="178">
        <v>0.129</v>
      </c>
      <c r="P19" s="156"/>
      <c r="Q19" s="156"/>
      <c r="R19" s="156"/>
      <c r="S19" s="156"/>
      <c r="T19" s="178">
        <v>0.17799999999999999</v>
      </c>
      <c r="U19" s="156"/>
      <c r="V19" s="156"/>
      <c r="W19" s="178">
        <v>-7.0000000000000007E-2</v>
      </c>
      <c r="X19" s="156"/>
      <c r="Y19" s="156"/>
      <c r="Z19" s="178">
        <v>-2.105</v>
      </c>
      <c r="AA19" s="156"/>
      <c r="AB19" s="156"/>
      <c r="AC19" s="178">
        <v>-3.581</v>
      </c>
      <c r="AD19" s="156"/>
      <c r="AE19" s="156"/>
      <c r="AF19" s="178">
        <v>-0.63900000000000001</v>
      </c>
      <c r="AG19" s="156"/>
      <c r="AH19" s="156"/>
      <c r="AI19" s="178">
        <v>-0.248</v>
      </c>
      <c r="AJ19" s="156"/>
      <c r="AK19" s="156"/>
      <c r="AL19" s="178">
        <v>0.17699999999999999</v>
      </c>
      <c r="AM19" s="156"/>
      <c r="AN19" s="156"/>
      <c r="AO19" s="178">
        <v>3.6999999999999998E-2</v>
      </c>
      <c r="AP19" s="156"/>
      <c r="AQ19" s="156"/>
      <c r="AR19" s="178">
        <v>-0.32</v>
      </c>
      <c r="AS19" s="156"/>
      <c r="AT19" s="156"/>
      <c r="AU19" s="178">
        <v>8.2000000000000003E-2</v>
      </c>
      <c r="AV19" s="156"/>
      <c r="AW19" s="156"/>
      <c r="AX19" s="157" t="s">
        <v>367</v>
      </c>
      <c r="AY19" s="156"/>
      <c r="AZ19" s="156"/>
      <c r="BA19" s="156"/>
    </row>
    <row r="20" spans="1:53" ht="14.45" customHeight="1" x14ac:dyDescent="0.25">
      <c r="A20" s="158" t="s">
        <v>369</v>
      </c>
      <c r="B20" s="156"/>
      <c r="C20" s="178">
        <v>36.841999999999999</v>
      </c>
      <c r="D20" s="156"/>
      <c r="E20" s="156"/>
      <c r="F20" s="178">
        <v>9.3889999999999993</v>
      </c>
      <c r="G20" s="156"/>
      <c r="H20" s="156"/>
      <c r="I20" s="178">
        <v>32.881</v>
      </c>
      <c r="J20" s="156"/>
      <c r="K20" s="156"/>
      <c r="L20" s="178">
        <v>774.41</v>
      </c>
      <c r="M20" s="156"/>
      <c r="N20" s="156"/>
      <c r="O20" s="178">
        <v>-45.816000000000003</v>
      </c>
      <c r="P20" s="156"/>
      <c r="Q20" s="156"/>
      <c r="R20" s="156"/>
      <c r="S20" s="156"/>
      <c r="T20" s="178">
        <v>-92.019000000000005</v>
      </c>
      <c r="U20" s="156"/>
      <c r="V20" s="156"/>
      <c r="W20" s="178">
        <v>643.44600000000003</v>
      </c>
      <c r="X20" s="156"/>
      <c r="Y20" s="156"/>
      <c r="Z20" s="178">
        <v>-52.713000000000001</v>
      </c>
      <c r="AA20" s="156"/>
      <c r="AB20" s="156"/>
      <c r="AC20" s="178">
        <v>-55.832000000000001</v>
      </c>
      <c r="AD20" s="156"/>
      <c r="AE20" s="156"/>
      <c r="AF20" s="178">
        <v>1672.0830000000001</v>
      </c>
      <c r="AG20" s="156"/>
      <c r="AH20" s="156"/>
      <c r="AI20" s="178">
        <v>-94.355000000000004</v>
      </c>
      <c r="AJ20" s="156"/>
      <c r="AK20" s="156"/>
      <c r="AL20" s="178">
        <v>401.66</v>
      </c>
      <c r="AM20" s="156"/>
      <c r="AN20" s="156"/>
      <c r="AO20" s="178">
        <v>76.015000000000001</v>
      </c>
      <c r="AP20" s="156"/>
      <c r="AQ20" s="156"/>
      <c r="AR20" s="178">
        <v>-2.9980000000000002</v>
      </c>
      <c r="AS20" s="156"/>
      <c r="AT20" s="156"/>
      <c r="AU20" s="178">
        <v>-69.460999999999999</v>
      </c>
      <c r="AV20" s="156"/>
      <c r="AW20" s="156"/>
      <c r="AX20" s="157" t="s">
        <v>367</v>
      </c>
      <c r="AY20" s="156"/>
      <c r="AZ20" s="156"/>
      <c r="BA20" s="156"/>
    </row>
  </sheetData>
  <mergeCells count="262">
    <mergeCell ref="AU20:AW20"/>
    <mergeCell ref="AX20:BA20"/>
    <mergeCell ref="AR19:AT19"/>
    <mergeCell ref="AU19:AW19"/>
    <mergeCell ref="AX19:BA19"/>
    <mergeCell ref="AO19:AQ19"/>
    <mergeCell ref="AL20:AN20"/>
    <mergeCell ref="AU18:AW18"/>
    <mergeCell ref="AX18:BA18"/>
    <mergeCell ref="AO20:AQ20"/>
    <mergeCell ref="AR20:AT20"/>
    <mergeCell ref="AO18:AQ18"/>
    <mergeCell ref="AR18:AT18"/>
    <mergeCell ref="AL19:AN19"/>
    <mergeCell ref="AC19:AE19"/>
    <mergeCell ref="AF19:AH19"/>
    <mergeCell ref="Z20:AB20"/>
    <mergeCell ref="AC20:AE20"/>
    <mergeCell ref="AF20:AH20"/>
    <mergeCell ref="AI20:AK20"/>
    <mergeCell ref="A20:B20"/>
    <mergeCell ref="C20:E20"/>
    <mergeCell ref="F20:H20"/>
    <mergeCell ref="I20:K20"/>
    <mergeCell ref="L20:N20"/>
    <mergeCell ref="O20:S20"/>
    <mergeCell ref="A19:B19"/>
    <mergeCell ref="C19:E19"/>
    <mergeCell ref="F19:H19"/>
    <mergeCell ref="I19:K19"/>
    <mergeCell ref="L19:N19"/>
    <mergeCell ref="O19:S19"/>
    <mergeCell ref="T19:V19"/>
    <mergeCell ref="T20:V20"/>
    <mergeCell ref="W20:Y20"/>
    <mergeCell ref="AI19:AK19"/>
    <mergeCell ref="W19:Y19"/>
    <mergeCell ref="Z19:AB19"/>
    <mergeCell ref="A18:B18"/>
    <mergeCell ref="C18:E18"/>
    <mergeCell ref="F18:H18"/>
    <mergeCell ref="I18:K18"/>
    <mergeCell ref="L18:N18"/>
    <mergeCell ref="AL17:AN17"/>
    <mergeCell ref="A17:B17"/>
    <mergeCell ref="C17:E17"/>
    <mergeCell ref="F17:H17"/>
    <mergeCell ref="I17:K17"/>
    <mergeCell ref="AF18:AH18"/>
    <mergeCell ref="AI18:AK18"/>
    <mergeCell ref="AL18:AN18"/>
    <mergeCell ref="AF17:AH17"/>
    <mergeCell ref="AI17:AK17"/>
    <mergeCell ref="O18:S18"/>
    <mergeCell ref="T18:V18"/>
    <mergeCell ref="W18:Y18"/>
    <mergeCell ref="Z18:AB18"/>
    <mergeCell ref="AC18:AE18"/>
    <mergeCell ref="Z17:AB17"/>
    <mergeCell ref="AC17:AE17"/>
    <mergeCell ref="AO17:AQ17"/>
    <mergeCell ref="AR17:AT17"/>
    <mergeCell ref="AU17:AW17"/>
    <mergeCell ref="AX17:BA17"/>
    <mergeCell ref="AO16:AQ16"/>
    <mergeCell ref="AR16:AT16"/>
    <mergeCell ref="AU16:AW16"/>
    <mergeCell ref="AX16:BA16"/>
    <mergeCell ref="AI16:AK16"/>
    <mergeCell ref="AL16:AN16"/>
    <mergeCell ref="A16:B16"/>
    <mergeCell ref="C16:E16"/>
    <mergeCell ref="F16:H16"/>
    <mergeCell ref="I16:K16"/>
    <mergeCell ref="L16:N16"/>
    <mergeCell ref="L17:N17"/>
    <mergeCell ref="O17:S17"/>
    <mergeCell ref="T17:V17"/>
    <mergeCell ref="W17:Y17"/>
    <mergeCell ref="O16:S16"/>
    <mergeCell ref="T16:V16"/>
    <mergeCell ref="W16:Y16"/>
    <mergeCell ref="Z16:AB16"/>
    <mergeCell ref="AC16:AE16"/>
    <mergeCell ref="AF16:AH16"/>
    <mergeCell ref="AR14:AT14"/>
    <mergeCell ref="O14:S14"/>
    <mergeCell ref="T14:V14"/>
    <mergeCell ref="W14:Y14"/>
    <mergeCell ref="Z14:AB14"/>
    <mergeCell ref="AC14:AE14"/>
    <mergeCell ref="AL15:AN15"/>
    <mergeCell ref="AO15:AQ15"/>
    <mergeCell ref="AF14:AH14"/>
    <mergeCell ref="AI14:AK14"/>
    <mergeCell ref="AR15:AT15"/>
    <mergeCell ref="A14:B14"/>
    <mergeCell ref="C14:E14"/>
    <mergeCell ref="F14:H14"/>
    <mergeCell ref="I14:K14"/>
    <mergeCell ref="L14:N14"/>
    <mergeCell ref="AU14:AW14"/>
    <mergeCell ref="AX14:BA14"/>
    <mergeCell ref="A15:B15"/>
    <mergeCell ref="C15:E15"/>
    <mergeCell ref="F15:H15"/>
    <mergeCell ref="I15:K15"/>
    <mergeCell ref="L15:N15"/>
    <mergeCell ref="O15:S15"/>
    <mergeCell ref="AU15:AW15"/>
    <mergeCell ref="AX15:BA15"/>
    <mergeCell ref="AO13:AQ13"/>
    <mergeCell ref="AR11:AT11"/>
    <mergeCell ref="AU11:AW11"/>
    <mergeCell ref="AL14:AN14"/>
    <mergeCell ref="AO14:AQ14"/>
    <mergeCell ref="T15:V15"/>
    <mergeCell ref="W15:Y15"/>
    <mergeCell ref="Z15:AB15"/>
    <mergeCell ref="AC15:AE15"/>
    <mergeCell ref="AF15:AH15"/>
    <mergeCell ref="AI15:AK15"/>
    <mergeCell ref="AF11:AH11"/>
    <mergeCell ref="AI11:AK11"/>
    <mergeCell ref="AL13:AN13"/>
    <mergeCell ref="AR13:AT13"/>
    <mergeCell ref="AU13:AW13"/>
    <mergeCell ref="AX13:BA13"/>
    <mergeCell ref="AO12:AQ12"/>
    <mergeCell ref="AR12:AT12"/>
    <mergeCell ref="AU12:AW12"/>
    <mergeCell ref="AX12:BA12"/>
    <mergeCell ref="AI12:AK12"/>
    <mergeCell ref="AL12:AN12"/>
    <mergeCell ref="A12:B12"/>
    <mergeCell ref="C12:E12"/>
    <mergeCell ref="F12:H12"/>
    <mergeCell ref="I12:K12"/>
    <mergeCell ref="L12:N12"/>
    <mergeCell ref="L13:N13"/>
    <mergeCell ref="O13:S13"/>
    <mergeCell ref="T13:V13"/>
    <mergeCell ref="W13:Y13"/>
    <mergeCell ref="A13:B13"/>
    <mergeCell ref="C13:E13"/>
    <mergeCell ref="F13:H13"/>
    <mergeCell ref="I13:K13"/>
    <mergeCell ref="AF13:AH13"/>
    <mergeCell ref="AI13:AK13"/>
    <mergeCell ref="Z13:AB13"/>
    <mergeCell ref="AC13:AE13"/>
    <mergeCell ref="AX10:BA10"/>
    <mergeCell ref="A11:B11"/>
    <mergeCell ref="C11:E11"/>
    <mergeCell ref="F11:H11"/>
    <mergeCell ref="I11:K11"/>
    <mergeCell ref="L11:N11"/>
    <mergeCell ref="O11:S11"/>
    <mergeCell ref="O12:S12"/>
    <mergeCell ref="T12:V12"/>
    <mergeCell ref="W12:Y12"/>
    <mergeCell ref="Z12:AB12"/>
    <mergeCell ref="AC12:AE12"/>
    <mergeCell ref="AF12:AH12"/>
    <mergeCell ref="AL11:AN11"/>
    <mergeCell ref="AO11:AQ11"/>
    <mergeCell ref="AF10:AH10"/>
    <mergeCell ref="AI10:AK10"/>
    <mergeCell ref="AL10:AN10"/>
    <mergeCell ref="AO10:AQ10"/>
    <mergeCell ref="T11:V11"/>
    <mergeCell ref="W11:Y11"/>
    <mergeCell ref="Z11:AB11"/>
    <mergeCell ref="AC11:AE11"/>
    <mergeCell ref="AX11:BA11"/>
    <mergeCell ref="A10:B10"/>
    <mergeCell ref="C10:E10"/>
    <mergeCell ref="F10:H10"/>
    <mergeCell ref="I10:K10"/>
    <mergeCell ref="L10:N10"/>
    <mergeCell ref="AU7:AV9"/>
    <mergeCell ref="AO7:AP9"/>
    <mergeCell ref="AR7:AS9"/>
    <mergeCell ref="AR10:AT10"/>
    <mergeCell ref="O10:S10"/>
    <mergeCell ref="T10:V10"/>
    <mergeCell ref="W10:Y10"/>
    <mergeCell ref="Z10:AB10"/>
    <mergeCell ref="AC10:AE10"/>
    <mergeCell ref="AU10:AW10"/>
    <mergeCell ref="AG6:AH6"/>
    <mergeCell ref="AJ6:AK6"/>
    <mergeCell ref="AM6:AN6"/>
    <mergeCell ref="AP6:AQ6"/>
    <mergeCell ref="AS6:AT6"/>
    <mergeCell ref="AX7:AY9"/>
    <mergeCell ref="AZ7:BA7"/>
    <mergeCell ref="A8:B8"/>
    <mergeCell ref="AZ8:BA8"/>
    <mergeCell ref="A9:B9"/>
    <mergeCell ref="AZ9:BA9"/>
    <mergeCell ref="AC7:AD9"/>
    <mergeCell ref="AF7:AG9"/>
    <mergeCell ref="AI7:AJ9"/>
    <mergeCell ref="AL7:AM9"/>
    <mergeCell ref="A7:B7"/>
    <mergeCell ref="C7:D9"/>
    <mergeCell ref="F7:G9"/>
    <mergeCell ref="I7:J9"/>
    <mergeCell ref="L7:M9"/>
    <mergeCell ref="O7:R9"/>
    <mergeCell ref="T7:U9"/>
    <mergeCell ref="W7:X9"/>
    <mergeCell ref="Z7:AA9"/>
    <mergeCell ref="L5:L6"/>
    <mergeCell ref="M5:N5"/>
    <mergeCell ref="O5:O6"/>
    <mergeCell ref="P5:S5"/>
    <mergeCell ref="T5:T6"/>
    <mergeCell ref="AY5:BA5"/>
    <mergeCell ref="D6:E6"/>
    <mergeCell ref="G6:H6"/>
    <mergeCell ref="J6:K6"/>
    <mergeCell ref="M6:N6"/>
    <mergeCell ref="P6:S6"/>
    <mergeCell ref="U6:V6"/>
    <mergeCell ref="X6:Y6"/>
    <mergeCell ref="AA6:AB6"/>
    <mergeCell ref="AD6:AE6"/>
    <mergeCell ref="AY6:BA6"/>
    <mergeCell ref="Z5:Z6"/>
    <mergeCell ref="AA5:AB5"/>
    <mergeCell ref="AX5:AX6"/>
    <mergeCell ref="AJ5:AK5"/>
    <mergeCell ref="AL5:AL6"/>
    <mergeCell ref="AM5:AN5"/>
    <mergeCell ref="AO5:AO6"/>
    <mergeCell ref="AP5:AQ5"/>
    <mergeCell ref="B1:Q1"/>
    <mergeCell ref="A2:P2"/>
    <mergeCell ref="A3:AZ3"/>
    <mergeCell ref="A4:P4"/>
    <mergeCell ref="A5:B6"/>
    <mergeCell ref="C5:C6"/>
    <mergeCell ref="D5:E5"/>
    <mergeCell ref="F5:F6"/>
    <mergeCell ref="G5:H5"/>
    <mergeCell ref="I5:I6"/>
    <mergeCell ref="AC5:AC6"/>
    <mergeCell ref="AD5:AE5"/>
    <mergeCell ref="AF5:AF6"/>
    <mergeCell ref="AG5:AH5"/>
    <mergeCell ref="AI5:AI6"/>
    <mergeCell ref="U5:V5"/>
    <mergeCell ref="W5:W6"/>
    <mergeCell ref="X5:Y5"/>
    <mergeCell ref="AV6:AW6"/>
    <mergeCell ref="AR5:AR6"/>
    <mergeCell ref="AS5:AT5"/>
    <mergeCell ref="AU5:AU6"/>
    <mergeCell ref="AV5:AW5"/>
    <mergeCell ref="J5:K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67"/>
  <sheetViews>
    <sheetView showGridLines="0" topLeftCell="A28" zoomScale="120" zoomScaleNormal="120" workbookViewId="0">
      <selection activeCell="F59" sqref="F59:H59"/>
    </sheetView>
  </sheetViews>
  <sheetFormatPr defaultRowHeight="15" x14ac:dyDescent="0.25"/>
  <cols>
    <col min="1" max="1" width="0.5703125" style="1" customWidth="1"/>
    <col min="2" max="2" width="43.85546875" style="1" customWidth="1"/>
    <col min="3" max="3" width="2.42578125" style="1" customWidth="1"/>
    <col min="4" max="4" width="2" style="1" customWidth="1"/>
    <col min="5" max="5" width="9" style="1" customWidth="1"/>
    <col min="6" max="6" width="2.42578125" style="1" customWidth="1"/>
    <col min="7" max="7" width="2" style="1" customWidth="1"/>
    <col min="8" max="8" width="9" style="1" customWidth="1"/>
    <col min="9" max="9" width="2.42578125" style="1" customWidth="1"/>
    <col min="10" max="10" width="2" style="1" customWidth="1"/>
    <col min="11" max="11" width="9" style="1" customWidth="1"/>
    <col min="12" max="12" width="2.42578125" style="1" customWidth="1"/>
    <col min="13" max="13" width="2" style="1" customWidth="1"/>
    <col min="14" max="14" width="9" style="1" customWidth="1"/>
    <col min="15" max="15" width="2.42578125" style="1" customWidth="1"/>
    <col min="16" max="16" width="1.140625" style="1" customWidth="1"/>
    <col min="17" max="17" width="0.5703125" style="1" customWidth="1"/>
    <col min="18" max="18" width="0.140625" style="1" customWidth="1"/>
    <col min="19" max="19" width="9" style="1" customWidth="1"/>
    <col min="20" max="20" width="2.42578125" style="1" customWidth="1"/>
    <col min="21" max="21" width="2" style="1" customWidth="1"/>
    <col min="22" max="22" width="9" style="1" customWidth="1"/>
    <col min="23" max="23" width="2.42578125" style="1" customWidth="1"/>
    <col min="24" max="24" width="2" style="1" customWidth="1"/>
    <col min="25" max="25" width="9" style="1" customWidth="1"/>
    <col min="26" max="26" width="2.42578125" style="1" customWidth="1"/>
    <col min="27" max="27" width="2" style="1" customWidth="1"/>
    <col min="28" max="28" width="9" style="1" customWidth="1"/>
    <col min="29" max="29" width="2.42578125" style="1" customWidth="1"/>
    <col min="30" max="30" width="2" style="1" customWidth="1"/>
    <col min="31" max="31" width="9" style="1" customWidth="1"/>
    <col min="32" max="32" width="2.42578125" style="1" customWidth="1"/>
    <col min="33" max="33" width="2" style="1" customWidth="1"/>
    <col min="34" max="34" width="9" style="1" customWidth="1"/>
    <col min="35" max="35" width="2.42578125" style="1" customWidth="1"/>
    <col min="36" max="36" width="2" style="1" customWidth="1"/>
    <col min="37" max="37" width="9" style="1" customWidth="1"/>
    <col min="38" max="38" width="2.42578125" style="1" customWidth="1"/>
    <col min="39" max="39" width="2" style="1" customWidth="1"/>
    <col min="40" max="40" width="9" style="1" customWidth="1"/>
    <col min="41" max="41" width="2.42578125" style="1" customWidth="1"/>
    <col min="42" max="42" width="2" style="1" customWidth="1"/>
    <col min="43" max="43" width="9" style="1" customWidth="1"/>
    <col min="44" max="44" width="2.42578125" style="1" customWidth="1"/>
    <col min="45" max="45" width="2" style="1" customWidth="1"/>
    <col min="46" max="46" width="9" style="1" customWidth="1"/>
    <col min="47" max="47" width="2.42578125" style="1" customWidth="1"/>
    <col min="48" max="48" width="2" style="1" customWidth="1"/>
    <col min="49" max="49" width="9" style="1" customWidth="1"/>
    <col min="50" max="50" width="2.42578125" style="1" customWidth="1"/>
    <col min="51" max="51" width="2" style="1" customWidth="1"/>
    <col min="52" max="52" width="6.5703125" style="1" customWidth="1"/>
    <col min="53" max="53" width="2.42578125" style="1" customWidth="1"/>
  </cols>
  <sheetData>
    <row r="1" spans="1:53" ht="20.45" customHeight="1" x14ac:dyDescent="0.25">
      <c r="A1" s="2"/>
      <c r="B1" s="181" t="s">
        <v>0</v>
      </c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ht="13.15" customHeight="1" x14ac:dyDescent="0.25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 ht="19.149999999999999" customHeight="1" x14ac:dyDescent="0.25">
      <c r="A3" s="182" t="s">
        <v>370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3"/>
      <c r="AO3" s="183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  <c r="BA3" s="2"/>
    </row>
    <row r="4" spans="1:53" ht="13.15" customHeight="1" x14ac:dyDescent="0.25">
      <c r="A4" s="180"/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1:53" ht="14.45" customHeight="1" x14ac:dyDescent="0.25">
      <c r="A5" s="184" t="s">
        <v>2</v>
      </c>
      <c r="B5" s="180"/>
      <c r="C5" s="186"/>
      <c r="D5" s="187" t="s">
        <v>3</v>
      </c>
      <c r="E5" s="180"/>
      <c r="F5" s="186"/>
      <c r="G5" s="187" t="s">
        <v>4</v>
      </c>
      <c r="H5" s="180"/>
      <c r="I5" s="186"/>
      <c r="J5" s="187" t="s">
        <v>5</v>
      </c>
      <c r="K5" s="180"/>
      <c r="L5" s="186"/>
      <c r="M5" s="187" t="s">
        <v>6</v>
      </c>
      <c r="N5" s="180"/>
      <c r="O5" s="186"/>
      <c r="P5" s="187" t="s">
        <v>7</v>
      </c>
      <c r="Q5" s="180"/>
      <c r="R5" s="180"/>
      <c r="S5" s="180"/>
      <c r="T5" s="186"/>
      <c r="U5" s="187" t="s">
        <v>8</v>
      </c>
      <c r="V5" s="180"/>
      <c r="W5" s="186"/>
      <c r="X5" s="187" t="s">
        <v>9</v>
      </c>
      <c r="Y5" s="180"/>
      <c r="Z5" s="186"/>
      <c r="AA5" s="187" t="s">
        <v>10</v>
      </c>
      <c r="AB5" s="180"/>
      <c r="AC5" s="186"/>
      <c r="AD5" s="187" t="s">
        <v>11</v>
      </c>
      <c r="AE5" s="180"/>
      <c r="AF5" s="186"/>
      <c r="AG5" s="187" t="s">
        <v>12</v>
      </c>
      <c r="AH5" s="180"/>
      <c r="AI5" s="186"/>
      <c r="AJ5" s="187" t="s">
        <v>13</v>
      </c>
      <c r="AK5" s="180"/>
      <c r="AL5" s="186"/>
      <c r="AM5" s="187" t="s">
        <v>14</v>
      </c>
      <c r="AN5" s="180"/>
      <c r="AO5" s="186"/>
      <c r="AP5" s="187" t="s">
        <v>15</v>
      </c>
      <c r="AQ5" s="180"/>
      <c r="AR5" s="186"/>
      <c r="AS5" s="187" t="s">
        <v>16</v>
      </c>
      <c r="AT5" s="180"/>
      <c r="AU5" s="186"/>
      <c r="AV5" s="187" t="s">
        <v>17</v>
      </c>
      <c r="AW5" s="180"/>
      <c r="AX5" s="186"/>
      <c r="AY5" s="187" t="s">
        <v>18</v>
      </c>
      <c r="AZ5" s="180"/>
      <c r="BA5" s="180"/>
    </row>
    <row r="6" spans="1:53" ht="14.45" customHeight="1" x14ac:dyDescent="0.25">
      <c r="A6" s="185"/>
      <c r="B6" s="185"/>
      <c r="C6" s="185"/>
      <c r="D6" s="188" t="s">
        <v>19</v>
      </c>
      <c r="E6" s="185"/>
      <c r="F6" s="185"/>
      <c r="G6" s="188" t="s">
        <v>19</v>
      </c>
      <c r="H6" s="185"/>
      <c r="I6" s="185"/>
      <c r="J6" s="188" t="s">
        <v>19</v>
      </c>
      <c r="K6" s="185"/>
      <c r="L6" s="185"/>
      <c r="M6" s="188" t="s">
        <v>19</v>
      </c>
      <c r="N6" s="185"/>
      <c r="O6" s="185"/>
      <c r="P6" s="188" t="s">
        <v>19</v>
      </c>
      <c r="Q6" s="185"/>
      <c r="R6" s="185"/>
      <c r="S6" s="185"/>
      <c r="T6" s="185"/>
      <c r="U6" s="188" t="s">
        <v>19</v>
      </c>
      <c r="V6" s="185"/>
      <c r="W6" s="185"/>
      <c r="X6" s="188" t="s">
        <v>19</v>
      </c>
      <c r="Y6" s="185"/>
      <c r="Z6" s="185"/>
      <c r="AA6" s="188" t="s">
        <v>19</v>
      </c>
      <c r="AB6" s="185"/>
      <c r="AC6" s="185"/>
      <c r="AD6" s="188" t="s">
        <v>19</v>
      </c>
      <c r="AE6" s="185"/>
      <c r="AF6" s="185"/>
      <c r="AG6" s="188" t="s">
        <v>19</v>
      </c>
      <c r="AH6" s="185"/>
      <c r="AI6" s="185"/>
      <c r="AJ6" s="188" t="s">
        <v>19</v>
      </c>
      <c r="AK6" s="185"/>
      <c r="AL6" s="185"/>
      <c r="AM6" s="188" t="s">
        <v>19</v>
      </c>
      <c r="AN6" s="185"/>
      <c r="AO6" s="185"/>
      <c r="AP6" s="188" t="s">
        <v>19</v>
      </c>
      <c r="AQ6" s="185"/>
      <c r="AR6" s="185"/>
      <c r="AS6" s="188" t="s">
        <v>19</v>
      </c>
      <c r="AT6" s="185"/>
      <c r="AU6" s="185"/>
      <c r="AV6" s="188" t="s">
        <v>19</v>
      </c>
      <c r="AW6" s="185"/>
      <c r="AX6" s="185"/>
      <c r="AY6" s="188" t="s">
        <v>19</v>
      </c>
      <c r="AZ6" s="185"/>
      <c r="BA6" s="185"/>
    </row>
    <row r="7" spans="1:53" ht="14.45" customHeight="1" x14ac:dyDescent="0.25">
      <c r="A7" s="180"/>
      <c r="B7" s="180"/>
      <c r="C7" s="180"/>
      <c r="D7" s="180"/>
      <c r="E7" s="3" t="s">
        <v>20</v>
      </c>
      <c r="F7" s="180"/>
      <c r="G7" s="180"/>
      <c r="H7" s="3" t="s">
        <v>20</v>
      </c>
      <c r="I7" s="180"/>
      <c r="J7" s="180"/>
      <c r="K7" s="3" t="s">
        <v>20</v>
      </c>
      <c r="L7" s="180"/>
      <c r="M7" s="180"/>
      <c r="N7" s="3" t="s">
        <v>20</v>
      </c>
      <c r="O7" s="180"/>
      <c r="P7" s="180"/>
      <c r="Q7" s="180"/>
      <c r="R7" s="180"/>
      <c r="S7" s="3" t="s">
        <v>20</v>
      </c>
      <c r="T7" s="180"/>
      <c r="U7" s="180"/>
      <c r="V7" s="3" t="s">
        <v>20</v>
      </c>
      <c r="W7" s="180"/>
      <c r="X7" s="180"/>
      <c r="Y7" s="3" t="s">
        <v>20</v>
      </c>
      <c r="Z7" s="180"/>
      <c r="AA7" s="180"/>
      <c r="AB7" s="3" t="s">
        <v>20</v>
      </c>
      <c r="AC7" s="180"/>
      <c r="AD7" s="180"/>
      <c r="AE7" s="3" t="s">
        <v>20</v>
      </c>
      <c r="AF7" s="180"/>
      <c r="AG7" s="180"/>
      <c r="AH7" s="3" t="s">
        <v>20</v>
      </c>
      <c r="AI7" s="180"/>
      <c r="AJ7" s="180"/>
      <c r="AK7" s="3" t="s">
        <v>20</v>
      </c>
      <c r="AL7" s="180"/>
      <c r="AM7" s="180"/>
      <c r="AN7" s="3" t="s">
        <v>20</v>
      </c>
      <c r="AO7" s="180"/>
      <c r="AP7" s="180"/>
      <c r="AQ7" s="3" t="s">
        <v>20</v>
      </c>
      <c r="AR7" s="180"/>
      <c r="AS7" s="180"/>
      <c r="AT7" s="3" t="s">
        <v>20</v>
      </c>
      <c r="AU7" s="180"/>
      <c r="AV7" s="180"/>
      <c r="AW7" s="3" t="s">
        <v>20</v>
      </c>
      <c r="AX7" s="180"/>
      <c r="AY7" s="180"/>
      <c r="AZ7" s="179" t="s">
        <v>20</v>
      </c>
      <c r="BA7" s="180"/>
    </row>
    <row r="8" spans="1:53" ht="14.45" customHeight="1" x14ac:dyDescent="0.25">
      <c r="A8" s="180"/>
      <c r="B8" s="180"/>
      <c r="C8" s="180"/>
      <c r="D8" s="180"/>
      <c r="E8" s="3" t="s">
        <v>21</v>
      </c>
      <c r="F8" s="180"/>
      <c r="G8" s="180"/>
      <c r="H8" s="2"/>
      <c r="I8" s="180"/>
      <c r="J8" s="180"/>
      <c r="K8" s="3" t="s">
        <v>21</v>
      </c>
      <c r="L8" s="180"/>
      <c r="M8" s="180"/>
      <c r="N8" s="3" t="s">
        <v>21</v>
      </c>
      <c r="O8" s="180"/>
      <c r="P8" s="180"/>
      <c r="Q8" s="180"/>
      <c r="R8" s="180"/>
      <c r="S8" s="3" t="s">
        <v>21</v>
      </c>
      <c r="T8" s="180"/>
      <c r="U8" s="180"/>
      <c r="V8" s="3" t="s">
        <v>21</v>
      </c>
      <c r="W8" s="180"/>
      <c r="X8" s="180"/>
      <c r="Y8" s="2"/>
      <c r="Z8" s="180"/>
      <c r="AA8" s="180"/>
      <c r="AB8" s="2"/>
      <c r="AC8" s="180"/>
      <c r="AD8" s="180"/>
      <c r="AE8" s="2"/>
      <c r="AF8" s="180"/>
      <c r="AG8" s="180"/>
      <c r="AH8" s="2"/>
      <c r="AI8" s="180"/>
      <c r="AJ8" s="180"/>
      <c r="AK8" s="2"/>
      <c r="AL8" s="180"/>
      <c r="AM8" s="180"/>
      <c r="AN8" s="2"/>
      <c r="AO8" s="180"/>
      <c r="AP8" s="180"/>
      <c r="AQ8" s="2"/>
      <c r="AR8" s="180"/>
      <c r="AS8" s="180"/>
      <c r="AT8" s="2"/>
      <c r="AU8" s="180"/>
      <c r="AV8" s="180"/>
      <c r="AW8" s="2"/>
      <c r="AX8" s="180"/>
      <c r="AY8" s="180"/>
      <c r="AZ8" s="180"/>
      <c r="BA8" s="180"/>
    </row>
    <row r="9" spans="1:53" ht="14.45" customHeight="1" x14ac:dyDescent="0.25">
      <c r="A9" s="185"/>
      <c r="B9" s="185"/>
      <c r="C9" s="185"/>
      <c r="D9" s="185"/>
      <c r="E9" s="4" t="s">
        <v>22</v>
      </c>
      <c r="F9" s="185"/>
      <c r="G9" s="185"/>
      <c r="H9" s="4" t="s">
        <v>22</v>
      </c>
      <c r="I9" s="185"/>
      <c r="J9" s="185"/>
      <c r="K9" s="4" t="s">
        <v>22</v>
      </c>
      <c r="L9" s="185"/>
      <c r="M9" s="185"/>
      <c r="N9" s="4" t="s">
        <v>22</v>
      </c>
      <c r="O9" s="185"/>
      <c r="P9" s="185"/>
      <c r="Q9" s="185"/>
      <c r="R9" s="185"/>
      <c r="S9" s="4" t="s">
        <v>22</v>
      </c>
      <c r="T9" s="185"/>
      <c r="U9" s="185"/>
      <c r="V9" s="4" t="s">
        <v>22</v>
      </c>
      <c r="W9" s="185"/>
      <c r="X9" s="185"/>
      <c r="Y9" s="4" t="s">
        <v>22</v>
      </c>
      <c r="Z9" s="185"/>
      <c r="AA9" s="185"/>
      <c r="AB9" s="4" t="s">
        <v>22</v>
      </c>
      <c r="AC9" s="185"/>
      <c r="AD9" s="185"/>
      <c r="AE9" s="4" t="s">
        <v>22</v>
      </c>
      <c r="AF9" s="185"/>
      <c r="AG9" s="185"/>
      <c r="AH9" s="4" t="s">
        <v>22</v>
      </c>
      <c r="AI9" s="185"/>
      <c r="AJ9" s="185"/>
      <c r="AK9" s="4" t="s">
        <v>22</v>
      </c>
      <c r="AL9" s="185"/>
      <c r="AM9" s="185"/>
      <c r="AN9" s="4" t="s">
        <v>23</v>
      </c>
      <c r="AO9" s="185"/>
      <c r="AP9" s="185"/>
      <c r="AQ9" s="4" t="s">
        <v>23</v>
      </c>
      <c r="AR9" s="185"/>
      <c r="AS9" s="185"/>
      <c r="AT9" s="4" t="s">
        <v>23</v>
      </c>
      <c r="AU9" s="185"/>
      <c r="AV9" s="185"/>
      <c r="AW9" s="4" t="s">
        <v>23</v>
      </c>
      <c r="AX9" s="185"/>
      <c r="AY9" s="185"/>
      <c r="AZ9" s="189" t="s">
        <v>23</v>
      </c>
      <c r="BA9" s="185"/>
    </row>
    <row r="10" spans="1:53" ht="14.45" customHeight="1" x14ac:dyDescent="0.25">
      <c r="A10" s="191" t="s">
        <v>371</v>
      </c>
      <c r="B10" s="185"/>
      <c r="C10" s="190"/>
      <c r="D10" s="185"/>
      <c r="E10" s="185"/>
      <c r="F10" s="190"/>
      <c r="G10" s="185"/>
      <c r="H10" s="185"/>
      <c r="I10" s="190"/>
      <c r="J10" s="185"/>
      <c r="K10" s="185"/>
      <c r="L10" s="190"/>
      <c r="M10" s="185"/>
      <c r="N10" s="185"/>
      <c r="O10" s="190"/>
      <c r="P10" s="185"/>
      <c r="Q10" s="185"/>
      <c r="R10" s="185"/>
      <c r="S10" s="185"/>
      <c r="T10" s="190"/>
      <c r="U10" s="185"/>
      <c r="V10" s="185"/>
      <c r="W10" s="190"/>
      <c r="X10" s="185"/>
      <c r="Y10" s="185"/>
      <c r="Z10" s="190"/>
      <c r="AA10" s="185"/>
      <c r="AB10" s="185"/>
      <c r="AC10" s="190"/>
      <c r="AD10" s="185"/>
      <c r="AE10" s="185"/>
      <c r="AF10" s="190"/>
      <c r="AG10" s="185"/>
      <c r="AH10" s="185"/>
      <c r="AI10" s="190"/>
      <c r="AJ10" s="185"/>
      <c r="AK10" s="185"/>
      <c r="AL10" s="190"/>
      <c r="AM10" s="185"/>
      <c r="AN10" s="185"/>
      <c r="AO10" s="190"/>
      <c r="AP10" s="185"/>
      <c r="AQ10" s="185"/>
      <c r="AR10" s="190"/>
      <c r="AS10" s="185"/>
      <c r="AT10" s="185"/>
      <c r="AU10" s="190"/>
      <c r="AV10" s="185"/>
      <c r="AW10" s="185"/>
      <c r="AX10" s="190"/>
      <c r="AY10" s="185"/>
      <c r="AZ10" s="185"/>
      <c r="BA10" s="185"/>
    </row>
    <row r="11" spans="1:53" ht="14.45" customHeight="1" x14ac:dyDescent="0.25">
      <c r="A11" s="192" t="s">
        <v>372</v>
      </c>
      <c r="B11" s="185"/>
      <c r="C11" s="193">
        <v>59.095999999999997</v>
      </c>
      <c r="D11" s="185"/>
      <c r="E11" s="185"/>
      <c r="F11" s="193">
        <v>57.573999999999998</v>
      </c>
      <c r="G11" s="185"/>
      <c r="H11" s="185"/>
      <c r="I11" s="193">
        <v>19.792999999999999</v>
      </c>
      <c r="J11" s="185"/>
      <c r="K11" s="185"/>
      <c r="L11" s="193">
        <v>47.381999999999998</v>
      </c>
      <c r="M11" s="185"/>
      <c r="N11" s="185"/>
      <c r="O11" s="193">
        <v>51.98</v>
      </c>
      <c r="P11" s="185"/>
      <c r="Q11" s="185"/>
      <c r="R11" s="185"/>
      <c r="S11" s="185"/>
      <c r="T11" s="193">
        <v>70.338999999999999</v>
      </c>
      <c r="U11" s="185"/>
      <c r="V11" s="185"/>
      <c r="W11" s="193">
        <v>64.424000000000007</v>
      </c>
      <c r="X11" s="185"/>
      <c r="Y11" s="185"/>
      <c r="Z11" s="193">
        <v>71.921999999999997</v>
      </c>
      <c r="AA11" s="185"/>
      <c r="AB11" s="185"/>
      <c r="AC11" s="193">
        <v>33.89</v>
      </c>
      <c r="AD11" s="185"/>
      <c r="AE11" s="185"/>
      <c r="AF11" s="193">
        <v>34.396999999999998</v>
      </c>
      <c r="AG11" s="185"/>
      <c r="AH11" s="185"/>
      <c r="AI11" s="193">
        <v>43.746000000000002</v>
      </c>
      <c r="AJ11" s="185"/>
      <c r="AK11" s="185"/>
      <c r="AL11" s="189" t="s">
        <v>28</v>
      </c>
      <c r="AM11" s="185"/>
      <c r="AN11" s="185"/>
      <c r="AO11" s="189" t="s">
        <v>28</v>
      </c>
      <c r="AP11" s="185"/>
      <c r="AQ11" s="185"/>
      <c r="AR11" s="189" t="s">
        <v>28</v>
      </c>
      <c r="AS11" s="185"/>
      <c r="AT11" s="185"/>
      <c r="AU11" s="189" t="s">
        <v>28</v>
      </c>
      <c r="AV11" s="185"/>
      <c r="AW11" s="185"/>
      <c r="AX11" s="189" t="s">
        <v>28</v>
      </c>
      <c r="AY11" s="185"/>
      <c r="AZ11" s="185"/>
      <c r="BA11" s="185"/>
    </row>
    <row r="12" spans="1:53" ht="14.45" customHeight="1" x14ac:dyDescent="0.25">
      <c r="A12" s="192" t="s">
        <v>373</v>
      </c>
      <c r="B12" s="185"/>
      <c r="C12" s="193">
        <v>144.47800000000001</v>
      </c>
      <c r="D12" s="185"/>
      <c r="E12" s="185"/>
      <c r="F12" s="193">
        <v>135.71</v>
      </c>
      <c r="G12" s="185"/>
      <c r="H12" s="185"/>
      <c r="I12" s="193">
        <v>24.677</v>
      </c>
      <c r="J12" s="185"/>
      <c r="K12" s="185"/>
      <c r="L12" s="193">
        <v>90.052000000000007</v>
      </c>
      <c r="M12" s="185"/>
      <c r="N12" s="185"/>
      <c r="O12" s="193">
        <v>108.25</v>
      </c>
      <c r="P12" s="185"/>
      <c r="Q12" s="185"/>
      <c r="R12" s="185"/>
      <c r="S12" s="185"/>
      <c r="T12" s="193">
        <v>237.14599999999999</v>
      </c>
      <c r="U12" s="185"/>
      <c r="V12" s="185"/>
      <c r="W12" s="193">
        <v>181.095</v>
      </c>
      <c r="X12" s="185"/>
      <c r="Y12" s="185"/>
      <c r="Z12" s="193">
        <v>256.15100000000001</v>
      </c>
      <c r="AA12" s="185"/>
      <c r="AB12" s="185"/>
      <c r="AC12" s="193">
        <v>51.264000000000003</v>
      </c>
      <c r="AD12" s="185"/>
      <c r="AE12" s="185"/>
      <c r="AF12" s="193">
        <v>52.432000000000002</v>
      </c>
      <c r="AG12" s="185"/>
      <c r="AH12" s="185"/>
      <c r="AI12" s="193">
        <v>77.766999999999996</v>
      </c>
      <c r="AJ12" s="185"/>
      <c r="AK12" s="185"/>
      <c r="AL12" s="189" t="s">
        <v>28</v>
      </c>
      <c r="AM12" s="185"/>
      <c r="AN12" s="185"/>
      <c r="AO12" s="189" t="s">
        <v>28</v>
      </c>
      <c r="AP12" s="185"/>
      <c r="AQ12" s="185"/>
      <c r="AR12" s="189" t="s">
        <v>28</v>
      </c>
      <c r="AS12" s="185"/>
      <c r="AT12" s="185"/>
      <c r="AU12" s="189" t="s">
        <v>28</v>
      </c>
      <c r="AV12" s="185"/>
      <c r="AW12" s="185"/>
      <c r="AX12" s="189" t="s">
        <v>28</v>
      </c>
      <c r="AY12" s="185"/>
      <c r="AZ12" s="185"/>
      <c r="BA12" s="185"/>
    </row>
    <row r="13" spans="1:53" ht="14.45" customHeight="1" x14ac:dyDescent="0.25">
      <c r="A13" s="192" t="s">
        <v>374</v>
      </c>
      <c r="B13" s="185"/>
      <c r="C13" s="193">
        <v>40.902999999999999</v>
      </c>
      <c r="D13" s="185"/>
      <c r="E13" s="185"/>
      <c r="F13" s="193">
        <v>42.424999999999997</v>
      </c>
      <c r="G13" s="185"/>
      <c r="H13" s="185"/>
      <c r="I13" s="193">
        <v>80.206000000000003</v>
      </c>
      <c r="J13" s="185"/>
      <c r="K13" s="185"/>
      <c r="L13" s="193">
        <v>52.616999999999997</v>
      </c>
      <c r="M13" s="185"/>
      <c r="N13" s="185"/>
      <c r="O13" s="193">
        <v>48.018999999999998</v>
      </c>
      <c r="P13" s="185"/>
      <c r="Q13" s="185"/>
      <c r="R13" s="185"/>
      <c r="S13" s="185"/>
      <c r="T13" s="193">
        <v>29.66</v>
      </c>
      <c r="U13" s="185"/>
      <c r="V13" s="185"/>
      <c r="W13" s="193">
        <v>35.575000000000003</v>
      </c>
      <c r="X13" s="185"/>
      <c r="Y13" s="185"/>
      <c r="Z13" s="193">
        <v>28.077000000000002</v>
      </c>
      <c r="AA13" s="185"/>
      <c r="AB13" s="185"/>
      <c r="AC13" s="193">
        <v>66.108999999999995</v>
      </c>
      <c r="AD13" s="185"/>
      <c r="AE13" s="185"/>
      <c r="AF13" s="193">
        <v>65.602000000000004</v>
      </c>
      <c r="AG13" s="185"/>
      <c r="AH13" s="185"/>
      <c r="AI13" s="193">
        <v>56.253</v>
      </c>
      <c r="AJ13" s="185"/>
      <c r="AK13" s="185"/>
      <c r="AL13" s="189" t="s">
        <v>28</v>
      </c>
      <c r="AM13" s="185"/>
      <c r="AN13" s="185"/>
      <c r="AO13" s="189" t="s">
        <v>28</v>
      </c>
      <c r="AP13" s="185"/>
      <c r="AQ13" s="185"/>
      <c r="AR13" s="189" t="s">
        <v>28</v>
      </c>
      <c r="AS13" s="185"/>
      <c r="AT13" s="185"/>
      <c r="AU13" s="189" t="s">
        <v>28</v>
      </c>
      <c r="AV13" s="185"/>
      <c r="AW13" s="185"/>
      <c r="AX13" s="189" t="s">
        <v>28</v>
      </c>
      <c r="AY13" s="185"/>
      <c r="AZ13" s="185"/>
      <c r="BA13" s="185"/>
    </row>
    <row r="14" spans="1:53" ht="14.45" customHeight="1" x14ac:dyDescent="0.25">
      <c r="A14" s="192" t="s">
        <v>375</v>
      </c>
      <c r="B14" s="185"/>
      <c r="C14" s="193">
        <v>258.14699999999999</v>
      </c>
      <c r="D14" s="185"/>
      <c r="E14" s="185"/>
      <c r="F14" s="193">
        <v>361.45699999999999</v>
      </c>
      <c r="G14" s="185"/>
      <c r="H14" s="185"/>
      <c r="I14" s="193">
        <v>906.37099999999998</v>
      </c>
      <c r="J14" s="185"/>
      <c r="K14" s="185"/>
      <c r="L14" s="193">
        <v>408.54300000000001</v>
      </c>
      <c r="M14" s="185"/>
      <c r="N14" s="185"/>
      <c r="O14" s="193">
        <v>301.53100000000001</v>
      </c>
      <c r="P14" s="185"/>
      <c r="Q14" s="185"/>
      <c r="R14" s="185"/>
      <c r="S14" s="185"/>
      <c r="T14" s="193">
        <v>273.09500000000003</v>
      </c>
      <c r="U14" s="185"/>
      <c r="V14" s="185"/>
      <c r="W14" s="193">
        <v>232.58199999999999</v>
      </c>
      <c r="X14" s="185"/>
      <c r="Y14" s="185"/>
      <c r="Z14" s="193">
        <v>274.83600000000001</v>
      </c>
      <c r="AA14" s="185"/>
      <c r="AB14" s="185"/>
      <c r="AC14" s="193">
        <v>780.673</v>
      </c>
      <c r="AD14" s="185"/>
      <c r="AE14" s="185"/>
      <c r="AF14" s="193">
        <v>613.22400000000005</v>
      </c>
      <c r="AG14" s="185"/>
      <c r="AH14" s="185"/>
      <c r="AI14" s="193">
        <v>600.12800000000004</v>
      </c>
      <c r="AJ14" s="185"/>
      <c r="AK14" s="185"/>
      <c r="AL14" s="189" t="s">
        <v>28</v>
      </c>
      <c r="AM14" s="185"/>
      <c r="AN14" s="185"/>
      <c r="AO14" s="189" t="s">
        <v>28</v>
      </c>
      <c r="AP14" s="185"/>
      <c r="AQ14" s="185"/>
      <c r="AR14" s="189" t="s">
        <v>28</v>
      </c>
      <c r="AS14" s="185"/>
      <c r="AT14" s="185"/>
      <c r="AU14" s="189" t="s">
        <v>28</v>
      </c>
      <c r="AV14" s="185"/>
      <c r="AW14" s="185"/>
      <c r="AX14" s="189" t="s">
        <v>28</v>
      </c>
      <c r="AY14" s="185"/>
      <c r="AZ14" s="185"/>
      <c r="BA14" s="185"/>
    </row>
    <row r="15" spans="1:53" ht="14.45" customHeight="1" x14ac:dyDescent="0.25">
      <c r="A15" s="192" t="s">
        <v>376</v>
      </c>
      <c r="B15" s="185"/>
      <c r="C15" s="193">
        <v>30.9</v>
      </c>
      <c r="D15" s="185"/>
      <c r="E15" s="185"/>
      <c r="F15" s="193">
        <v>39.320999999999998</v>
      </c>
      <c r="G15" s="185"/>
      <c r="H15" s="185"/>
      <c r="I15" s="193">
        <v>88.564999999999998</v>
      </c>
      <c r="J15" s="185"/>
      <c r="K15" s="185"/>
      <c r="L15" s="193">
        <v>38.659999999999997</v>
      </c>
      <c r="M15" s="185"/>
      <c r="N15" s="185"/>
      <c r="O15" s="193">
        <v>26.669</v>
      </c>
      <c r="P15" s="185"/>
      <c r="Q15" s="185"/>
      <c r="R15" s="185"/>
      <c r="S15" s="185"/>
      <c r="T15" s="193">
        <v>21.222000000000001</v>
      </c>
      <c r="U15" s="185"/>
      <c r="V15" s="185"/>
      <c r="W15" s="193">
        <v>14.045</v>
      </c>
      <c r="X15" s="185"/>
      <c r="Y15" s="185"/>
      <c r="Z15" s="193">
        <v>17.452999999999999</v>
      </c>
      <c r="AA15" s="185"/>
      <c r="AB15" s="185"/>
      <c r="AC15" s="193">
        <v>35.715000000000003</v>
      </c>
      <c r="AD15" s="185"/>
      <c r="AE15" s="185"/>
      <c r="AF15" s="193">
        <v>27.346</v>
      </c>
      <c r="AG15" s="185"/>
      <c r="AH15" s="185"/>
      <c r="AI15" s="193">
        <v>26.117000000000001</v>
      </c>
      <c r="AJ15" s="185"/>
      <c r="AK15" s="185"/>
      <c r="AL15" s="189" t="s">
        <v>28</v>
      </c>
      <c r="AM15" s="185"/>
      <c r="AN15" s="185"/>
      <c r="AO15" s="189" t="s">
        <v>28</v>
      </c>
      <c r="AP15" s="185"/>
      <c r="AQ15" s="185"/>
      <c r="AR15" s="189" t="s">
        <v>28</v>
      </c>
      <c r="AS15" s="185"/>
      <c r="AT15" s="185"/>
      <c r="AU15" s="189" t="s">
        <v>28</v>
      </c>
      <c r="AV15" s="185"/>
      <c r="AW15" s="185"/>
      <c r="AX15" s="189" t="s">
        <v>28</v>
      </c>
      <c r="AY15" s="185"/>
      <c r="AZ15" s="185"/>
      <c r="BA15" s="185"/>
    </row>
    <row r="16" spans="1:53" ht="14.45" customHeight="1" x14ac:dyDescent="0.25">
      <c r="A16" s="192" t="s">
        <v>377</v>
      </c>
      <c r="B16" s="185"/>
      <c r="C16" s="193">
        <v>69.131</v>
      </c>
      <c r="D16" s="185"/>
      <c r="E16" s="185"/>
      <c r="F16" s="193">
        <v>73.665000000000006</v>
      </c>
      <c r="G16" s="185"/>
      <c r="H16" s="185"/>
      <c r="I16" s="193">
        <v>211.29300000000001</v>
      </c>
      <c r="J16" s="185"/>
      <c r="K16" s="185"/>
      <c r="L16" s="193">
        <v>110.90900000000001</v>
      </c>
      <c r="M16" s="185"/>
      <c r="N16" s="185"/>
      <c r="O16" s="193">
        <v>92.165999999999997</v>
      </c>
      <c r="P16" s="185"/>
      <c r="Q16" s="185"/>
      <c r="R16" s="185"/>
      <c r="S16" s="185"/>
      <c r="T16" s="193">
        <v>41.774000000000001</v>
      </c>
      <c r="U16" s="185"/>
      <c r="V16" s="185"/>
      <c r="W16" s="193">
        <v>54.872</v>
      </c>
      <c r="X16" s="185"/>
      <c r="Y16" s="185"/>
      <c r="Z16" s="193">
        <v>38.613</v>
      </c>
      <c r="AA16" s="185"/>
      <c r="AB16" s="185"/>
      <c r="AC16" s="193">
        <v>169.63800000000001</v>
      </c>
      <c r="AD16" s="185"/>
      <c r="AE16" s="185"/>
      <c r="AF16" s="193">
        <v>43.453000000000003</v>
      </c>
      <c r="AG16" s="185"/>
      <c r="AH16" s="185"/>
      <c r="AI16" s="193">
        <v>25.702000000000002</v>
      </c>
      <c r="AJ16" s="185"/>
      <c r="AK16" s="185"/>
      <c r="AL16" s="189" t="s">
        <v>28</v>
      </c>
      <c r="AM16" s="185"/>
      <c r="AN16" s="185"/>
      <c r="AO16" s="189" t="s">
        <v>28</v>
      </c>
      <c r="AP16" s="185"/>
      <c r="AQ16" s="185"/>
      <c r="AR16" s="189" t="s">
        <v>28</v>
      </c>
      <c r="AS16" s="185"/>
      <c r="AT16" s="185"/>
      <c r="AU16" s="189" t="s">
        <v>28</v>
      </c>
      <c r="AV16" s="185"/>
      <c r="AW16" s="185"/>
      <c r="AX16" s="189" t="s">
        <v>28</v>
      </c>
      <c r="AY16" s="185"/>
      <c r="AZ16" s="185"/>
      <c r="BA16" s="185"/>
    </row>
    <row r="17" spans="1:53" ht="27.6" customHeight="1" x14ac:dyDescent="0.25">
      <c r="A17" s="192" t="s">
        <v>378</v>
      </c>
      <c r="B17" s="185"/>
      <c r="C17" s="193">
        <v>887.50599999999997</v>
      </c>
      <c r="D17" s="185"/>
      <c r="E17" s="185"/>
      <c r="F17" s="193">
        <v>3168.355</v>
      </c>
      <c r="G17" s="185"/>
      <c r="H17" s="185"/>
      <c r="I17" s="193">
        <v>3517.875</v>
      </c>
      <c r="J17" s="185"/>
      <c r="K17" s="185"/>
      <c r="L17" s="193">
        <v>4350.817</v>
      </c>
      <c r="M17" s="185"/>
      <c r="N17" s="185"/>
      <c r="O17" s="193">
        <v>2366.5300000000002</v>
      </c>
      <c r="P17" s="185"/>
      <c r="Q17" s="185"/>
      <c r="R17" s="185"/>
      <c r="S17" s="185"/>
      <c r="T17" s="193">
        <v>1446.136</v>
      </c>
      <c r="U17" s="185"/>
      <c r="V17" s="185"/>
      <c r="W17" s="193">
        <v>621.98199999999997</v>
      </c>
      <c r="X17" s="185"/>
      <c r="Y17" s="185"/>
      <c r="Z17" s="193">
        <v>487.18599999999998</v>
      </c>
      <c r="AA17" s="185"/>
      <c r="AB17" s="185"/>
      <c r="AC17" s="193">
        <v>991.99599999999998</v>
      </c>
      <c r="AD17" s="185"/>
      <c r="AE17" s="185"/>
      <c r="AF17" s="193">
        <v>355.512</v>
      </c>
      <c r="AG17" s="185"/>
      <c r="AH17" s="185"/>
      <c r="AI17" s="193">
        <v>298.54899999999998</v>
      </c>
      <c r="AJ17" s="185"/>
      <c r="AK17" s="185"/>
      <c r="AL17" s="189" t="s">
        <v>28</v>
      </c>
      <c r="AM17" s="185"/>
      <c r="AN17" s="185"/>
      <c r="AO17" s="189" t="s">
        <v>28</v>
      </c>
      <c r="AP17" s="185"/>
      <c r="AQ17" s="185"/>
      <c r="AR17" s="189" t="s">
        <v>28</v>
      </c>
      <c r="AS17" s="185"/>
      <c r="AT17" s="185"/>
      <c r="AU17" s="189" t="s">
        <v>28</v>
      </c>
      <c r="AV17" s="185"/>
      <c r="AW17" s="185"/>
      <c r="AX17" s="189" t="s">
        <v>28</v>
      </c>
      <c r="AY17" s="185"/>
      <c r="AZ17" s="185"/>
      <c r="BA17" s="185"/>
    </row>
    <row r="18" spans="1:53" ht="27.6" customHeight="1" x14ac:dyDescent="0.25">
      <c r="A18" s="192" t="s">
        <v>379</v>
      </c>
      <c r="B18" s="185"/>
      <c r="C18" s="193">
        <v>30.9</v>
      </c>
      <c r="D18" s="185"/>
      <c r="E18" s="185"/>
      <c r="F18" s="193">
        <v>39.320999999999998</v>
      </c>
      <c r="G18" s="185"/>
      <c r="H18" s="185"/>
      <c r="I18" s="193">
        <v>30.187999999999999</v>
      </c>
      <c r="J18" s="185"/>
      <c r="K18" s="185"/>
      <c r="L18" s="193">
        <v>38.659999999999997</v>
      </c>
      <c r="M18" s="185"/>
      <c r="N18" s="185"/>
      <c r="O18" s="193">
        <v>26.669</v>
      </c>
      <c r="P18" s="185"/>
      <c r="Q18" s="185"/>
      <c r="R18" s="185"/>
      <c r="S18" s="185"/>
      <c r="T18" s="193">
        <v>21.138999999999999</v>
      </c>
      <c r="U18" s="185"/>
      <c r="V18" s="185"/>
      <c r="W18" s="193">
        <v>13.996</v>
      </c>
      <c r="X18" s="185"/>
      <c r="Y18" s="185"/>
      <c r="Z18" s="193">
        <v>17.379000000000001</v>
      </c>
      <c r="AA18" s="185"/>
      <c r="AB18" s="185"/>
      <c r="AC18" s="193">
        <v>35.430999999999997</v>
      </c>
      <c r="AD18" s="185"/>
      <c r="AE18" s="185"/>
      <c r="AF18" s="193">
        <v>27.346</v>
      </c>
      <c r="AG18" s="185"/>
      <c r="AH18" s="185"/>
      <c r="AI18" s="193">
        <v>26.117000000000001</v>
      </c>
      <c r="AJ18" s="185"/>
      <c r="AK18" s="185"/>
      <c r="AL18" s="189" t="s">
        <v>28</v>
      </c>
      <c r="AM18" s="185"/>
      <c r="AN18" s="185"/>
      <c r="AO18" s="189" t="s">
        <v>28</v>
      </c>
      <c r="AP18" s="185"/>
      <c r="AQ18" s="185"/>
      <c r="AR18" s="189" t="s">
        <v>28</v>
      </c>
      <c r="AS18" s="185"/>
      <c r="AT18" s="185"/>
      <c r="AU18" s="189" t="s">
        <v>28</v>
      </c>
      <c r="AV18" s="185"/>
      <c r="AW18" s="185"/>
      <c r="AX18" s="189" t="s">
        <v>28</v>
      </c>
      <c r="AY18" s="185"/>
      <c r="AZ18" s="185"/>
      <c r="BA18" s="185"/>
    </row>
    <row r="19" spans="1:53" ht="27.6" customHeight="1" x14ac:dyDescent="0.25">
      <c r="A19" s="192" t="s">
        <v>380</v>
      </c>
      <c r="B19" s="185"/>
      <c r="C19" s="193">
        <v>100</v>
      </c>
      <c r="D19" s="185"/>
      <c r="E19" s="185"/>
      <c r="F19" s="193">
        <v>100</v>
      </c>
      <c r="G19" s="185"/>
      <c r="H19" s="185"/>
      <c r="I19" s="193">
        <v>34.085999999999999</v>
      </c>
      <c r="J19" s="185"/>
      <c r="K19" s="185"/>
      <c r="L19" s="193">
        <v>100</v>
      </c>
      <c r="M19" s="185"/>
      <c r="N19" s="185"/>
      <c r="O19" s="193">
        <v>100</v>
      </c>
      <c r="P19" s="185"/>
      <c r="Q19" s="185"/>
      <c r="R19" s="185"/>
      <c r="S19" s="185"/>
      <c r="T19" s="193">
        <v>99.608000000000004</v>
      </c>
      <c r="U19" s="185"/>
      <c r="V19" s="185"/>
      <c r="W19" s="193">
        <v>99.653999999999996</v>
      </c>
      <c r="X19" s="185"/>
      <c r="Y19" s="185"/>
      <c r="Z19" s="193">
        <v>99.575000000000003</v>
      </c>
      <c r="AA19" s="185"/>
      <c r="AB19" s="185"/>
      <c r="AC19" s="193">
        <v>99.203000000000003</v>
      </c>
      <c r="AD19" s="185"/>
      <c r="AE19" s="185"/>
      <c r="AF19" s="193">
        <v>99.998999999999995</v>
      </c>
      <c r="AG19" s="185"/>
      <c r="AH19" s="185"/>
      <c r="AI19" s="193">
        <v>99.998999999999995</v>
      </c>
      <c r="AJ19" s="185"/>
      <c r="AK19" s="185"/>
      <c r="AL19" s="189" t="s">
        <v>28</v>
      </c>
      <c r="AM19" s="185"/>
      <c r="AN19" s="185"/>
      <c r="AO19" s="189" t="s">
        <v>28</v>
      </c>
      <c r="AP19" s="185"/>
      <c r="AQ19" s="185"/>
      <c r="AR19" s="189" t="s">
        <v>28</v>
      </c>
      <c r="AS19" s="185"/>
      <c r="AT19" s="185"/>
      <c r="AU19" s="189" t="s">
        <v>28</v>
      </c>
      <c r="AV19" s="185"/>
      <c r="AW19" s="185"/>
      <c r="AX19" s="189" t="s">
        <v>28</v>
      </c>
      <c r="AY19" s="185"/>
      <c r="AZ19" s="185"/>
      <c r="BA19" s="185"/>
    </row>
    <row r="20" spans="1:53" ht="14.45" customHeight="1" x14ac:dyDescent="0.25">
      <c r="A20" s="192" t="s">
        <v>381</v>
      </c>
      <c r="B20" s="185"/>
      <c r="C20" s="193">
        <v>147.86799999999999</v>
      </c>
      <c r="D20" s="185"/>
      <c r="E20" s="185"/>
      <c r="F20" s="193">
        <v>213.333</v>
      </c>
      <c r="G20" s="185"/>
      <c r="H20" s="185"/>
      <c r="I20" s="193">
        <v>80.572999999999993</v>
      </c>
      <c r="J20" s="185"/>
      <c r="K20" s="185"/>
      <c r="L20" s="193">
        <v>143.964</v>
      </c>
      <c r="M20" s="185"/>
      <c r="N20" s="185"/>
      <c r="O20" s="193">
        <v>111.611</v>
      </c>
      <c r="P20" s="185"/>
      <c r="Q20" s="185"/>
      <c r="R20" s="185"/>
      <c r="S20" s="185"/>
      <c r="T20" s="193">
        <v>255.833</v>
      </c>
      <c r="U20" s="185"/>
      <c r="V20" s="185"/>
      <c r="W20" s="193">
        <v>396.33699999999999</v>
      </c>
      <c r="X20" s="185"/>
      <c r="Y20" s="185"/>
      <c r="Z20" s="193">
        <v>294.185</v>
      </c>
      <c r="AA20" s="185"/>
      <c r="AB20" s="185"/>
      <c r="AC20" s="193">
        <v>57.540999999999997</v>
      </c>
      <c r="AD20" s="185"/>
      <c r="AE20" s="185"/>
      <c r="AF20" s="193">
        <v>62.572000000000003</v>
      </c>
      <c r="AG20" s="185"/>
      <c r="AH20" s="185"/>
      <c r="AI20" s="193">
        <v>78.424999999999997</v>
      </c>
      <c r="AJ20" s="185"/>
      <c r="AK20" s="185"/>
      <c r="AL20" s="189" t="s">
        <v>28</v>
      </c>
      <c r="AM20" s="185"/>
      <c r="AN20" s="185"/>
      <c r="AO20" s="189" t="s">
        <v>28</v>
      </c>
      <c r="AP20" s="185"/>
      <c r="AQ20" s="185"/>
      <c r="AR20" s="189" t="s">
        <v>28</v>
      </c>
      <c r="AS20" s="185"/>
      <c r="AT20" s="185"/>
      <c r="AU20" s="189" t="s">
        <v>28</v>
      </c>
      <c r="AV20" s="185"/>
      <c r="AW20" s="185"/>
      <c r="AX20" s="189" t="s">
        <v>28</v>
      </c>
      <c r="AY20" s="185"/>
      <c r="AZ20" s="185"/>
      <c r="BA20" s="185"/>
    </row>
    <row r="21" spans="1:53" ht="14.45" customHeight="1" x14ac:dyDescent="0.25">
      <c r="A21" s="192" t="s">
        <v>382</v>
      </c>
      <c r="B21" s="185"/>
      <c r="C21" s="193">
        <v>0</v>
      </c>
      <c r="D21" s="185"/>
      <c r="E21" s="185"/>
      <c r="F21" s="193">
        <v>0</v>
      </c>
      <c r="G21" s="185"/>
      <c r="H21" s="185"/>
      <c r="I21" s="193">
        <v>222.471</v>
      </c>
      <c r="J21" s="185"/>
      <c r="K21" s="185"/>
      <c r="L21" s="193">
        <v>0</v>
      </c>
      <c r="M21" s="185"/>
      <c r="N21" s="185"/>
      <c r="O21" s="193">
        <v>0</v>
      </c>
      <c r="P21" s="185"/>
      <c r="Q21" s="185"/>
      <c r="R21" s="185"/>
      <c r="S21" s="185"/>
      <c r="T21" s="193">
        <v>1.8580000000000001</v>
      </c>
      <c r="U21" s="185"/>
      <c r="V21" s="185"/>
      <c r="W21" s="193">
        <v>2.48</v>
      </c>
      <c r="X21" s="185"/>
      <c r="Y21" s="185"/>
      <c r="Z21" s="193">
        <v>2.448</v>
      </c>
      <c r="AA21" s="185"/>
      <c r="AB21" s="185"/>
      <c r="AC21" s="193">
        <v>2.254</v>
      </c>
      <c r="AD21" s="185"/>
      <c r="AE21" s="185"/>
      <c r="AF21" s="193">
        <v>3.0000000000000001E-3</v>
      </c>
      <c r="AG21" s="185"/>
      <c r="AH21" s="185"/>
      <c r="AI21" s="193">
        <v>3.0000000000000001E-3</v>
      </c>
      <c r="AJ21" s="185"/>
      <c r="AK21" s="185"/>
      <c r="AL21" s="189" t="s">
        <v>28</v>
      </c>
      <c r="AM21" s="185"/>
      <c r="AN21" s="185"/>
      <c r="AO21" s="189" t="s">
        <v>28</v>
      </c>
      <c r="AP21" s="185"/>
      <c r="AQ21" s="185"/>
      <c r="AR21" s="189" t="s">
        <v>28</v>
      </c>
      <c r="AS21" s="185"/>
      <c r="AT21" s="185"/>
      <c r="AU21" s="189" t="s">
        <v>28</v>
      </c>
      <c r="AV21" s="185"/>
      <c r="AW21" s="185"/>
      <c r="AX21" s="189" t="s">
        <v>28</v>
      </c>
      <c r="AY21" s="185"/>
      <c r="AZ21" s="185"/>
      <c r="BA21" s="185"/>
    </row>
    <row r="22" spans="1:53" ht="14.45" customHeight="1" x14ac:dyDescent="0.25">
      <c r="A22" s="192" t="s">
        <v>383</v>
      </c>
      <c r="B22" s="185"/>
      <c r="C22" s="193">
        <v>69.213999999999999</v>
      </c>
      <c r="D22" s="185"/>
      <c r="E22" s="185"/>
      <c r="F22" s="193">
        <v>73.686000000000007</v>
      </c>
      <c r="G22" s="185"/>
      <c r="H22" s="185"/>
      <c r="I22" s="193">
        <v>405.221</v>
      </c>
      <c r="J22" s="185"/>
      <c r="K22" s="185"/>
      <c r="L22" s="193">
        <v>111.04600000000001</v>
      </c>
      <c r="M22" s="185"/>
      <c r="N22" s="185"/>
      <c r="O22" s="193">
        <v>92.378</v>
      </c>
      <c r="P22" s="185"/>
      <c r="Q22" s="185"/>
      <c r="R22" s="185"/>
      <c r="S22" s="185"/>
      <c r="T22" s="193">
        <v>42.167999999999999</v>
      </c>
      <c r="U22" s="185"/>
      <c r="V22" s="185"/>
      <c r="W22" s="193">
        <v>55.219000000000001</v>
      </c>
      <c r="X22" s="185"/>
      <c r="Y22" s="185"/>
      <c r="Z22" s="193">
        <v>39.039000000000001</v>
      </c>
      <c r="AA22" s="185"/>
      <c r="AB22" s="185"/>
      <c r="AC22" s="193">
        <v>195.06800000000001</v>
      </c>
      <c r="AD22" s="185"/>
      <c r="AE22" s="185"/>
      <c r="AF22" s="193">
        <v>190.721</v>
      </c>
      <c r="AG22" s="185"/>
      <c r="AH22" s="185"/>
      <c r="AI22" s="193">
        <v>128.58799999999999</v>
      </c>
      <c r="AJ22" s="185"/>
      <c r="AK22" s="185"/>
      <c r="AL22" s="189" t="s">
        <v>28</v>
      </c>
      <c r="AM22" s="185"/>
      <c r="AN22" s="185"/>
      <c r="AO22" s="189" t="s">
        <v>28</v>
      </c>
      <c r="AP22" s="185"/>
      <c r="AQ22" s="185"/>
      <c r="AR22" s="189" t="s">
        <v>28</v>
      </c>
      <c r="AS22" s="185"/>
      <c r="AT22" s="185"/>
      <c r="AU22" s="189" t="s">
        <v>28</v>
      </c>
      <c r="AV22" s="185"/>
      <c r="AW22" s="185"/>
      <c r="AX22" s="189" t="s">
        <v>28</v>
      </c>
      <c r="AY22" s="185"/>
      <c r="AZ22" s="185"/>
      <c r="BA22" s="185"/>
    </row>
    <row r="23" spans="1:53" ht="14.45" customHeight="1" x14ac:dyDescent="0.25">
      <c r="A23" s="192" t="s">
        <v>384</v>
      </c>
      <c r="B23" s="185"/>
      <c r="C23" s="193">
        <v>100</v>
      </c>
      <c r="D23" s="185"/>
      <c r="E23" s="185"/>
      <c r="F23" s="193">
        <v>100</v>
      </c>
      <c r="G23" s="185"/>
      <c r="H23" s="185"/>
      <c r="I23" s="193">
        <v>52.279000000000003</v>
      </c>
      <c r="J23" s="185"/>
      <c r="K23" s="185"/>
      <c r="L23" s="193">
        <v>100</v>
      </c>
      <c r="M23" s="185"/>
      <c r="N23" s="185"/>
      <c r="O23" s="193">
        <v>100</v>
      </c>
      <c r="P23" s="185"/>
      <c r="Q23" s="185"/>
      <c r="R23" s="185"/>
      <c r="S23" s="185"/>
      <c r="T23" s="193">
        <v>99.066999999999993</v>
      </c>
      <c r="U23" s="185"/>
      <c r="V23" s="185"/>
      <c r="W23" s="193">
        <v>99.370999999999995</v>
      </c>
      <c r="X23" s="185"/>
      <c r="Y23" s="185"/>
      <c r="Z23" s="193">
        <v>98.908000000000001</v>
      </c>
      <c r="AA23" s="185"/>
      <c r="AB23" s="185"/>
      <c r="AC23" s="193">
        <v>99.587999999999994</v>
      </c>
      <c r="AD23" s="185"/>
      <c r="AE23" s="185"/>
      <c r="AF23" s="193">
        <v>99.998999999999995</v>
      </c>
      <c r="AG23" s="185"/>
      <c r="AH23" s="185"/>
      <c r="AI23" s="193">
        <v>99.998999999999995</v>
      </c>
      <c r="AJ23" s="185"/>
      <c r="AK23" s="185"/>
      <c r="AL23" s="189" t="s">
        <v>28</v>
      </c>
      <c r="AM23" s="185"/>
      <c r="AN23" s="185"/>
      <c r="AO23" s="189" t="s">
        <v>28</v>
      </c>
      <c r="AP23" s="185"/>
      <c r="AQ23" s="185"/>
      <c r="AR23" s="189" t="s">
        <v>28</v>
      </c>
      <c r="AS23" s="185"/>
      <c r="AT23" s="185"/>
      <c r="AU23" s="189" t="s">
        <v>28</v>
      </c>
      <c r="AV23" s="185"/>
      <c r="AW23" s="185"/>
      <c r="AX23" s="189" t="s">
        <v>28</v>
      </c>
      <c r="AY23" s="185"/>
      <c r="AZ23" s="185"/>
      <c r="BA23" s="185"/>
    </row>
    <row r="24" spans="1:53" ht="14.45" customHeight="1" x14ac:dyDescent="0.25">
      <c r="A24" s="185"/>
      <c r="B24" s="185"/>
      <c r="C24" s="185"/>
      <c r="D24" s="185"/>
      <c r="E24" s="185"/>
      <c r="F24" s="185"/>
      <c r="G24" s="185"/>
      <c r="H24" s="185"/>
      <c r="I24" s="185"/>
      <c r="J24" s="185"/>
      <c r="K24" s="185"/>
      <c r="L24" s="185"/>
      <c r="M24" s="185"/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5"/>
      <c r="Z24" s="185"/>
      <c r="AA24" s="185"/>
      <c r="AB24" s="185"/>
      <c r="AC24" s="185"/>
      <c r="AD24" s="185"/>
      <c r="AE24" s="185"/>
      <c r="AF24" s="185"/>
      <c r="AG24" s="185"/>
      <c r="AH24" s="185"/>
      <c r="AI24" s="185"/>
      <c r="AJ24" s="185"/>
      <c r="AK24" s="185"/>
      <c r="AL24" s="185"/>
      <c r="AM24" s="185"/>
      <c r="AN24" s="185"/>
      <c r="AO24" s="185"/>
      <c r="AP24" s="185"/>
      <c r="AQ24" s="185"/>
      <c r="AR24" s="185"/>
      <c r="AS24" s="185"/>
      <c r="AT24" s="185"/>
      <c r="AU24" s="185"/>
      <c r="AV24" s="185"/>
      <c r="AW24" s="185"/>
      <c r="AX24" s="185"/>
      <c r="AY24" s="185"/>
      <c r="AZ24" s="185"/>
      <c r="BA24" s="185"/>
    </row>
    <row r="25" spans="1:53" ht="14.45" customHeight="1" x14ac:dyDescent="0.25">
      <c r="A25" s="191" t="s">
        <v>385</v>
      </c>
      <c r="B25" s="185"/>
      <c r="C25" s="190"/>
      <c r="D25" s="185"/>
      <c r="E25" s="185"/>
      <c r="F25" s="190"/>
      <c r="G25" s="185"/>
      <c r="H25" s="185"/>
      <c r="I25" s="190"/>
      <c r="J25" s="185"/>
      <c r="K25" s="185"/>
      <c r="L25" s="190"/>
      <c r="M25" s="185"/>
      <c r="N25" s="185"/>
      <c r="O25" s="190"/>
      <c r="P25" s="185"/>
      <c r="Q25" s="185"/>
      <c r="R25" s="185"/>
      <c r="S25" s="185"/>
      <c r="T25" s="190"/>
      <c r="U25" s="185"/>
      <c r="V25" s="185"/>
      <c r="W25" s="190"/>
      <c r="X25" s="185"/>
      <c r="Y25" s="185"/>
      <c r="Z25" s="190"/>
      <c r="AA25" s="185"/>
      <c r="AB25" s="185"/>
      <c r="AC25" s="190"/>
      <c r="AD25" s="185"/>
      <c r="AE25" s="185"/>
      <c r="AF25" s="190"/>
      <c r="AG25" s="185"/>
      <c r="AH25" s="185"/>
      <c r="AI25" s="190"/>
      <c r="AJ25" s="185"/>
      <c r="AK25" s="185"/>
      <c r="AL25" s="190"/>
      <c r="AM25" s="185"/>
      <c r="AN25" s="185"/>
      <c r="AO25" s="190"/>
      <c r="AP25" s="185"/>
      <c r="AQ25" s="185"/>
      <c r="AR25" s="190"/>
      <c r="AS25" s="185"/>
      <c r="AT25" s="185"/>
      <c r="AU25" s="190"/>
      <c r="AV25" s="185"/>
      <c r="AW25" s="185"/>
      <c r="AX25" s="190"/>
      <c r="AY25" s="185"/>
      <c r="AZ25" s="185"/>
      <c r="BA25" s="185"/>
    </row>
    <row r="26" spans="1:53" ht="14.45" customHeight="1" x14ac:dyDescent="0.25">
      <c r="A26" s="192" t="s">
        <v>386</v>
      </c>
      <c r="B26" s="185"/>
      <c r="C26" s="195">
        <v>33.14</v>
      </c>
      <c r="D26" s="196"/>
      <c r="E26" s="196"/>
      <c r="F26" s="194">
        <v>155.46199999999999</v>
      </c>
      <c r="G26" s="185"/>
      <c r="H26" s="185"/>
      <c r="I26" s="194">
        <v>150.904</v>
      </c>
      <c r="J26" s="185"/>
      <c r="K26" s="185"/>
      <c r="L26" s="194">
        <v>160.26599999999999</v>
      </c>
      <c r="M26" s="185"/>
      <c r="N26" s="185"/>
      <c r="O26" s="194">
        <v>77.423000000000002</v>
      </c>
      <c r="P26" s="185"/>
      <c r="Q26" s="185"/>
      <c r="R26" s="185"/>
      <c r="S26" s="185"/>
      <c r="T26" s="194">
        <v>94.537999999999997</v>
      </c>
      <c r="U26" s="185"/>
      <c r="V26" s="185"/>
      <c r="W26" s="194">
        <v>26.363</v>
      </c>
      <c r="X26" s="185"/>
      <c r="Y26" s="185"/>
      <c r="Z26" s="194">
        <v>34.676000000000002</v>
      </c>
      <c r="AA26" s="185"/>
      <c r="AB26" s="185"/>
      <c r="AC26" s="194">
        <v>45.651000000000003</v>
      </c>
      <c r="AD26" s="185"/>
      <c r="AE26" s="185"/>
      <c r="AF26" s="194">
        <v>50.170999999999999</v>
      </c>
      <c r="AG26" s="185"/>
      <c r="AH26" s="185"/>
      <c r="AI26" s="194">
        <v>69.707999999999998</v>
      </c>
      <c r="AJ26" s="185"/>
      <c r="AK26" s="185"/>
      <c r="AL26" s="189" t="s">
        <v>28</v>
      </c>
      <c r="AM26" s="185"/>
      <c r="AN26" s="185"/>
      <c r="AO26" s="189" t="s">
        <v>28</v>
      </c>
      <c r="AP26" s="185"/>
      <c r="AQ26" s="185"/>
      <c r="AR26" s="189" t="s">
        <v>28</v>
      </c>
      <c r="AS26" s="185"/>
      <c r="AT26" s="185"/>
      <c r="AU26" s="189" t="s">
        <v>28</v>
      </c>
      <c r="AV26" s="185"/>
      <c r="AW26" s="185"/>
      <c r="AX26" s="189" t="s">
        <v>28</v>
      </c>
      <c r="AY26" s="185"/>
      <c r="AZ26" s="185"/>
      <c r="BA26" s="185"/>
    </row>
    <row r="27" spans="1:53" ht="14.45" customHeight="1" x14ac:dyDescent="0.25">
      <c r="A27" s="192" t="s">
        <v>387</v>
      </c>
      <c r="B27" s="185"/>
      <c r="C27" s="194">
        <v>148.32</v>
      </c>
      <c r="D27" s="185"/>
      <c r="E27" s="185"/>
      <c r="F27" s="194">
        <v>100.44</v>
      </c>
      <c r="G27" s="185"/>
      <c r="H27" s="185"/>
      <c r="I27" s="194">
        <v>129.33199999999999</v>
      </c>
      <c r="J27" s="185"/>
      <c r="K27" s="185"/>
      <c r="L27" s="194">
        <v>122.05500000000001</v>
      </c>
      <c r="M27" s="185"/>
      <c r="N27" s="185"/>
      <c r="O27" s="194">
        <v>122.512</v>
      </c>
      <c r="P27" s="185"/>
      <c r="Q27" s="185"/>
      <c r="R27" s="185"/>
      <c r="S27" s="185"/>
      <c r="T27" s="194">
        <v>117.934</v>
      </c>
      <c r="U27" s="185"/>
      <c r="V27" s="185"/>
      <c r="W27" s="194">
        <v>93.307000000000002</v>
      </c>
      <c r="X27" s="185"/>
      <c r="Y27" s="185"/>
      <c r="Z27" s="194">
        <v>109.334</v>
      </c>
      <c r="AA27" s="185"/>
      <c r="AB27" s="185"/>
      <c r="AC27" s="194">
        <v>38.009</v>
      </c>
      <c r="AD27" s="185"/>
      <c r="AE27" s="185"/>
      <c r="AF27" s="194">
        <v>122.059</v>
      </c>
      <c r="AG27" s="185"/>
      <c r="AH27" s="185"/>
      <c r="AI27" s="194">
        <v>105.402</v>
      </c>
      <c r="AJ27" s="185"/>
      <c r="AK27" s="185"/>
      <c r="AL27" s="189" t="s">
        <v>28</v>
      </c>
      <c r="AM27" s="185"/>
      <c r="AN27" s="185"/>
      <c r="AO27" s="189" t="s">
        <v>28</v>
      </c>
      <c r="AP27" s="185"/>
      <c r="AQ27" s="185"/>
      <c r="AR27" s="189" t="s">
        <v>28</v>
      </c>
      <c r="AS27" s="185"/>
      <c r="AT27" s="185"/>
      <c r="AU27" s="189" t="s">
        <v>28</v>
      </c>
      <c r="AV27" s="185"/>
      <c r="AW27" s="185"/>
      <c r="AX27" s="189" t="s">
        <v>28</v>
      </c>
      <c r="AY27" s="185"/>
      <c r="AZ27" s="185"/>
      <c r="BA27" s="185"/>
    </row>
    <row r="28" spans="1:53" ht="14.45" customHeight="1" x14ac:dyDescent="0.25">
      <c r="A28" s="192" t="s">
        <v>388</v>
      </c>
      <c r="B28" s="185"/>
      <c r="C28" s="193">
        <v>152.55600000000001</v>
      </c>
      <c r="D28" s="185"/>
      <c r="E28" s="185"/>
      <c r="F28" s="193">
        <v>208.10900000000001</v>
      </c>
      <c r="G28" s="185"/>
      <c r="H28" s="185"/>
      <c r="I28" s="193">
        <v>179.4</v>
      </c>
      <c r="J28" s="185"/>
      <c r="K28" s="185"/>
      <c r="L28" s="193">
        <v>193.57900000000001</v>
      </c>
      <c r="M28" s="185"/>
      <c r="N28" s="185"/>
      <c r="O28" s="193">
        <v>156.738</v>
      </c>
      <c r="P28" s="185"/>
      <c r="Q28" s="185"/>
      <c r="R28" s="185"/>
      <c r="S28" s="185"/>
      <c r="T28" s="193">
        <v>192.09299999999999</v>
      </c>
      <c r="U28" s="185"/>
      <c r="V28" s="185"/>
      <c r="W28" s="193">
        <v>149.84100000000001</v>
      </c>
      <c r="X28" s="185"/>
      <c r="Y28" s="185"/>
      <c r="Z28" s="193">
        <v>197.66800000000001</v>
      </c>
      <c r="AA28" s="185"/>
      <c r="AB28" s="185"/>
      <c r="AC28" s="193">
        <v>264.57299999999998</v>
      </c>
      <c r="AD28" s="185"/>
      <c r="AE28" s="185"/>
      <c r="AF28" s="193">
        <v>210.93199999999999</v>
      </c>
      <c r="AG28" s="185"/>
      <c r="AH28" s="185"/>
      <c r="AI28" s="193">
        <v>262.536</v>
      </c>
      <c r="AJ28" s="185"/>
      <c r="AK28" s="185"/>
      <c r="AL28" s="189" t="s">
        <v>28</v>
      </c>
      <c r="AM28" s="185"/>
      <c r="AN28" s="185"/>
      <c r="AO28" s="189" t="s">
        <v>28</v>
      </c>
      <c r="AP28" s="185"/>
      <c r="AQ28" s="185"/>
      <c r="AR28" s="189" t="s">
        <v>28</v>
      </c>
      <c r="AS28" s="185"/>
      <c r="AT28" s="185"/>
      <c r="AU28" s="189" t="s">
        <v>28</v>
      </c>
      <c r="AV28" s="185"/>
      <c r="AW28" s="185"/>
      <c r="AX28" s="189" t="s">
        <v>28</v>
      </c>
      <c r="AY28" s="185"/>
      <c r="AZ28" s="185"/>
      <c r="BA28" s="185"/>
    </row>
    <row r="29" spans="1:53" ht="14.45" customHeight="1" x14ac:dyDescent="0.25">
      <c r="A29" s="185"/>
      <c r="B29" s="185"/>
      <c r="C29" s="185"/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  <c r="AA29" s="185"/>
      <c r="AB29" s="185"/>
      <c r="AC29" s="185"/>
      <c r="AD29" s="185"/>
      <c r="AE29" s="185"/>
      <c r="AF29" s="185"/>
      <c r="AG29" s="185"/>
      <c r="AH29" s="185"/>
      <c r="AI29" s="185"/>
      <c r="AJ29" s="185"/>
      <c r="AK29" s="185"/>
      <c r="AL29" s="185"/>
      <c r="AM29" s="185"/>
      <c r="AN29" s="185"/>
      <c r="AO29" s="185"/>
      <c r="AP29" s="185"/>
      <c r="AQ29" s="185"/>
      <c r="AR29" s="185"/>
      <c r="AS29" s="185"/>
      <c r="AT29" s="185"/>
      <c r="AU29" s="185"/>
      <c r="AV29" s="185"/>
      <c r="AW29" s="185"/>
      <c r="AX29" s="185"/>
      <c r="AY29" s="185"/>
      <c r="AZ29" s="185"/>
      <c r="BA29" s="185"/>
    </row>
    <row r="30" spans="1:53" ht="14.45" customHeight="1" x14ac:dyDescent="0.25">
      <c r="A30" s="191" t="s">
        <v>389</v>
      </c>
      <c r="B30" s="185"/>
      <c r="C30" s="190"/>
      <c r="D30" s="185"/>
      <c r="E30" s="185"/>
      <c r="F30" s="190"/>
      <c r="G30" s="185"/>
      <c r="H30" s="185"/>
      <c r="I30" s="190"/>
      <c r="J30" s="185"/>
      <c r="K30" s="185"/>
      <c r="L30" s="190"/>
      <c r="M30" s="185"/>
      <c r="N30" s="185"/>
      <c r="O30" s="190"/>
      <c r="P30" s="185"/>
      <c r="Q30" s="185"/>
      <c r="R30" s="185"/>
      <c r="S30" s="185"/>
      <c r="T30" s="190"/>
      <c r="U30" s="185"/>
      <c r="V30" s="185"/>
      <c r="W30" s="190"/>
      <c r="X30" s="185"/>
      <c r="Y30" s="185"/>
      <c r="Z30" s="190"/>
      <c r="AA30" s="185"/>
      <c r="AB30" s="185"/>
      <c r="AC30" s="190"/>
      <c r="AD30" s="185"/>
      <c r="AE30" s="185"/>
      <c r="AF30" s="190"/>
      <c r="AG30" s="185"/>
      <c r="AH30" s="185"/>
      <c r="AI30" s="190"/>
      <c r="AJ30" s="185"/>
      <c r="AK30" s="185"/>
      <c r="AL30" s="190"/>
      <c r="AM30" s="185"/>
      <c r="AN30" s="185"/>
      <c r="AO30" s="190"/>
      <c r="AP30" s="185"/>
      <c r="AQ30" s="185"/>
      <c r="AR30" s="190"/>
      <c r="AS30" s="185"/>
      <c r="AT30" s="185"/>
      <c r="AU30" s="190"/>
      <c r="AV30" s="185"/>
      <c r="AW30" s="185"/>
      <c r="AX30" s="190"/>
      <c r="AY30" s="185"/>
      <c r="AZ30" s="185"/>
      <c r="BA30" s="185"/>
    </row>
    <row r="31" spans="1:53" ht="14.45" customHeight="1" x14ac:dyDescent="0.25">
      <c r="A31" s="192" t="s">
        <v>390</v>
      </c>
      <c r="B31" s="185"/>
      <c r="C31" s="193">
        <v>1.885</v>
      </c>
      <c r="D31" s="185"/>
      <c r="E31" s="185"/>
      <c r="F31" s="193">
        <v>1.7909999999999999</v>
      </c>
      <c r="G31" s="185"/>
      <c r="H31" s="185"/>
      <c r="I31" s="193">
        <v>1.9379999999999999</v>
      </c>
      <c r="J31" s="185"/>
      <c r="K31" s="185"/>
      <c r="L31" s="193">
        <v>1.5289999999999999</v>
      </c>
      <c r="M31" s="185"/>
      <c r="N31" s="185"/>
      <c r="O31" s="193">
        <v>1.7509999999999999</v>
      </c>
      <c r="P31" s="185"/>
      <c r="Q31" s="185"/>
      <c r="R31" s="185"/>
      <c r="S31" s="185"/>
      <c r="T31" s="193">
        <v>2.8260000000000001</v>
      </c>
      <c r="U31" s="185"/>
      <c r="V31" s="185"/>
      <c r="W31" s="193">
        <v>2.411</v>
      </c>
      <c r="X31" s="185"/>
      <c r="Y31" s="185"/>
      <c r="Z31" s="193">
        <v>2.9430000000000001</v>
      </c>
      <c r="AA31" s="185"/>
      <c r="AB31" s="185"/>
      <c r="AC31" s="193">
        <v>1.2470000000000001</v>
      </c>
      <c r="AD31" s="185"/>
      <c r="AE31" s="185"/>
      <c r="AF31" s="193">
        <v>1.3160000000000001</v>
      </c>
      <c r="AG31" s="185"/>
      <c r="AH31" s="185"/>
      <c r="AI31" s="193">
        <v>1.5069999999999999</v>
      </c>
      <c r="AJ31" s="185"/>
      <c r="AK31" s="185"/>
      <c r="AL31" s="189" t="s">
        <v>28</v>
      </c>
      <c r="AM31" s="185"/>
      <c r="AN31" s="185"/>
      <c r="AO31" s="189" t="s">
        <v>28</v>
      </c>
      <c r="AP31" s="185"/>
      <c r="AQ31" s="185"/>
      <c r="AR31" s="189" t="s">
        <v>28</v>
      </c>
      <c r="AS31" s="185"/>
      <c r="AT31" s="185"/>
      <c r="AU31" s="189" t="s">
        <v>28</v>
      </c>
      <c r="AV31" s="185"/>
      <c r="AW31" s="185"/>
      <c r="AX31" s="189" t="s">
        <v>28</v>
      </c>
      <c r="AY31" s="185"/>
      <c r="AZ31" s="185"/>
      <c r="BA31" s="185"/>
    </row>
    <row r="32" spans="1:53" ht="14.45" customHeight="1" x14ac:dyDescent="0.25">
      <c r="A32" s="192" t="s">
        <v>391</v>
      </c>
      <c r="B32" s="185"/>
      <c r="C32" s="193">
        <v>1.998</v>
      </c>
      <c r="D32" s="185"/>
      <c r="E32" s="185"/>
      <c r="F32" s="193">
        <v>1.823</v>
      </c>
      <c r="G32" s="185"/>
      <c r="H32" s="185"/>
      <c r="I32" s="193">
        <v>1.966</v>
      </c>
      <c r="J32" s="185"/>
      <c r="K32" s="185"/>
      <c r="L32" s="193">
        <v>1.552</v>
      </c>
      <c r="M32" s="185"/>
      <c r="N32" s="185"/>
      <c r="O32" s="193">
        <v>1.7929999999999999</v>
      </c>
      <c r="P32" s="185"/>
      <c r="Q32" s="185"/>
      <c r="R32" s="185"/>
      <c r="S32" s="185"/>
      <c r="T32" s="193">
        <v>2.895</v>
      </c>
      <c r="U32" s="185"/>
      <c r="V32" s="185"/>
      <c r="W32" s="193">
        <v>2.5720000000000001</v>
      </c>
      <c r="X32" s="185"/>
      <c r="Y32" s="185"/>
      <c r="Z32" s="193">
        <v>3.1480000000000001</v>
      </c>
      <c r="AA32" s="185"/>
      <c r="AB32" s="185"/>
      <c r="AC32" s="193">
        <v>1.335</v>
      </c>
      <c r="AD32" s="185"/>
      <c r="AE32" s="185"/>
      <c r="AF32" s="193">
        <v>1.38</v>
      </c>
      <c r="AG32" s="185"/>
      <c r="AH32" s="185"/>
      <c r="AI32" s="193">
        <v>1.5740000000000001</v>
      </c>
      <c r="AJ32" s="185"/>
      <c r="AK32" s="185"/>
      <c r="AL32" s="189" t="s">
        <v>28</v>
      </c>
      <c r="AM32" s="185"/>
      <c r="AN32" s="185"/>
      <c r="AO32" s="189" t="s">
        <v>28</v>
      </c>
      <c r="AP32" s="185"/>
      <c r="AQ32" s="185"/>
      <c r="AR32" s="189" t="s">
        <v>28</v>
      </c>
      <c r="AS32" s="185"/>
      <c r="AT32" s="185"/>
      <c r="AU32" s="189" t="s">
        <v>28</v>
      </c>
      <c r="AV32" s="185"/>
      <c r="AW32" s="185"/>
      <c r="AX32" s="189" t="s">
        <v>28</v>
      </c>
      <c r="AY32" s="185"/>
      <c r="AZ32" s="185"/>
      <c r="BA32" s="185"/>
    </row>
    <row r="33" spans="1:53" ht="14.45" customHeight="1" x14ac:dyDescent="0.25">
      <c r="A33" s="192" t="s">
        <v>392</v>
      </c>
      <c r="B33" s="185"/>
      <c r="C33" s="193">
        <v>0.19600000000000001</v>
      </c>
      <c r="D33" s="185"/>
      <c r="E33" s="185"/>
      <c r="F33" s="193">
        <v>0.30499999999999999</v>
      </c>
      <c r="G33" s="185"/>
      <c r="H33" s="185"/>
      <c r="I33" s="193">
        <v>0.25800000000000001</v>
      </c>
      <c r="J33" s="185"/>
      <c r="K33" s="185"/>
      <c r="L33" s="193">
        <v>0.17100000000000001</v>
      </c>
      <c r="M33" s="185"/>
      <c r="N33" s="185"/>
      <c r="O33" s="193">
        <v>1.7000000000000001E-2</v>
      </c>
      <c r="P33" s="185"/>
      <c r="Q33" s="185"/>
      <c r="R33" s="185"/>
      <c r="S33" s="185"/>
      <c r="T33" s="193">
        <v>6.4000000000000001E-2</v>
      </c>
      <c r="U33" s="185"/>
      <c r="V33" s="185"/>
      <c r="W33" s="193">
        <v>0.54300000000000004</v>
      </c>
      <c r="X33" s="185"/>
      <c r="Y33" s="185"/>
      <c r="Z33" s="193">
        <v>0.127</v>
      </c>
      <c r="AA33" s="185"/>
      <c r="AB33" s="185"/>
      <c r="AC33" s="193">
        <v>0.1</v>
      </c>
      <c r="AD33" s="185"/>
      <c r="AE33" s="185"/>
      <c r="AF33" s="193">
        <v>0.16800000000000001</v>
      </c>
      <c r="AG33" s="185"/>
      <c r="AH33" s="185"/>
      <c r="AI33" s="193">
        <v>1.2E-2</v>
      </c>
      <c r="AJ33" s="185"/>
      <c r="AK33" s="185"/>
      <c r="AL33" s="189" t="s">
        <v>28</v>
      </c>
      <c r="AM33" s="185"/>
      <c r="AN33" s="185"/>
      <c r="AO33" s="189" t="s">
        <v>28</v>
      </c>
      <c r="AP33" s="185"/>
      <c r="AQ33" s="185"/>
      <c r="AR33" s="189" t="s">
        <v>28</v>
      </c>
      <c r="AS33" s="185"/>
      <c r="AT33" s="185"/>
      <c r="AU33" s="189" t="s">
        <v>28</v>
      </c>
      <c r="AV33" s="185"/>
      <c r="AW33" s="185"/>
      <c r="AX33" s="189" t="s">
        <v>28</v>
      </c>
      <c r="AY33" s="185"/>
      <c r="AZ33" s="185"/>
      <c r="BA33" s="185"/>
    </row>
    <row r="34" spans="1:53" ht="14.45" customHeight="1" x14ac:dyDescent="0.25">
      <c r="A34" s="192" t="s">
        <v>393</v>
      </c>
      <c r="B34" s="185"/>
      <c r="C34" s="194">
        <v>2620837.86</v>
      </c>
      <c r="D34" s="185"/>
      <c r="E34" s="185"/>
      <c r="F34" s="194">
        <v>1016511.76</v>
      </c>
      <c r="G34" s="185"/>
      <c r="H34" s="185"/>
      <c r="I34" s="194">
        <v>1290818.8400000001</v>
      </c>
      <c r="J34" s="185"/>
      <c r="K34" s="185"/>
      <c r="L34" s="194">
        <v>835255.75899999996</v>
      </c>
      <c r="M34" s="185"/>
      <c r="N34" s="185"/>
      <c r="O34" s="194">
        <v>1344946</v>
      </c>
      <c r="P34" s="185"/>
      <c r="Q34" s="185"/>
      <c r="R34" s="185"/>
      <c r="S34" s="185"/>
      <c r="T34" s="194">
        <v>1611058.63</v>
      </c>
      <c r="U34" s="185"/>
      <c r="V34" s="185"/>
      <c r="W34" s="194">
        <v>1988980.17</v>
      </c>
      <c r="X34" s="185"/>
      <c r="Y34" s="185"/>
      <c r="Z34" s="194">
        <v>1557776.7690000001</v>
      </c>
      <c r="AA34" s="185"/>
      <c r="AB34" s="185"/>
      <c r="AC34" s="194">
        <v>648559.56000000006</v>
      </c>
      <c r="AD34" s="185"/>
      <c r="AE34" s="185"/>
      <c r="AF34" s="194">
        <v>1001995.35</v>
      </c>
      <c r="AG34" s="185"/>
      <c r="AH34" s="185"/>
      <c r="AI34" s="194">
        <v>1117420.5589999999</v>
      </c>
      <c r="AJ34" s="185"/>
      <c r="AK34" s="185"/>
      <c r="AL34" s="189" t="s">
        <v>28</v>
      </c>
      <c r="AM34" s="185"/>
      <c r="AN34" s="185"/>
      <c r="AO34" s="189" t="s">
        <v>28</v>
      </c>
      <c r="AP34" s="185"/>
      <c r="AQ34" s="185"/>
      <c r="AR34" s="189" t="s">
        <v>28</v>
      </c>
      <c r="AS34" s="185"/>
      <c r="AT34" s="185"/>
      <c r="AU34" s="189" t="s">
        <v>28</v>
      </c>
      <c r="AV34" s="185"/>
      <c r="AW34" s="185"/>
      <c r="AX34" s="189" t="s">
        <v>28</v>
      </c>
      <c r="AY34" s="185"/>
      <c r="AZ34" s="185"/>
      <c r="BA34" s="185"/>
    </row>
    <row r="35" spans="1:53" ht="14.45" customHeight="1" x14ac:dyDescent="0.25">
      <c r="A35" s="185"/>
      <c r="B35" s="185"/>
      <c r="C35" s="185"/>
      <c r="D35" s="185"/>
      <c r="E35" s="185"/>
      <c r="F35" s="185"/>
      <c r="G35" s="185"/>
      <c r="H35" s="185"/>
      <c r="I35" s="185"/>
      <c r="J35" s="185"/>
      <c r="K35" s="185"/>
      <c r="L35" s="185"/>
      <c r="M35" s="185"/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  <c r="Z35" s="185"/>
      <c r="AA35" s="185"/>
      <c r="AB35" s="185"/>
      <c r="AC35" s="185"/>
      <c r="AD35" s="185"/>
      <c r="AE35" s="185"/>
      <c r="AF35" s="185"/>
      <c r="AG35" s="185"/>
      <c r="AH35" s="185"/>
      <c r="AI35" s="185"/>
      <c r="AJ35" s="185"/>
      <c r="AK35" s="185"/>
      <c r="AL35" s="185"/>
      <c r="AM35" s="185"/>
      <c r="AN35" s="185"/>
      <c r="AO35" s="185"/>
      <c r="AP35" s="185"/>
      <c r="AQ35" s="185"/>
      <c r="AR35" s="185"/>
      <c r="AS35" s="185"/>
      <c r="AT35" s="185"/>
      <c r="AU35" s="185"/>
      <c r="AV35" s="185"/>
      <c r="AW35" s="185"/>
      <c r="AX35" s="185"/>
      <c r="AY35" s="185"/>
      <c r="AZ35" s="185"/>
      <c r="BA35" s="185"/>
    </row>
    <row r="36" spans="1:53" ht="14.45" customHeight="1" x14ac:dyDescent="0.25">
      <c r="A36" s="191" t="s">
        <v>394</v>
      </c>
      <c r="B36" s="185"/>
      <c r="C36" s="190"/>
      <c r="D36" s="185"/>
      <c r="E36" s="185"/>
      <c r="F36" s="190"/>
      <c r="G36" s="185"/>
      <c r="H36" s="185"/>
      <c r="I36" s="190"/>
      <c r="J36" s="185"/>
      <c r="K36" s="185"/>
      <c r="L36" s="190"/>
      <c r="M36" s="185"/>
      <c r="N36" s="185"/>
      <c r="O36" s="190"/>
      <c r="P36" s="185"/>
      <c r="Q36" s="185"/>
      <c r="R36" s="185"/>
      <c r="S36" s="185"/>
      <c r="T36" s="190"/>
      <c r="U36" s="185"/>
      <c r="V36" s="185"/>
      <c r="W36" s="190"/>
      <c r="X36" s="185"/>
      <c r="Y36" s="185"/>
      <c r="Z36" s="190"/>
      <c r="AA36" s="185"/>
      <c r="AB36" s="185"/>
      <c r="AC36" s="190"/>
      <c r="AD36" s="185"/>
      <c r="AE36" s="185"/>
      <c r="AF36" s="190"/>
      <c r="AG36" s="185"/>
      <c r="AH36" s="185"/>
      <c r="AI36" s="190"/>
      <c r="AJ36" s="185"/>
      <c r="AK36" s="185"/>
      <c r="AL36" s="190"/>
      <c r="AM36" s="185"/>
      <c r="AN36" s="185"/>
      <c r="AO36" s="190"/>
      <c r="AP36" s="185"/>
      <c r="AQ36" s="185"/>
      <c r="AR36" s="190"/>
      <c r="AS36" s="185"/>
      <c r="AT36" s="185"/>
      <c r="AU36" s="190"/>
      <c r="AV36" s="185"/>
      <c r="AW36" s="185"/>
      <c r="AX36" s="190"/>
      <c r="AY36" s="185"/>
      <c r="AZ36" s="185"/>
      <c r="BA36" s="185"/>
    </row>
    <row r="37" spans="1:53" ht="14.45" customHeight="1" x14ac:dyDescent="0.25">
      <c r="A37" s="192" t="s">
        <v>395</v>
      </c>
      <c r="B37" s="185"/>
      <c r="C37" s="193">
        <v>35.158000000000001</v>
      </c>
      <c r="D37" s="185"/>
      <c r="E37" s="185"/>
      <c r="F37" s="193">
        <v>44.506</v>
      </c>
      <c r="G37" s="185"/>
      <c r="H37" s="185"/>
      <c r="I37" s="193">
        <v>40.396999999999998</v>
      </c>
      <c r="J37" s="185"/>
      <c r="K37" s="185"/>
      <c r="L37" s="193">
        <v>45.069000000000003</v>
      </c>
      <c r="M37" s="185"/>
      <c r="N37" s="185"/>
      <c r="O37" s="193">
        <v>50.095999999999997</v>
      </c>
      <c r="P37" s="185"/>
      <c r="Q37" s="185"/>
      <c r="R37" s="185"/>
      <c r="S37" s="185"/>
      <c r="T37" s="193">
        <v>68.040000000000006</v>
      </c>
      <c r="U37" s="185"/>
      <c r="V37" s="185"/>
      <c r="W37" s="193">
        <v>62.566000000000003</v>
      </c>
      <c r="X37" s="185"/>
      <c r="Y37" s="185"/>
      <c r="Z37" s="193">
        <v>69.373999999999995</v>
      </c>
      <c r="AA37" s="185"/>
      <c r="AB37" s="185"/>
      <c r="AC37" s="193">
        <v>31.628</v>
      </c>
      <c r="AD37" s="185"/>
      <c r="AE37" s="185"/>
      <c r="AF37" s="193">
        <v>32.738</v>
      </c>
      <c r="AG37" s="185"/>
      <c r="AH37" s="185"/>
      <c r="AI37" s="193">
        <v>41.823</v>
      </c>
      <c r="AJ37" s="185"/>
      <c r="AK37" s="185"/>
      <c r="AL37" s="189" t="s">
        <v>28</v>
      </c>
      <c r="AM37" s="185"/>
      <c r="AN37" s="185"/>
      <c r="AO37" s="189" t="s">
        <v>28</v>
      </c>
      <c r="AP37" s="185"/>
      <c r="AQ37" s="185"/>
      <c r="AR37" s="189" t="s">
        <v>28</v>
      </c>
      <c r="AS37" s="185"/>
      <c r="AT37" s="185"/>
      <c r="AU37" s="189" t="s">
        <v>28</v>
      </c>
      <c r="AV37" s="185"/>
      <c r="AW37" s="185"/>
      <c r="AX37" s="189" t="s">
        <v>28</v>
      </c>
      <c r="AY37" s="185"/>
      <c r="AZ37" s="185"/>
      <c r="BA37" s="185"/>
    </row>
    <row r="38" spans="1:53" ht="14.45" customHeight="1" x14ac:dyDescent="0.25">
      <c r="A38" s="192" t="s">
        <v>396</v>
      </c>
      <c r="B38" s="185"/>
      <c r="C38" s="193">
        <v>39.679000000000002</v>
      </c>
      <c r="D38" s="185"/>
      <c r="E38" s="185"/>
      <c r="F38" s="193">
        <v>58.777999999999999</v>
      </c>
      <c r="G38" s="185"/>
      <c r="H38" s="185"/>
      <c r="I38" s="193">
        <v>52.994999999999997</v>
      </c>
      <c r="J38" s="185"/>
      <c r="K38" s="185"/>
      <c r="L38" s="193">
        <v>59.53</v>
      </c>
      <c r="M38" s="185"/>
      <c r="N38" s="185"/>
      <c r="O38" s="193">
        <v>50.77</v>
      </c>
      <c r="P38" s="185"/>
      <c r="Q38" s="185"/>
      <c r="R38" s="185"/>
      <c r="S38" s="185"/>
      <c r="T38" s="193">
        <v>68.695999999999998</v>
      </c>
      <c r="U38" s="185"/>
      <c r="V38" s="185"/>
      <c r="W38" s="193">
        <v>63.076999999999998</v>
      </c>
      <c r="X38" s="185"/>
      <c r="Y38" s="185"/>
      <c r="Z38" s="193">
        <v>69.802999999999997</v>
      </c>
      <c r="AA38" s="185"/>
      <c r="AB38" s="185"/>
      <c r="AC38" s="193">
        <v>32.081000000000003</v>
      </c>
      <c r="AD38" s="185"/>
      <c r="AE38" s="185"/>
      <c r="AF38" s="193">
        <v>32.738</v>
      </c>
      <c r="AG38" s="185"/>
      <c r="AH38" s="185"/>
      <c r="AI38" s="193">
        <v>41.823</v>
      </c>
      <c r="AJ38" s="185"/>
      <c r="AK38" s="185"/>
      <c r="AL38" s="189" t="s">
        <v>28</v>
      </c>
      <c r="AM38" s="185"/>
      <c r="AN38" s="185"/>
      <c r="AO38" s="189" t="s">
        <v>28</v>
      </c>
      <c r="AP38" s="185"/>
      <c r="AQ38" s="185"/>
      <c r="AR38" s="189" t="s">
        <v>28</v>
      </c>
      <c r="AS38" s="185"/>
      <c r="AT38" s="185"/>
      <c r="AU38" s="189" t="s">
        <v>28</v>
      </c>
      <c r="AV38" s="185"/>
      <c r="AW38" s="185"/>
      <c r="AX38" s="189" t="s">
        <v>28</v>
      </c>
      <c r="AY38" s="185"/>
      <c r="AZ38" s="185"/>
      <c r="BA38" s="185"/>
    </row>
    <row r="39" spans="1:53" ht="14.45" customHeight="1" x14ac:dyDescent="0.25">
      <c r="A39" s="192" t="s">
        <v>397</v>
      </c>
      <c r="B39" s="185"/>
      <c r="C39" s="194">
        <v>73617.375</v>
      </c>
      <c r="D39" s="185"/>
      <c r="E39" s="185"/>
      <c r="F39" s="194">
        <v>50884.991000000002</v>
      </c>
      <c r="G39" s="185"/>
      <c r="H39" s="185"/>
      <c r="I39" s="194">
        <v>52893.18</v>
      </c>
      <c r="J39" s="185"/>
      <c r="K39" s="185"/>
      <c r="L39" s="194">
        <v>56766.356</v>
      </c>
      <c r="M39" s="185"/>
      <c r="N39" s="185"/>
      <c r="O39" s="194">
        <v>58833.466999999997</v>
      </c>
      <c r="P39" s="185"/>
      <c r="Q39" s="185"/>
      <c r="R39" s="185"/>
      <c r="S39" s="185"/>
      <c r="T39" s="194">
        <v>63150.531999999999</v>
      </c>
      <c r="U39" s="185"/>
      <c r="V39" s="185"/>
      <c r="W39" s="194">
        <v>65369.375999999997</v>
      </c>
      <c r="X39" s="185"/>
      <c r="Y39" s="185"/>
      <c r="Z39" s="194">
        <v>57332.707000000002</v>
      </c>
      <c r="AA39" s="185"/>
      <c r="AB39" s="185"/>
      <c r="AC39" s="194">
        <v>80196.164000000004</v>
      </c>
      <c r="AD39" s="185"/>
      <c r="AE39" s="185"/>
      <c r="AF39" s="194">
        <v>93967.990999999995</v>
      </c>
      <c r="AG39" s="185"/>
      <c r="AH39" s="185"/>
      <c r="AI39" s="194">
        <v>119426.497</v>
      </c>
      <c r="AJ39" s="185"/>
      <c r="AK39" s="185"/>
      <c r="AL39" s="194">
        <v>0</v>
      </c>
      <c r="AM39" s="185"/>
      <c r="AN39" s="185"/>
      <c r="AO39" s="194">
        <v>0</v>
      </c>
      <c r="AP39" s="185"/>
      <c r="AQ39" s="185"/>
      <c r="AR39" s="194">
        <v>0</v>
      </c>
      <c r="AS39" s="185"/>
      <c r="AT39" s="185"/>
      <c r="AU39" s="194">
        <v>0</v>
      </c>
      <c r="AV39" s="185"/>
      <c r="AW39" s="185"/>
      <c r="AX39" s="189" t="s">
        <v>367</v>
      </c>
      <c r="AY39" s="185"/>
      <c r="AZ39" s="185"/>
      <c r="BA39" s="185"/>
    </row>
    <row r="40" spans="1:53" ht="14.45" customHeight="1" x14ac:dyDescent="0.25">
      <c r="A40" s="192" t="s">
        <v>398</v>
      </c>
      <c r="B40" s="185"/>
      <c r="C40" s="194">
        <v>16965.985000000001</v>
      </c>
      <c r="D40" s="185"/>
      <c r="E40" s="185"/>
      <c r="F40" s="194">
        <v>10882.287</v>
      </c>
      <c r="G40" s="185"/>
      <c r="H40" s="185"/>
      <c r="I40" s="194">
        <v>11910.589</v>
      </c>
      <c r="J40" s="185"/>
      <c r="K40" s="185"/>
      <c r="L40" s="194">
        <v>13216.315000000001</v>
      </c>
      <c r="M40" s="185"/>
      <c r="N40" s="185"/>
      <c r="O40" s="194">
        <v>18804.225999999999</v>
      </c>
      <c r="P40" s="185"/>
      <c r="Q40" s="185"/>
      <c r="R40" s="185"/>
      <c r="S40" s="185"/>
      <c r="T40" s="194">
        <v>22368.411</v>
      </c>
      <c r="U40" s="185"/>
      <c r="V40" s="185"/>
      <c r="W40" s="194">
        <v>27294.957999999999</v>
      </c>
      <c r="X40" s="185"/>
      <c r="Y40" s="185"/>
      <c r="Z40" s="194">
        <v>20121.871999999999</v>
      </c>
      <c r="AA40" s="185"/>
      <c r="AB40" s="185"/>
      <c r="AC40" s="194">
        <v>9587.2080000000005</v>
      </c>
      <c r="AD40" s="185"/>
      <c r="AE40" s="185"/>
      <c r="AF40" s="194">
        <v>14584.782999999999</v>
      </c>
      <c r="AG40" s="185"/>
      <c r="AH40" s="185"/>
      <c r="AI40" s="194">
        <v>19025.280999999999</v>
      </c>
      <c r="AJ40" s="185"/>
      <c r="AK40" s="185"/>
      <c r="AL40" s="194">
        <v>0</v>
      </c>
      <c r="AM40" s="185"/>
      <c r="AN40" s="185"/>
      <c r="AO40" s="194">
        <v>0</v>
      </c>
      <c r="AP40" s="185"/>
      <c r="AQ40" s="185"/>
      <c r="AR40" s="194">
        <v>0</v>
      </c>
      <c r="AS40" s="185"/>
      <c r="AT40" s="185"/>
      <c r="AU40" s="194">
        <v>0</v>
      </c>
      <c r="AV40" s="185"/>
      <c r="AW40" s="185"/>
      <c r="AX40" s="189" t="s">
        <v>367</v>
      </c>
      <c r="AY40" s="185"/>
      <c r="AZ40" s="185"/>
      <c r="BA40" s="185"/>
    </row>
    <row r="41" spans="1:53" ht="14.45" customHeight="1" x14ac:dyDescent="0.25">
      <c r="A41" s="192" t="s">
        <v>399</v>
      </c>
      <c r="B41" s="185"/>
      <c r="C41" s="193">
        <v>65.549000000000007</v>
      </c>
      <c r="D41" s="185"/>
      <c r="E41" s="185"/>
      <c r="F41" s="193">
        <v>48.051000000000002</v>
      </c>
      <c r="G41" s="185"/>
      <c r="H41" s="185"/>
      <c r="I41" s="193">
        <v>55.741</v>
      </c>
      <c r="J41" s="185"/>
      <c r="K41" s="185"/>
      <c r="L41" s="193">
        <v>51.658000000000001</v>
      </c>
      <c r="M41" s="185"/>
      <c r="N41" s="185"/>
      <c r="O41" s="193">
        <v>63.8</v>
      </c>
      <c r="P41" s="185"/>
      <c r="Q41" s="185"/>
      <c r="R41" s="185"/>
      <c r="S41" s="185"/>
      <c r="T41" s="193">
        <v>52.058</v>
      </c>
      <c r="U41" s="185"/>
      <c r="V41" s="185"/>
      <c r="W41" s="193">
        <v>66.736999999999995</v>
      </c>
      <c r="X41" s="185"/>
      <c r="Y41" s="185"/>
      <c r="Z41" s="193">
        <v>50.588999999999999</v>
      </c>
      <c r="AA41" s="185"/>
      <c r="AB41" s="185"/>
      <c r="AC41" s="193">
        <v>37.795999999999999</v>
      </c>
      <c r="AD41" s="185"/>
      <c r="AE41" s="185"/>
      <c r="AF41" s="193">
        <v>47.408000000000001</v>
      </c>
      <c r="AG41" s="185"/>
      <c r="AH41" s="185"/>
      <c r="AI41" s="193">
        <v>38.088999999999999</v>
      </c>
      <c r="AJ41" s="185"/>
      <c r="AK41" s="185"/>
      <c r="AL41" s="189" t="s">
        <v>28</v>
      </c>
      <c r="AM41" s="185"/>
      <c r="AN41" s="185"/>
      <c r="AO41" s="189" t="s">
        <v>28</v>
      </c>
      <c r="AP41" s="185"/>
      <c r="AQ41" s="185"/>
      <c r="AR41" s="189" t="s">
        <v>28</v>
      </c>
      <c r="AS41" s="185"/>
      <c r="AT41" s="185"/>
      <c r="AU41" s="189" t="s">
        <v>28</v>
      </c>
      <c r="AV41" s="185"/>
      <c r="AW41" s="185"/>
      <c r="AX41" s="189" t="s">
        <v>28</v>
      </c>
      <c r="AY41" s="185"/>
      <c r="AZ41" s="185"/>
      <c r="BA41" s="185"/>
    </row>
    <row r="42" spans="1:53" ht="14.45" customHeight="1" x14ac:dyDescent="0.25">
      <c r="A42" s="192" t="s">
        <v>400</v>
      </c>
      <c r="B42" s="185"/>
      <c r="C42" s="194">
        <v>4799315.68</v>
      </c>
      <c r="D42" s="185"/>
      <c r="E42" s="185"/>
      <c r="F42" s="194">
        <v>3753061.0789999999</v>
      </c>
      <c r="G42" s="185"/>
      <c r="H42" s="185"/>
      <c r="I42" s="194">
        <v>3554420.929</v>
      </c>
      <c r="J42" s="185"/>
      <c r="K42" s="185"/>
      <c r="L42" s="194">
        <v>3464167.74</v>
      </c>
      <c r="M42" s="185"/>
      <c r="N42" s="185"/>
      <c r="O42" s="194">
        <v>3445692.86</v>
      </c>
      <c r="P42" s="185"/>
      <c r="Q42" s="185"/>
      <c r="R42" s="185"/>
      <c r="S42" s="185"/>
      <c r="T42" s="194">
        <v>3494405.19</v>
      </c>
      <c r="U42" s="185"/>
      <c r="V42" s="185"/>
      <c r="W42" s="194">
        <v>3660970.57</v>
      </c>
      <c r="X42" s="185"/>
      <c r="Y42" s="185"/>
      <c r="Z42" s="194">
        <v>3528277.63</v>
      </c>
      <c r="AA42" s="185"/>
      <c r="AB42" s="185"/>
      <c r="AC42" s="194">
        <v>2676600.66</v>
      </c>
      <c r="AD42" s="185"/>
      <c r="AE42" s="185"/>
      <c r="AF42" s="194">
        <v>2815918.7880000002</v>
      </c>
      <c r="AG42" s="185"/>
      <c r="AH42" s="185"/>
      <c r="AI42" s="194">
        <v>2933420.929</v>
      </c>
      <c r="AJ42" s="185"/>
      <c r="AK42" s="185"/>
      <c r="AL42" s="189" t="s">
        <v>28</v>
      </c>
      <c r="AM42" s="185"/>
      <c r="AN42" s="185"/>
      <c r="AO42" s="189" t="s">
        <v>28</v>
      </c>
      <c r="AP42" s="185"/>
      <c r="AQ42" s="185"/>
      <c r="AR42" s="189" t="s">
        <v>28</v>
      </c>
      <c r="AS42" s="185"/>
      <c r="AT42" s="185"/>
      <c r="AU42" s="189" t="s">
        <v>28</v>
      </c>
      <c r="AV42" s="185"/>
      <c r="AW42" s="185"/>
      <c r="AX42" s="189" t="s">
        <v>28</v>
      </c>
      <c r="AY42" s="185"/>
      <c r="AZ42" s="185"/>
      <c r="BA42" s="185"/>
    </row>
    <row r="43" spans="1:53" ht="14.45" customHeight="1" x14ac:dyDescent="0.25">
      <c r="A43" s="192" t="s">
        <v>401</v>
      </c>
      <c r="B43" s="185"/>
      <c r="C43" s="193">
        <v>49.017000000000003</v>
      </c>
      <c r="D43" s="185"/>
      <c r="E43" s="185"/>
      <c r="F43" s="193">
        <v>61.978999999999999</v>
      </c>
      <c r="G43" s="185"/>
      <c r="H43" s="185"/>
      <c r="I43" s="193">
        <v>62.222000000000001</v>
      </c>
      <c r="J43" s="185"/>
      <c r="K43" s="185"/>
      <c r="L43" s="193">
        <v>62.27</v>
      </c>
      <c r="M43" s="185"/>
      <c r="N43" s="185"/>
      <c r="O43" s="193">
        <v>62.305</v>
      </c>
      <c r="P43" s="185"/>
      <c r="Q43" s="185"/>
      <c r="R43" s="185"/>
      <c r="S43" s="185"/>
      <c r="T43" s="193">
        <v>62.88</v>
      </c>
      <c r="U43" s="185"/>
      <c r="V43" s="185"/>
      <c r="W43" s="193">
        <v>68.298000000000002</v>
      </c>
      <c r="X43" s="185"/>
      <c r="Y43" s="185"/>
      <c r="Z43" s="193">
        <v>68.378</v>
      </c>
      <c r="AA43" s="185"/>
      <c r="AB43" s="185"/>
      <c r="AC43" s="193">
        <v>34.406999999999996</v>
      </c>
      <c r="AD43" s="185"/>
      <c r="AE43" s="185"/>
      <c r="AF43" s="193">
        <v>33.295999999999999</v>
      </c>
      <c r="AG43" s="185"/>
      <c r="AH43" s="185"/>
      <c r="AI43" s="193">
        <v>32.319000000000003</v>
      </c>
      <c r="AJ43" s="185"/>
      <c r="AK43" s="185"/>
      <c r="AL43" s="189" t="s">
        <v>28</v>
      </c>
      <c r="AM43" s="185"/>
      <c r="AN43" s="185"/>
      <c r="AO43" s="189" t="s">
        <v>28</v>
      </c>
      <c r="AP43" s="185"/>
      <c r="AQ43" s="185"/>
      <c r="AR43" s="189" t="s">
        <v>28</v>
      </c>
      <c r="AS43" s="185"/>
      <c r="AT43" s="185"/>
      <c r="AU43" s="189" t="s">
        <v>28</v>
      </c>
      <c r="AV43" s="185"/>
      <c r="AW43" s="185"/>
      <c r="AX43" s="189" t="s">
        <v>28</v>
      </c>
      <c r="AY43" s="185"/>
      <c r="AZ43" s="185"/>
      <c r="BA43" s="185"/>
    </row>
    <row r="44" spans="1:53" ht="14.45" customHeight="1" x14ac:dyDescent="0.25">
      <c r="A44" s="192" t="s">
        <v>402</v>
      </c>
      <c r="B44" s="185"/>
      <c r="C44" s="193">
        <v>39.732999999999997</v>
      </c>
      <c r="D44" s="185"/>
      <c r="E44" s="185"/>
      <c r="F44" s="193">
        <v>59.125999999999998</v>
      </c>
      <c r="G44" s="185"/>
      <c r="H44" s="185"/>
      <c r="I44" s="193">
        <v>53.067999999999998</v>
      </c>
      <c r="J44" s="185"/>
      <c r="K44" s="185"/>
      <c r="L44" s="193">
        <v>59.915999999999997</v>
      </c>
      <c r="M44" s="185"/>
      <c r="N44" s="185"/>
      <c r="O44" s="193">
        <v>50.899000000000001</v>
      </c>
      <c r="P44" s="185"/>
      <c r="Q44" s="185"/>
      <c r="R44" s="185"/>
      <c r="S44" s="185"/>
      <c r="T44" s="193">
        <v>69.381</v>
      </c>
      <c r="U44" s="185"/>
      <c r="V44" s="185"/>
      <c r="W44" s="193">
        <v>63.734000000000002</v>
      </c>
      <c r="X44" s="185"/>
      <c r="Y44" s="185"/>
      <c r="Z44" s="193">
        <v>70.518000000000001</v>
      </c>
      <c r="AA44" s="185"/>
      <c r="AB44" s="185"/>
      <c r="AC44" s="193">
        <v>32.659999999999997</v>
      </c>
      <c r="AD44" s="185"/>
      <c r="AE44" s="185"/>
      <c r="AF44" s="193">
        <v>32.738</v>
      </c>
      <c r="AG44" s="185"/>
      <c r="AH44" s="185"/>
      <c r="AI44" s="193">
        <v>41.823</v>
      </c>
      <c r="AJ44" s="185"/>
      <c r="AK44" s="185"/>
      <c r="AL44" s="189" t="s">
        <v>28</v>
      </c>
      <c r="AM44" s="185"/>
      <c r="AN44" s="185"/>
      <c r="AO44" s="189" t="s">
        <v>28</v>
      </c>
      <c r="AP44" s="185"/>
      <c r="AQ44" s="185"/>
      <c r="AR44" s="189" t="s">
        <v>28</v>
      </c>
      <c r="AS44" s="185"/>
      <c r="AT44" s="185"/>
      <c r="AU44" s="189" t="s">
        <v>28</v>
      </c>
      <c r="AV44" s="185"/>
      <c r="AW44" s="185"/>
      <c r="AX44" s="189" t="s">
        <v>28</v>
      </c>
      <c r="AY44" s="185"/>
      <c r="AZ44" s="185"/>
      <c r="BA44" s="185"/>
    </row>
    <row r="45" spans="1:53" ht="14.45" customHeight="1" x14ac:dyDescent="0.25">
      <c r="A45" s="192" t="s">
        <v>403</v>
      </c>
      <c r="B45" s="185"/>
      <c r="C45" s="193">
        <v>67.143000000000001</v>
      </c>
      <c r="D45" s="185"/>
      <c r="E45" s="185"/>
      <c r="F45" s="193">
        <v>102.09</v>
      </c>
      <c r="G45" s="185"/>
      <c r="H45" s="185"/>
      <c r="I45" s="193">
        <v>91.263000000000005</v>
      </c>
      <c r="J45" s="185"/>
      <c r="K45" s="185"/>
      <c r="L45" s="193">
        <v>125.636</v>
      </c>
      <c r="M45" s="185"/>
      <c r="N45" s="185"/>
      <c r="O45" s="193">
        <v>97.671999999999997</v>
      </c>
      <c r="P45" s="185"/>
      <c r="Q45" s="185"/>
      <c r="R45" s="185"/>
      <c r="S45" s="185"/>
      <c r="T45" s="193">
        <v>97.281999999999996</v>
      </c>
      <c r="U45" s="185"/>
      <c r="V45" s="185"/>
      <c r="W45" s="193">
        <v>97.57</v>
      </c>
      <c r="X45" s="185"/>
      <c r="Y45" s="185"/>
      <c r="Z45" s="193">
        <v>96.641999999999996</v>
      </c>
      <c r="AA45" s="185"/>
      <c r="AB45" s="185"/>
      <c r="AC45" s="193">
        <v>93.908000000000001</v>
      </c>
      <c r="AD45" s="185"/>
      <c r="AE45" s="185"/>
      <c r="AF45" s="193">
        <v>95.177000000000007</v>
      </c>
      <c r="AG45" s="185"/>
      <c r="AH45" s="185"/>
      <c r="AI45" s="193">
        <v>95.602000000000004</v>
      </c>
      <c r="AJ45" s="185"/>
      <c r="AK45" s="185"/>
      <c r="AL45" s="189" t="s">
        <v>28</v>
      </c>
      <c r="AM45" s="185"/>
      <c r="AN45" s="185"/>
      <c r="AO45" s="189" t="s">
        <v>28</v>
      </c>
      <c r="AP45" s="185"/>
      <c r="AQ45" s="185"/>
      <c r="AR45" s="189" t="s">
        <v>28</v>
      </c>
      <c r="AS45" s="185"/>
      <c r="AT45" s="185"/>
      <c r="AU45" s="189" t="s">
        <v>28</v>
      </c>
      <c r="AV45" s="185"/>
      <c r="AW45" s="185"/>
      <c r="AX45" s="189" t="s">
        <v>28</v>
      </c>
      <c r="AY45" s="185"/>
      <c r="AZ45" s="185"/>
      <c r="BA45" s="185"/>
    </row>
    <row r="46" spans="1:53" ht="14.45" customHeight="1" x14ac:dyDescent="0.25">
      <c r="A46" s="192" t="s">
        <v>404</v>
      </c>
      <c r="B46" s="185"/>
      <c r="C46" s="193">
        <v>77.55</v>
      </c>
      <c r="D46" s="185"/>
      <c r="E46" s="185"/>
      <c r="F46" s="193">
        <v>40.668999999999997</v>
      </c>
      <c r="G46" s="185"/>
      <c r="H46" s="185"/>
      <c r="I46" s="193">
        <v>44.761000000000003</v>
      </c>
      <c r="J46" s="185"/>
      <c r="K46" s="185"/>
      <c r="L46" s="193">
        <v>36.707000000000001</v>
      </c>
      <c r="M46" s="185"/>
      <c r="N46" s="185"/>
      <c r="O46" s="193">
        <v>61.098999999999997</v>
      </c>
      <c r="P46" s="185"/>
      <c r="Q46" s="185"/>
      <c r="R46" s="185"/>
      <c r="S46" s="185"/>
      <c r="T46" s="193">
        <v>55.024999999999999</v>
      </c>
      <c r="U46" s="185"/>
      <c r="V46" s="185"/>
      <c r="W46" s="193">
        <v>85.74</v>
      </c>
      <c r="X46" s="185"/>
      <c r="Y46" s="185"/>
      <c r="Z46" s="193">
        <v>61.593000000000004</v>
      </c>
      <c r="AA46" s="185"/>
      <c r="AB46" s="185"/>
      <c r="AC46" s="193">
        <v>23.193999999999999</v>
      </c>
      <c r="AD46" s="185"/>
      <c r="AE46" s="185"/>
      <c r="AF46" s="193">
        <v>37.968000000000004</v>
      </c>
      <c r="AG46" s="185"/>
      <c r="AH46" s="185"/>
      <c r="AI46" s="189" t="s">
        <v>367</v>
      </c>
      <c r="AJ46" s="185"/>
      <c r="AK46" s="185"/>
      <c r="AL46" s="189" t="s">
        <v>28</v>
      </c>
      <c r="AM46" s="185"/>
      <c r="AN46" s="185"/>
      <c r="AO46" s="189" t="s">
        <v>28</v>
      </c>
      <c r="AP46" s="185"/>
      <c r="AQ46" s="185"/>
      <c r="AR46" s="189" t="s">
        <v>28</v>
      </c>
      <c r="AS46" s="185"/>
      <c r="AT46" s="185"/>
      <c r="AU46" s="189" t="s">
        <v>28</v>
      </c>
      <c r="AV46" s="185"/>
      <c r="AW46" s="185"/>
      <c r="AX46" s="189" t="s">
        <v>28</v>
      </c>
      <c r="AY46" s="185"/>
      <c r="AZ46" s="185"/>
      <c r="BA46" s="185"/>
    </row>
    <row r="47" spans="1:53" ht="27.6" customHeight="1" x14ac:dyDescent="0.25">
      <c r="A47" s="192" t="s">
        <v>405</v>
      </c>
      <c r="B47" s="185"/>
      <c r="C47" s="193">
        <v>21.736999999999998</v>
      </c>
      <c r="D47" s="185"/>
      <c r="E47" s="185"/>
      <c r="F47" s="193">
        <v>31.289000000000001</v>
      </c>
      <c r="G47" s="185"/>
      <c r="H47" s="185"/>
      <c r="I47" s="193">
        <v>30.43</v>
      </c>
      <c r="J47" s="185"/>
      <c r="K47" s="185"/>
      <c r="L47" s="193">
        <v>29.212</v>
      </c>
      <c r="M47" s="185"/>
      <c r="N47" s="185"/>
      <c r="O47" s="193">
        <v>27.577000000000002</v>
      </c>
      <c r="P47" s="185"/>
      <c r="Q47" s="185"/>
      <c r="R47" s="185"/>
      <c r="S47" s="185"/>
      <c r="T47" s="193">
        <v>25.690999999999999</v>
      </c>
      <c r="U47" s="185"/>
      <c r="V47" s="185"/>
      <c r="W47" s="193">
        <v>24.797999999999998</v>
      </c>
      <c r="X47" s="185"/>
      <c r="Y47" s="185"/>
      <c r="Z47" s="193">
        <v>31.332999999999998</v>
      </c>
      <c r="AA47" s="185"/>
      <c r="AB47" s="185"/>
      <c r="AC47" s="193">
        <v>20.155000000000001</v>
      </c>
      <c r="AD47" s="185"/>
      <c r="AE47" s="185"/>
      <c r="AF47" s="193">
        <v>17</v>
      </c>
      <c r="AG47" s="185"/>
      <c r="AH47" s="185"/>
      <c r="AI47" s="193">
        <v>15.762</v>
      </c>
      <c r="AJ47" s="185"/>
      <c r="AK47" s="185"/>
      <c r="AL47" s="189" t="s">
        <v>28</v>
      </c>
      <c r="AM47" s="185"/>
      <c r="AN47" s="185"/>
      <c r="AO47" s="189" t="s">
        <v>28</v>
      </c>
      <c r="AP47" s="185"/>
      <c r="AQ47" s="185"/>
      <c r="AR47" s="189" t="s">
        <v>28</v>
      </c>
      <c r="AS47" s="185"/>
      <c r="AT47" s="185"/>
      <c r="AU47" s="189" t="s">
        <v>28</v>
      </c>
      <c r="AV47" s="185"/>
      <c r="AW47" s="185"/>
      <c r="AX47" s="189" t="s">
        <v>28</v>
      </c>
      <c r="AY47" s="185"/>
      <c r="AZ47" s="185"/>
      <c r="BA47" s="185"/>
    </row>
    <row r="48" spans="1:53" ht="14.45" customHeight="1" x14ac:dyDescent="0.25">
      <c r="A48" s="192" t="s">
        <v>406</v>
      </c>
      <c r="B48" s="185"/>
      <c r="C48" s="194">
        <v>16002.556</v>
      </c>
      <c r="D48" s="185"/>
      <c r="E48" s="185"/>
      <c r="F48" s="194">
        <v>15921.686</v>
      </c>
      <c r="G48" s="185"/>
      <c r="H48" s="185"/>
      <c r="I48" s="194">
        <v>16095.516</v>
      </c>
      <c r="J48" s="185"/>
      <c r="K48" s="185"/>
      <c r="L48" s="194">
        <v>16582.905999999999</v>
      </c>
      <c r="M48" s="185"/>
      <c r="N48" s="185"/>
      <c r="O48" s="194">
        <v>16224.883</v>
      </c>
      <c r="P48" s="185"/>
      <c r="Q48" s="185"/>
      <c r="R48" s="185"/>
      <c r="S48" s="185"/>
      <c r="T48" s="194">
        <v>16224.163</v>
      </c>
      <c r="U48" s="185"/>
      <c r="V48" s="185"/>
      <c r="W48" s="194">
        <v>16210.902</v>
      </c>
      <c r="X48" s="185"/>
      <c r="Y48" s="185"/>
      <c r="Z48" s="194">
        <v>17964.452000000001</v>
      </c>
      <c r="AA48" s="185"/>
      <c r="AB48" s="185"/>
      <c r="AC48" s="194">
        <v>16164.182000000001</v>
      </c>
      <c r="AD48" s="185"/>
      <c r="AE48" s="185"/>
      <c r="AF48" s="194">
        <v>15975.169</v>
      </c>
      <c r="AG48" s="185"/>
      <c r="AH48" s="185"/>
      <c r="AI48" s="194">
        <v>18824.991000000002</v>
      </c>
      <c r="AJ48" s="185"/>
      <c r="AK48" s="185"/>
      <c r="AL48" s="194">
        <v>0</v>
      </c>
      <c r="AM48" s="185"/>
      <c r="AN48" s="185"/>
      <c r="AO48" s="194">
        <v>0</v>
      </c>
      <c r="AP48" s="185"/>
      <c r="AQ48" s="185"/>
      <c r="AR48" s="194">
        <v>0</v>
      </c>
      <c r="AS48" s="185"/>
      <c r="AT48" s="185"/>
      <c r="AU48" s="194">
        <v>0</v>
      </c>
      <c r="AV48" s="185"/>
      <c r="AW48" s="185"/>
      <c r="AX48" s="189" t="s">
        <v>367</v>
      </c>
      <c r="AY48" s="185"/>
      <c r="AZ48" s="185"/>
      <c r="BA48" s="185"/>
    </row>
    <row r="49" spans="1:53" ht="14.45" customHeight="1" x14ac:dyDescent="0.25">
      <c r="A49" s="192" t="s">
        <v>407</v>
      </c>
      <c r="B49" s="185"/>
      <c r="C49" s="193">
        <v>83.460999999999999</v>
      </c>
      <c r="D49" s="185"/>
      <c r="E49" s="185"/>
      <c r="F49" s="193">
        <v>110.13</v>
      </c>
      <c r="G49" s="185"/>
      <c r="H49" s="185"/>
      <c r="I49" s="193">
        <v>102.87</v>
      </c>
      <c r="J49" s="185"/>
      <c r="K49" s="185"/>
      <c r="L49" s="193">
        <v>94.38</v>
      </c>
      <c r="M49" s="185"/>
      <c r="N49" s="185"/>
      <c r="O49" s="193">
        <v>84.921000000000006</v>
      </c>
      <c r="P49" s="185"/>
      <c r="Q49" s="185"/>
      <c r="R49" s="185"/>
      <c r="S49" s="185"/>
      <c r="T49" s="193">
        <v>71.13</v>
      </c>
      <c r="U49" s="185"/>
      <c r="V49" s="185"/>
      <c r="W49" s="193">
        <v>58.302</v>
      </c>
      <c r="X49" s="185"/>
      <c r="Y49" s="185"/>
      <c r="Z49" s="193">
        <v>87.83</v>
      </c>
      <c r="AA49" s="185"/>
      <c r="AB49" s="185"/>
      <c r="AC49" s="193">
        <v>163.27799999999999</v>
      </c>
      <c r="AD49" s="185"/>
      <c r="AE49" s="185"/>
      <c r="AF49" s="193">
        <v>109.533</v>
      </c>
      <c r="AG49" s="185"/>
      <c r="AH49" s="185"/>
      <c r="AI49" s="193">
        <v>98.947000000000003</v>
      </c>
      <c r="AJ49" s="185"/>
      <c r="AK49" s="185"/>
      <c r="AL49" s="189" t="s">
        <v>28</v>
      </c>
      <c r="AM49" s="185"/>
      <c r="AN49" s="185"/>
      <c r="AO49" s="189" t="s">
        <v>28</v>
      </c>
      <c r="AP49" s="185"/>
      <c r="AQ49" s="185"/>
      <c r="AR49" s="189" t="s">
        <v>28</v>
      </c>
      <c r="AS49" s="185"/>
      <c r="AT49" s="185"/>
      <c r="AU49" s="189" t="s">
        <v>28</v>
      </c>
      <c r="AV49" s="185"/>
      <c r="AW49" s="185"/>
      <c r="AX49" s="189" t="s">
        <v>28</v>
      </c>
      <c r="AY49" s="185"/>
      <c r="AZ49" s="185"/>
      <c r="BA49" s="185"/>
    </row>
    <row r="50" spans="1:53" ht="14.45" customHeight="1" x14ac:dyDescent="0.25">
      <c r="A50" s="192" t="s">
        <v>408</v>
      </c>
      <c r="B50" s="185"/>
      <c r="C50" s="194">
        <v>3432.55</v>
      </c>
      <c r="D50" s="185"/>
      <c r="E50" s="185"/>
      <c r="F50" s="194">
        <v>10127.67</v>
      </c>
      <c r="G50" s="185"/>
      <c r="H50" s="185"/>
      <c r="I50" s="194">
        <v>2337.75</v>
      </c>
      <c r="J50" s="185"/>
      <c r="K50" s="185"/>
      <c r="L50" s="194">
        <v>11107.28</v>
      </c>
      <c r="M50" s="185"/>
      <c r="N50" s="185"/>
      <c r="O50" s="194">
        <v>4531.83</v>
      </c>
      <c r="P50" s="185"/>
      <c r="Q50" s="185"/>
      <c r="R50" s="185"/>
      <c r="S50" s="185"/>
      <c r="T50" s="194">
        <v>19810.559000000001</v>
      </c>
      <c r="U50" s="185"/>
      <c r="V50" s="185"/>
      <c r="W50" s="194">
        <v>23502.34</v>
      </c>
      <c r="X50" s="185"/>
      <c r="Y50" s="185"/>
      <c r="Z50" s="194">
        <v>18668.16</v>
      </c>
      <c r="AA50" s="185"/>
      <c r="AB50" s="185"/>
      <c r="AC50" s="194">
        <v>17017.490000000002</v>
      </c>
      <c r="AD50" s="185"/>
      <c r="AE50" s="185"/>
      <c r="AF50" s="194">
        <v>0</v>
      </c>
      <c r="AG50" s="185"/>
      <c r="AH50" s="185"/>
      <c r="AI50" s="194">
        <v>0</v>
      </c>
      <c r="AJ50" s="185"/>
      <c r="AK50" s="185"/>
      <c r="AL50" s="189" t="s">
        <v>28</v>
      </c>
      <c r="AM50" s="185"/>
      <c r="AN50" s="185"/>
      <c r="AO50" s="189" t="s">
        <v>28</v>
      </c>
      <c r="AP50" s="185"/>
      <c r="AQ50" s="185"/>
      <c r="AR50" s="189" t="s">
        <v>28</v>
      </c>
      <c r="AS50" s="185"/>
      <c r="AT50" s="185"/>
      <c r="AU50" s="189" t="s">
        <v>28</v>
      </c>
      <c r="AV50" s="185"/>
      <c r="AW50" s="185"/>
      <c r="AX50" s="189" t="s">
        <v>28</v>
      </c>
      <c r="AY50" s="185"/>
      <c r="AZ50" s="185"/>
      <c r="BA50" s="185"/>
    </row>
    <row r="51" spans="1:53" ht="14.45" customHeight="1" x14ac:dyDescent="0.25">
      <c r="A51" s="192" t="s">
        <v>409</v>
      </c>
      <c r="B51" s="185"/>
      <c r="C51" s="194">
        <v>2655655.64</v>
      </c>
      <c r="D51" s="185"/>
      <c r="E51" s="185"/>
      <c r="F51" s="194">
        <v>1810664.24</v>
      </c>
      <c r="G51" s="185"/>
      <c r="H51" s="185"/>
      <c r="I51" s="194">
        <v>1779681.49</v>
      </c>
      <c r="J51" s="185"/>
      <c r="K51" s="185"/>
      <c r="L51" s="194">
        <v>1802953.7</v>
      </c>
      <c r="M51" s="185"/>
      <c r="N51" s="185"/>
      <c r="O51" s="194">
        <v>1855069.7</v>
      </c>
      <c r="P51" s="185"/>
      <c r="Q51" s="185"/>
      <c r="R51" s="185"/>
      <c r="S51" s="185"/>
      <c r="T51" s="194">
        <v>2053698.07</v>
      </c>
      <c r="U51" s="185"/>
      <c r="V51" s="185"/>
      <c r="W51" s="194">
        <v>2320640.33</v>
      </c>
      <c r="X51" s="185"/>
      <c r="Y51" s="185"/>
      <c r="Z51" s="194">
        <v>1884380.15</v>
      </c>
      <c r="AA51" s="185"/>
      <c r="AB51" s="185"/>
      <c r="AC51" s="194">
        <v>1006027.61</v>
      </c>
      <c r="AD51" s="185"/>
      <c r="AE51" s="185"/>
      <c r="AF51" s="194">
        <v>1368984.52</v>
      </c>
      <c r="AG51" s="185"/>
      <c r="AH51" s="185"/>
      <c r="AI51" s="194">
        <v>1505634.27</v>
      </c>
      <c r="AJ51" s="185"/>
      <c r="AK51" s="185"/>
      <c r="AL51" s="189" t="s">
        <v>28</v>
      </c>
      <c r="AM51" s="185"/>
      <c r="AN51" s="185"/>
      <c r="AO51" s="189" t="s">
        <v>28</v>
      </c>
      <c r="AP51" s="185"/>
      <c r="AQ51" s="185"/>
      <c r="AR51" s="189" t="s">
        <v>28</v>
      </c>
      <c r="AS51" s="185"/>
      <c r="AT51" s="185"/>
      <c r="AU51" s="189" t="s">
        <v>28</v>
      </c>
      <c r="AV51" s="185"/>
      <c r="AW51" s="185"/>
      <c r="AX51" s="189" t="s">
        <v>28</v>
      </c>
      <c r="AY51" s="185"/>
      <c r="AZ51" s="185"/>
      <c r="BA51" s="185"/>
    </row>
    <row r="52" spans="1:53" ht="14.45" customHeight="1" x14ac:dyDescent="0.25">
      <c r="A52" s="192" t="s">
        <v>410</v>
      </c>
      <c r="B52" s="185"/>
      <c r="C52" s="194">
        <v>2550088.61</v>
      </c>
      <c r="D52" s="185"/>
      <c r="E52" s="185"/>
      <c r="F52" s="194">
        <v>1720394.05</v>
      </c>
      <c r="G52" s="185"/>
      <c r="H52" s="185"/>
      <c r="I52" s="194">
        <v>1689802.86</v>
      </c>
      <c r="J52" s="185"/>
      <c r="K52" s="185"/>
      <c r="L52" s="194">
        <v>1721889.17</v>
      </c>
      <c r="M52" s="185"/>
      <c r="N52" s="185"/>
      <c r="O52" s="194">
        <v>1795931.5</v>
      </c>
      <c r="P52" s="185"/>
      <c r="Q52" s="185"/>
      <c r="R52" s="185"/>
      <c r="S52" s="185"/>
      <c r="T52" s="194">
        <v>2007196.31</v>
      </c>
      <c r="U52" s="185"/>
      <c r="V52" s="185"/>
      <c r="W52" s="194">
        <v>2279985.13</v>
      </c>
      <c r="X52" s="185"/>
      <c r="Y52" s="185"/>
      <c r="Z52" s="194">
        <v>1840824.64</v>
      </c>
      <c r="AA52" s="185"/>
      <c r="AB52" s="185"/>
      <c r="AC52" s="194">
        <v>960279.29</v>
      </c>
      <c r="AD52" s="185"/>
      <c r="AE52" s="185"/>
      <c r="AF52" s="194">
        <v>1312630.5</v>
      </c>
      <c r="AG52" s="185"/>
      <c r="AH52" s="185"/>
      <c r="AI52" s="194">
        <v>1445921.42</v>
      </c>
      <c r="AJ52" s="185"/>
      <c r="AK52" s="185"/>
      <c r="AL52" s="189" t="s">
        <v>28</v>
      </c>
      <c r="AM52" s="185"/>
      <c r="AN52" s="185"/>
      <c r="AO52" s="189" t="s">
        <v>28</v>
      </c>
      <c r="AP52" s="185"/>
      <c r="AQ52" s="185"/>
      <c r="AR52" s="189" t="s">
        <v>28</v>
      </c>
      <c r="AS52" s="185"/>
      <c r="AT52" s="185"/>
      <c r="AU52" s="189" t="s">
        <v>28</v>
      </c>
      <c r="AV52" s="185"/>
      <c r="AW52" s="185"/>
      <c r="AX52" s="189" t="s">
        <v>28</v>
      </c>
      <c r="AY52" s="185"/>
      <c r="AZ52" s="185"/>
      <c r="BA52" s="185"/>
    </row>
    <row r="53" spans="1:53" ht="14.45" customHeight="1" x14ac:dyDescent="0.25">
      <c r="A53" s="192" t="s">
        <v>411</v>
      </c>
      <c r="B53" s="185"/>
      <c r="C53" s="193">
        <v>26.044</v>
      </c>
      <c r="D53" s="185"/>
      <c r="E53" s="185"/>
      <c r="F53" s="193">
        <v>28.411000000000001</v>
      </c>
      <c r="G53" s="185"/>
      <c r="H53" s="185"/>
      <c r="I53" s="193">
        <v>29.58</v>
      </c>
      <c r="J53" s="185"/>
      <c r="K53" s="185"/>
      <c r="L53" s="193">
        <v>30.951000000000001</v>
      </c>
      <c r="M53" s="185"/>
      <c r="N53" s="185"/>
      <c r="O53" s="193">
        <v>32.473999999999997</v>
      </c>
      <c r="P53" s="185"/>
      <c r="Q53" s="185"/>
      <c r="R53" s="185"/>
      <c r="S53" s="185"/>
      <c r="T53" s="193">
        <v>36.118000000000002</v>
      </c>
      <c r="U53" s="185"/>
      <c r="V53" s="185"/>
      <c r="W53" s="193">
        <v>42.533999999999999</v>
      </c>
      <c r="X53" s="185"/>
      <c r="Y53" s="185"/>
      <c r="Z53" s="193">
        <v>35.674999999999997</v>
      </c>
      <c r="AA53" s="185"/>
      <c r="AB53" s="185"/>
      <c r="AC53" s="193">
        <v>12.343999999999999</v>
      </c>
      <c r="AD53" s="185"/>
      <c r="AE53" s="185"/>
      <c r="AF53" s="193">
        <v>15.521000000000001</v>
      </c>
      <c r="AG53" s="185"/>
      <c r="AH53" s="185"/>
      <c r="AI53" s="193">
        <v>15.93</v>
      </c>
      <c r="AJ53" s="185"/>
      <c r="AK53" s="185"/>
      <c r="AL53" s="189" t="s">
        <v>28</v>
      </c>
      <c r="AM53" s="185"/>
      <c r="AN53" s="185"/>
      <c r="AO53" s="189" t="s">
        <v>28</v>
      </c>
      <c r="AP53" s="185"/>
      <c r="AQ53" s="185"/>
      <c r="AR53" s="189" t="s">
        <v>28</v>
      </c>
      <c r="AS53" s="185"/>
      <c r="AT53" s="185"/>
      <c r="AU53" s="189" t="s">
        <v>28</v>
      </c>
      <c r="AV53" s="185"/>
      <c r="AW53" s="185"/>
      <c r="AX53" s="189" t="s">
        <v>28</v>
      </c>
      <c r="AY53" s="185"/>
      <c r="AZ53" s="185"/>
      <c r="BA53" s="185"/>
    </row>
    <row r="54" spans="1:53" ht="14.45" customHeight="1" x14ac:dyDescent="0.25">
      <c r="A54" s="185"/>
      <c r="B54" s="185"/>
      <c r="C54" s="185"/>
      <c r="D54" s="185"/>
      <c r="E54" s="185"/>
      <c r="F54" s="185"/>
      <c r="G54" s="185"/>
      <c r="H54" s="185"/>
      <c r="I54" s="185"/>
      <c r="J54" s="185"/>
      <c r="K54" s="185"/>
      <c r="L54" s="185"/>
      <c r="M54" s="185"/>
      <c r="N54" s="185"/>
      <c r="O54" s="185"/>
      <c r="P54" s="185"/>
      <c r="Q54" s="185"/>
      <c r="R54" s="185"/>
      <c r="S54" s="185"/>
      <c r="T54" s="185"/>
      <c r="U54" s="185"/>
      <c r="V54" s="185"/>
      <c r="W54" s="185"/>
      <c r="X54" s="185"/>
      <c r="Y54" s="185"/>
      <c r="Z54" s="185"/>
      <c r="AA54" s="185"/>
      <c r="AB54" s="185"/>
      <c r="AC54" s="185"/>
      <c r="AD54" s="185"/>
      <c r="AE54" s="185"/>
      <c r="AF54" s="185"/>
      <c r="AG54" s="185"/>
      <c r="AH54" s="185"/>
      <c r="AI54" s="185"/>
      <c r="AJ54" s="185"/>
      <c r="AK54" s="185"/>
      <c r="AL54" s="185"/>
      <c r="AM54" s="185"/>
      <c r="AN54" s="185"/>
      <c r="AO54" s="185"/>
      <c r="AP54" s="185"/>
      <c r="AQ54" s="185"/>
      <c r="AR54" s="185"/>
      <c r="AS54" s="185"/>
      <c r="AT54" s="185"/>
      <c r="AU54" s="185"/>
      <c r="AV54" s="185"/>
      <c r="AW54" s="185"/>
      <c r="AX54" s="185"/>
      <c r="AY54" s="185"/>
      <c r="AZ54" s="185"/>
      <c r="BA54" s="185"/>
    </row>
    <row r="55" spans="1:53" ht="14.45" customHeight="1" x14ac:dyDescent="0.25">
      <c r="A55" s="191" t="s">
        <v>412</v>
      </c>
      <c r="B55" s="185"/>
      <c r="C55" s="190"/>
      <c r="D55" s="185"/>
      <c r="E55" s="185"/>
      <c r="F55" s="190"/>
      <c r="G55" s="185"/>
      <c r="H55" s="185"/>
      <c r="I55" s="190"/>
      <c r="J55" s="185"/>
      <c r="K55" s="185"/>
      <c r="L55" s="190"/>
      <c r="M55" s="185"/>
      <c r="N55" s="185"/>
      <c r="O55" s="190"/>
      <c r="P55" s="185"/>
      <c r="Q55" s="185"/>
      <c r="R55" s="185"/>
      <c r="S55" s="185"/>
      <c r="T55" s="190"/>
      <c r="U55" s="185"/>
      <c r="V55" s="185"/>
      <c r="W55" s="190"/>
      <c r="X55" s="185"/>
      <c r="Y55" s="185"/>
      <c r="Z55" s="190"/>
      <c r="AA55" s="185"/>
      <c r="AB55" s="185"/>
      <c r="AC55" s="190"/>
      <c r="AD55" s="185"/>
      <c r="AE55" s="185"/>
      <c r="AF55" s="190"/>
      <c r="AG55" s="185"/>
      <c r="AH55" s="185"/>
      <c r="AI55" s="190"/>
      <c r="AJ55" s="185"/>
      <c r="AK55" s="185"/>
      <c r="AL55" s="190"/>
      <c r="AM55" s="185"/>
      <c r="AN55" s="185"/>
      <c r="AO55" s="190"/>
      <c r="AP55" s="185"/>
      <c r="AQ55" s="185"/>
      <c r="AR55" s="190"/>
      <c r="AS55" s="185"/>
      <c r="AT55" s="185"/>
      <c r="AU55" s="190"/>
      <c r="AV55" s="185"/>
      <c r="AW55" s="185"/>
      <c r="AX55" s="190"/>
      <c r="AY55" s="185"/>
      <c r="AZ55" s="185"/>
      <c r="BA55" s="185"/>
    </row>
    <row r="56" spans="1:53" ht="27.6" customHeight="1" x14ac:dyDescent="0.25">
      <c r="A56" s="192" t="s">
        <v>413</v>
      </c>
      <c r="B56" s="185"/>
      <c r="C56" s="193">
        <v>23.045999999999999</v>
      </c>
      <c r="D56" s="185"/>
      <c r="E56" s="185"/>
      <c r="F56" s="193">
        <v>21.385999999999999</v>
      </c>
      <c r="G56" s="185"/>
      <c r="H56" s="185"/>
      <c r="I56" s="193">
        <v>22.518000000000001</v>
      </c>
      <c r="J56" s="185"/>
      <c r="K56" s="185"/>
      <c r="L56" s="193">
        <v>23.280999999999999</v>
      </c>
      <c r="M56" s="185"/>
      <c r="N56" s="185"/>
      <c r="O56" s="193">
        <v>31.960999999999999</v>
      </c>
      <c r="P56" s="185"/>
      <c r="Q56" s="185"/>
      <c r="R56" s="185"/>
      <c r="S56" s="185"/>
      <c r="T56" s="193">
        <v>35.42</v>
      </c>
      <c r="U56" s="185"/>
      <c r="V56" s="185"/>
      <c r="W56" s="193">
        <v>41.753999999999998</v>
      </c>
      <c r="X56" s="185"/>
      <c r="Y56" s="185"/>
      <c r="Z56" s="193">
        <v>35.095999999999997</v>
      </c>
      <c r="AA56" s="185"/>
      <c r="AB56" s="185"/>
      <c r="AC56" s="193">
        <v>11.954000000000001</v>
      </c>
      <c r="AD56" s="185"/>
      <c r="AE56" s="185"/>
      <c r="AF56" s="193">
        <v>15.521000000000001</v>
      </c>
      <c r="AG56" s="185"/>
      <c r="AH56" s="185"/>
      <c r="AI56" s="193">
        <v>15.93</v>
      </c>
      <c r="AJ56" s="185"/>
      <c r="AK56" s="185"/>
      <c r="AL56" s="189" t="s">
        <v>28</v>
      </c>
      <c r="AM56" s="185"/>
      <c r="AN56" s="185"/>
      <c r="AO56" s="189" t="s">
        <v>28</v>
      </c>
      <c r="AP56" s="185"/>
      <c r="AQ56" s="185"/>
      <c r="AR56" s="189" t="s">
        <v>28</v>
      </c>
      <c r="AS56" s="185"/>
      <c r="AT56" s="185"/>
      <c r="AU56" s="189" t="s">
        <v>28</v>
      </c>
      <c r="AV56" s="185"/>
      <c r="AW56" s="185"/>
      <c r="AX56" s="189" t="s">
        <v>28</v>
      </c>
      <c r="AY56" s="185"/>
      <c r="AZ56" s="185"/>
      <c r="BA56" s="185"/>
    </row>
    <row r="57" spans="1:53" ht="14.45" customHeight="1" x14ac:dyDescent="0.25">
      <c r="A57" s="192" t="s">
        <v>414</v>
      </c>
      <c r="B57" s="185"/>
      <c r="C57" s="193">
        <v>59.493000000000002</v>
      </c>
      <c r="D57" s="185"/>
      <c r="E57" s="185"/>
      <c r="F57" s="193">
        <v>77.301000000000002</v>
      </c>
      <c r="G57" s="185"/>
      <c r="H57" s="185"/>
      <c r="I57" s="193">
        <v>204.09800000000001</v>
      </c>
      <c r="J57" s="185"/>
      <c r="K57" s="185"/>
      <c r="L57" s="193">
        <v>95.116</v>
      </c>
      <c r="M57" s="185"/>
      <c r="N57" s="185"/>
      <c r="O57" s="193">
        <v>96.373999999999995</v>
      </c>
      <c r="P57" s="185"/>
      <c r="Q57" s="185"/>
      <c r="R57" s="185"/>
      <c r="S57" s="185"/>
      <c r="T57" s="193">
        <v>96.731999999999999</v>
      </c>
      <c r="U57" s="185"/>
      <c r="V57" s="185"/>
      <c r="W57" s="193">
        <v>97.114000000000004</v>
      </c>
      <c r="X57" s="185"/>
      <c r="Y57" s="185"/>
      <c r="Z57" s="193">
        <v>96.457999999999998</v>
      </c>
      <c r="AA57" s="185"/>
      <c r="AB57" s="185"/>
      <c r="AC57" s="193">
        <v>93.326999999999998</v>
      </c>
      <c r="AD57" s="185"/>
      <c r="AE57" s="185"/>
      <c r="AF57" s="193">
        <v>95.177999999999997</v>
      </c>
      <c r="AG57" s="185"/>
      <c r="AH57" s="185"/>
      <c r="AI57" s="193">
        <v>95.602999999999994</v>
      </c>
      <c r="AJ57" s="185"/>
      <c r="AK57" s="185"/>
      <c r="AL57" s="189" t="s">
        <v>28</v>
      </c>
      <c r="AM57" s="185"/>
      <c r="AN57" s="185"/>
      <c r="AO57" s="189" t="s">
        <v>28</v>
      </c>
      <c r="AP57" s="185"/>
      <c r="AQ57" s="185"/>
      <c r="AR57" s="189" t="s">
        <v>28</v>
      </c>
      <c r="AS57" s="185"/>
      <c r="AT57" s="185"/>
      <c r="AU57" s="189" t="s">
        <v>28</v>
      </c>
      <c r="AV57" s="185"/>
      <c r="AW57" s="185"/>
      <c r="AX57" s="189" t="s">
        <v>28</v>
      </c>
      <c r="AY57" s="185"/>
      <c r="AZ57" s="185"/>
      <c r="BA57" s="185"/>
    </row>
    <row r="58" spans="1:53" ht="14.45" customHeight="1" x14ac:dyDescent="0.25">
      <c r="A58" s="192" t="s">
        <v>415</v>
      </c>
      <c r="B58" s="185"/>
      <c r="C58" s="193">
        <v>59.493000000000002</v>
      </c>
      <c r="D58" s="185"/>
      <c r="E58" s="185"/>
      <c r="F58" s="193">
        <v>77.301000000000002</v>
      </c>
      <c r="G58" s="185"/>
      <c r="H58" s="185"/>
      <c r="I58" s="193">
        <v>69.569000000000003</v>
      </c>
      <c r="J58" s="185"/>
      <c r="K58" s="185"/>
      <c r="L58" s="193">
        <v>95.116</v>
      </c>
      <c r="M58" s="185"/>
      <c r="N58" s="185"/>
      <c r="O58" s="193">
        <v>96.373999999999995</v>
      </c>
      <c r="P58" s="185"/>
      <c r="Q58" s="185"/>
      <c r="R58" s="185"/>
      <c r="S58" s="185"/>
      <c r="T58" s="193">
        <v>96.352999999999994</v>
      </c>
      <c r="U58" s="185"/>
      <c r="V58" s="185"/>
      <c r="W58" s="193">
        <v>96.778999999999996</v>
      </c>
      <c r="X58" s="185"/>
      <c r="Y58" s="185"/>
      <c r="Z58" s="193">
        <v>96.049000000000007</v>
      </c>
      <c r="AA58" s="185"/>
      <c r="AB58" s="185"/>
      <c r="AC58" s="193">
        <v>92.582999999999998</v>
      </c>
      <c r="AD58" s="185"/>
      <c r="AE58" s="185"/>
      <c r="AF58" s="193">
        <v>95.177000000000007</v>
      </c>
      <c r="AG58" s="185"/>
      <c r="AH58" s="185"/>
      <c r="AI58" s="193">
        <v>95.602000000000004</v>
      </c>
      <c r="AJ58" s="185"/>
      <c r="AK58" s="185"/>
      <c r="AL58" s="189" t="s">
        <v>28</v>
      </c>
      <c r="AM58" s="185"/>
      <c r="AN58" s="185"/>
      <c r="AO58" s="189" t="s">
        <v>28</v>
      </c>
      <c r="AP58" s="185"/>
      <c r="AQ58" s="185"/>
      <c r="AR58" s="189" t="s">
        <v>28</v>
      </c>
      <c r="AS58" s="185"/>
      <c r="AT58" s="185"/>
      <c r="AU58" s="189" t="s">
        <v>28</v>
      </c>
      <c r="AV58" s="185"/>
      <c r="AW58" s="185"/>
      <c r="AX58" s="189" t="s">
        <v>28</v>
      </c>
      <c r="AY58" s="185"/>
      <c r="AZ58" s="185"/>
      <c r="BA58" s="185"/>
    </row>
    <row r="59" spans="1:53" ht="14.45" customHeight="1" x14ac:dyDescent="0.25">
      <c r="A59" s="192" t="s">
        <v>416</v>
      </c>
      <c r="B59" s="185"/>
      <c r="C59" s="193">
        <v>26.812000000000001</v>
      </c>
      <c r="D59" s="185"/>
      <c r="E59" s="185"/>
      <c r="F59" s="193">
        <v>20.385000000000002</v>
      </c>
      <c r="G59" s="185"/>
      <c r="H59" s="185"/>
      <c r="I59" s="193">
        <v>44.707999999999998</v>
      </c>
      <c r="J59" s="185"/>
      <c r="K59" s="185"/>
      <c r="L59" s="193">
        <v>27.181000000000001</v>
      </c>
      <c r="M59" s="185"/>
      <c r="N59" s="185"/>
      <c r="O59" s="193">
        <v>30.635999999999999</v>
      </c>
      <c r="P59" s="185"/>
      <c r="Q59" s="185"/>
      <c r="R59" s="185"/>
      <c r="S59" s="185"/>
      <c r="T59" s="193">
        <v>15.44</v>
      </c>
      <c r="U59" s="185"/>
      <c r="V59" s="185"/>
      <c r="W59" s="193">
        <v>23.741</v>
      </c>
      <c r="X59" s="185"/>
      <c r="Y59" s="185"/>
      <c r="Z59" s="193">
        <v>14.204000000000001</v>
      </c>
      <c r="AA59" s="185"/>
      <c r="AB59" s="185"/>
      <c r="AC59" s="193">
        <v>24.986999999999998</v>
      </c>
      <c r="AD59" s="185"/>
      <c r="AE59" s="185"/>
      <c r="AF59" s="193">
        <v>31.100999999999999</v>
      </c>
      <c r="AG59" s="185"/>
      <c r="AH59" s="185"/>
      <c r="AI59" s="193">
        <v>21.425999999999998</v>
      </c>
      <c r="AJ59" s="185"/>
      <c r="AK59" s="185"/>
      <c r="AL59" s="189" t="s">
        <v>28</v>
      </c>
      <c r="AM59" s="185"/>
      <c r="AN59" s="185"/>
      <c r="AO59" s="189" t="s">
        <v>28</v>
      </c>
      <c r="AP59" s="185"/>
      <c r="AQ59" s="185"/>
      <c r="AR59" s="189" t="s">
        <v>28</v>
      </c>
      <c r="AS59" s="185"/>
      <c r="AT59" s="185"/>
      <c r="AU59" s="189" t="s">
        <v>28</v>
      </c>
      <c r="AV59" s="185"/>
      <c r="AW59" s="185"/>
      <c r="AX59" s="189" t="s">
        <v>28</v>
      </c>
      <c r="AY59" s="185"/>
      <c r="AZ59" s="185"/>
      <c r="BA59" s="185"/>
    </row>
    <row r="60" spans="1:53" ht="14.45" customHeight="1" x14ac:dyDescent="0.25">
      <c r="A60" s="192" t="s">
        <v>417</v>
      </c>
      <c r="B60" s="185"/>
      <c r="C60" s="193">
        <v>96.864000000000004</v>
      </c>
      <c r="D60" s="185"/>
      <c r="E60" s="185"/>
      <c r="F60" s="193">
        <v>202.41200000000001</v>
      </c>
      <c r="G60" s="185"/>
      <c r="H60" s="185"/>
      <c r="I60" s="193">
        <v>406.23899999999998</v>
      </c>
      <c r="J60" s="185"/>
      <c r="K60" s="185"/>
      <c r="L60" s="193">
        <v>231.49100000000001</v>
      </c>
      <c r="M60" s="185"/>
      <c r="N60" s="185"/>
      <c r="O60" s="193">
        <v>252.786</v>
      </c>
      <c r="P60" s="185"/>
      <c r="Q60" s="185"/>
      <c r="R60" s="185"/>
      <c r="S60" s="185"/>
      <c r="T60" s="193">
        <v>113.43300000000001</v>
      </c>
      <c r="U60" s="185"/>
      <c r="V60" s="185"/>
      <c r="W60" s="193">
        <v>253.39099999999999</v>
      </c>
      <c r="X60" s="185"/>
      <c r="Y60" s="185"/>
      <c r="Z60" s="193">
        <v>130.76</v>
      </c>
      <c r="AA60" s="185"/>
      <c r="AB60" s="185"/>
      <c r="AC60" s="193">
        <v>354.46699999999998</v>
      </c>
      <c r="AD60" s="185"/>
      <c r="AE60" s="185"/>
      <c r="AF60" s="193">
        <v>370.2</v>
      </c>
      <c r="AG60" s="185"/>
      <c r="AH60" s="185"/>
      <c r="AI60" s="193">
        <v>214.92400000000001</v>
      </c>
      <c r="AJ60" s="185"/>
      <c r="AK60" s="185"/>
      <c r="AL60" s="189" t="s">
        <v>28</v>
      </c>
      <c r="AM60" s="185"/>
      <c r="AN60" s="185"/>
      <c r="AO60" s="189" t="s">
        <v>28</v>
      </c>
      <c r="AP60" s="185"/>
      <c r="AQ60" s="185"/>
      <c r="AR60" s="189" t="s">
        <v>28</v>
      </c>
      <c r="AS60" s="185"/>
      <c r="AT60" s="185"/>
      <c r="AU60" s="189" t="s">
        <v>28</v>
      </c>
      <c r="AV60" s="185"/>
      <c r="AW60" s="185"/>
      <c r="AX60" s="189" t="s">
        <v>28</v>
      </c>
      <c r="AY60" s="185"/>
      <c r="AZ60" s="185"/>
      <c r="BA60" s="185"/>
    </row>
    <row r="61" spans="1:53" ht="14.45" customHeight="1" x14ac:dyDescent="0.25">
      <c r="A61" s="192" t="s">
        <v>418</v>
      </c>
      <c r="B61" s="185"/>
      <c r="C61" s="193">
        <v>186.63800000000001</v>
      </c>
      <c r="D61" s="185"/>
      <c r="E61" s="185"/>
      <c r="F61" s="193">
        <v>269.012</v>
      </c>
      <c r="G61" s="185"/>
      <c r="H61" s="185"/>
      <c r="I61" s="193">
        <v>217.53399999999999</v>
      </c>
      <c r="J61" s="185"/>
      <c r="K61" s="185"/>
      <c r="L61" s="193">
        <v>236.99299999999999</v>
      </c>
      <c r="M61" s="185"/>
      <c r="N61" s="185"/>
      <c r="O61" s="193">
        <v>181.964</v>
      </c>
      <c r="P61" s="185"/>
      <c r="Q61" s="185"/>
      <c r="R61" s="185"/>
      <c r="S61" s="185"/>
      <c r="T61" s="193">
        <v>225.79900000000001</v>
      </c>
      <c r="U61" s="185"/>
      <c r="V61" s="185"/>
      <c r="W61" s="193">
        <v>164.74799999999999</v>
      </c>
      <c r="X61" s="185"/>
      <c r="Y61" s="185"/>
      <c r="Z61" s="193">
        <v>226.04300000000001</v>
      </c>
      <c r="AA61" s="185"/>
      <c r="AB61" s="185"/>
      <c r="AC61" s="193">
        <v>301.00799999999998</v>
      </c>
      <c r="AD61" s="185"/>
      <c r="AE61" s="185"/>
      <c r="AF61" s="193">
        <v>232.833</v>
      </c>
      <c r="AG61" s="185"/>
      <c r="AH61" s="185"/>
      <c r="AI61" s="193">
        <v>296.40199999999999</v>
      </c>
      <c r="AJ61" s="185"/>
      <c r="AK61" s="185"/>
      <c r="AL61" s="189" t="s">
        <v>28</v>
      </c>
      <c r="AM61" s="185"/>
      <c r="AN61" s="185"/>
      <c r="AO61" s="189" t="s">
        <v>28</v>
      </c>
      <c r="AP61" s="185"/>
      <c r="AQ61" s="185"/>
      <c r="AR61" s="189" t="s">
        <v>28</v>
      </c>
      <c r="AS61" s="185"/>
      <c r="AT61" s="185"/>
      <c r="AU61" s="189" t="s">
        <v>28</v>
      </c>
      <c r="AV61" s="185"/>
      <c r="AW61" s="185"/>
      <c r="AX61" s="189" t="s">
        <v>28</v>
      </c>
      <c r="AY61" s="185"/>
      <c r="AZ61" s="185"/>
      <c r="BA61" s="185"/>
    </row>
    <row r="62" spans="1:53" ht="27.6" customHeight="1" x14ac:dyDescent="0.25">
      <c r="A62" s="192" t="s">
        <v>419</v>
      </c>
      <c r="B62" s="185"/>
      <c r="C62" s="193">
        <v>3.5000000000000003E-2</v>
      </c>
      <c r="D62" s="185"/>
      <c r="E62" s="185"/>
      <c r="F62" s="193">
        <v>0.16700000000000001</v>
      </c>
      <c r="G62" s="185"/>
      <c r="H62" s="185"/>
      <c r="I62" s="193">
        <v>0.04</v>
      </c>
      <c r="J62" s="185"/>
      <c r="K62" s="185"/>
      <c r="L62" s="193">
        <v>0.19900000000000001</v>
      </c>
      <c r="M62" s="185"/>
      <c r="N62" s="185"/>
      <c r="O62" s="193">
        <v>8.1000000000000003E-2</v>
      </c>
      <c r="P62" s="185"/>
      <c r="Q62" s="185"/>
      <c r="R62" s="185"/>
      <c r="S62" s="185"/>
      <c r="T62" s="193">
        <v>0.35599999999999998</v>
      </c>
      <c r="U62" s="185"/>
      <c r="V62" s="185"/>
      <c r="W62" s="193">
        <v>0.438</v>
      </c>
      <c r="X62" s="185"/>
      <c r="Y62" s="185"/>
      <c r="Z62" s="193">
        <v>0.36099999999999999</v>
      </c>
      <c r="AA62" s="185"/>
      <c r="AB62" s="185"/>
      <c r="AC62" s="193">
        <v>0.218</v>
      </c>
      <c r="AD62" s="185"/>
      <c r="AE62" s="185"/>
      <c r="AF62" s="193">
        <v>0</v>
      </c>
      <c r="AG62" s="185"/>
      <c r="AH62" s="185"/>
      <c r="AI62" s="193">
        <v>0</v>
      </c>
      <c r="AJ62" s="185"/>
      <c r="AK62" s="185"/>
      <c r="AL62" s="189" t="s">
        <v>28</v>
      </c>
      <c r="AM62" s="185"/>
      <c r="AN62" s="185"/>
      <c r="AO62" s="189" t="s">
        <v>28</v>
      </c>
      <c r="AP62" s="185"/>
      <c r="AQ62" s="185"/>
      <c r="AR62" s="189" t="s">
        <v>28</v>
      </c>
      <c r="AS62" s="185"/>
      <c r="AT62" s="185"/>
      <c r="AU62" s="189" t="s">
        <v>28</v>
      </c>
      <c r="AV62" s="185"/>
      <c r="AW62" s="185"/>
      <c r="AX62" s="189" t="s">
        <v>28</v>
      </c>
      <c r="AY62" s="185"/>
      <c r="AZ62" s="185"/>
      <c r="BA62" s="185"/>
    </row>
    <row r="63" spans="1:53" ht="27.6" customHeight="1" x14ac:dyDescent="0.25">
      <c r="A63" s="192" t="s">
        <v>420</v>
      </c>
      <c r="B63" s="185"/>
      <c r="C63" s="193">
        <v>26.766999999999999</v>
      </c>
      <c r="D63" s="185"/>
      <c r="E63" s="185"/>
      <c r="F63" s="193">
        <v>16.786999999999999</v>
      </c>
      <c r="G63" s="185"/>
      <c r="H63" s="185"/>
      <c r="I63" s="193">
        <v>22.596</v>
      </c>
      <c r="J63" s="185"/>
      <c r="K63" s="185"/>
      <c r="L63" s="193">
        <v>15.013999999999999</v>
      </c>
      <c r="M63" s="185"/>
      <c r="N63" s="185"/>
      <c r="O63" s="193">
        <v>24.318999999999999</v>
      </c>
      <c r="P63" s="185"/>
      <c r="Q63" s="185"/>
      <c r="R63" s="185"/>
      <c r="S63" s="185"/>
      <c r="T63" s="193">
        <v>28.99</v>
      </c>
      <c r="U63" s="185"/>
      <c r="V63" s="185"/>
      <c r="W63" s="193">
        <v>37.104999999999997</v>
      </c>
      <c r="X63" s="185"/>
      <c r="Y63" s="185"/>
      <c r="Z63" s="193">
        <v>30.189</v>
      </c>
      <c r="AA63" s="185"/>
      <c r="AB63" s="185"/>
      <c r="AC63" s="193">
        <v>8.3369999999999997</v>
      </c>
      <c r="AD63" s="185"/>
      <c r="AE63" s="185"/>
      <c r="AF63" s="193">
        <v>11.847</v>
      </c>
      <c r="AG63" s="185"/>
      <c r="AH63" s="185"/>
      <c r="AI63" s="193">
        <v>12.311</v>
      </c>
      <c r="AJ63" s="185"/>
      <c r="AK63" s="185"/>
      <c r="AL63" s="189" t="s">
        <v>28</v>
      </c>
      <c r="AM63" s="185"/>
      <c r="AN63" s="185"/>
      <c r="AO63" s="189" t="s">
        <v>28</v>
      </c>
      <c r="AP63" s="185"/>
      <c r="AQ63" s="185"/>
      <c r="AR63" s="189" t="s">
        <v>28</v>
      </c>
      <c r="AS63" s="185"/>
      <c r="AT63" s="185"/>
      <c r="AU63" s="189" t="s">
        <v>28</v>
      </c>
      <c r="AV63" s="185"/>
      <c r="AW63" s="185"/>
      <c r="AX63" s="189" t="s">
        <v>28</v>
      </c>
      <c r="AY63" s="185"/>
      <c r="AZ63" s="185"/>
      <c r="BA63" s="185"/>
    </row>
    <row r="64" spans="1:53" ht="27.6" customHeight="1" x14ac:dyDescent="0.25">
      <c r="A64" s="192" t="s">
        <v>421</v>
      </c>
      <c r="B64" s="185"/>
      <c r="C64" s="193">
        <v>0.129</v>
      </c>
      <c r="D64" s="185"/>
      <c r="E64" s="185"/>
      <c r="F64" s="193">
        <v>0.55900000000000005</v>
      </c>
      <c r="G64" s="185"/>
      <c r="H64" s="185"/>
      <c r="I64" s="193">
        <v>0.13100000000000001</v>
      </c>
      <c r="J64" s="185"/>
      <c r="K64" s="185"/>
      <c r="L64" s="193">
        <v>0.61599999999999999</v>
      </c>
      <c r="M64" s="185"/>
      <c r="N64" s="185"/>
      <c r="O64" s="193">
        <v>0.24399999999999999</v>
      </c>
      <c r="P64" s="185"/>
      <c r="Q64" s="185"/>
      <c r="R64" s="185"/>
      <c r="S64" s="185"/>
      <c r="T64" s="193">
        <v>0.96399999999999997</v>
      </c>
      <c r="U64" s="185"/>
      <c r="V64" s="185"/>
      <c r="W64" s="193">
        <v>1.012</v>
      </c>
      <c r="X64" s="185"/>
      <c r="Y64" s="185"/>
      <c r="Z64" s="193">
        <v>0.99</v>
      </c>
      <c r="AA64" s="185"/>
      <c r="AB64" s="185"/>
      <c r="AC64" s="193">
        <v>1.6910000000000001</v>
      </c>
      <c r="AD64" s="185"/>
      <c r="AE64" s="185"/>
      <c r="AF64" s="193">
        <v>0</v>
      </c>
      <c r="AG64" s="185"/>
      <c r="AH64" s="185"/>
      <c r="AI64" s="193">
        <v>0</v>
      </c>
      <c r="AJ64" s="185"/>
      <c r="AK64" s="185"/>
      <c r="AL64" s="189" t="s">
        <v>28</v>
      </c>
      <c r="AM64" s="185"/>
      <c r="AN64" s="185"/>
      <c r="AO64" s="189" t="s">
        <v>28</v>
      </c>
      <c r="AP64" s="185"/>
      <c r="AQ64" s="185"/>
      <c r="AR64" s="189" t="s">
        <v>28</v>
      </c>
      <c r="AS64" s="185"/>
      <c r="AT64" s="185"/>
      <c r="AU64" s="189" t="s">
        <v>28</v>
      </c>
      <c r="AV64" s="185"/>
      <c r="AW64" s="185"/>
      <c r="AX64" s="189" t="s">
        <v>28</v>
      </c>
      <c r="AY64" s="185"/>
      <c r="AZ64" s="185"/>
      <c r="BA64" s="185"/>
    </row>
    <row r="65" spans="1:53" ht="14.45" customHeight="1" x14ac:dyDescent="0.25">
      <c r="A65" s="192" t="s">
        <v>422</v>
      </c>
      <c r="B65" s="185"/>
      <c r="C65" s="193">
        <v>27.123000000000001</v>
      </c>
      <c r="D65" s="185"/>
      <c r="E65" s="185"/>
      <c r="F65" s="193">
        <v>29.902000000000001</v>
      </c>
      <c r="G65" s="185"/>
      <c r="H65" s="185"/>
      <c r="I65" s="193">
        <v>31.154</v>
      </c>
      <c r="J65" s="185"/>
      <c r="K65" s="185"/>
      <c r="L65" s="193">
        <v>32.408999999999999</v>
      </c>
      <c r="M65" s="185"/>
      <c r="N65" s="185"/>
      <c r="O65" s="193">
        <v>33.542999999999999</v>
      </c>
      <c r="P65" s="185"/>
      <c r="Q65" s="185"/>
      <c r="R65" s="185"/>
      <c r="S65" s="185"/>
      <c r="T65" s="193">
        <v>36.954999999999998</v>
      </c>
      <c r="U65" s="185"/>
      <c r="V65" s="185"/>
      <c r="W65" s="193">
        <v>43.292999999999999</v>
      </c>
      <c r="X65" s="185"/>
      <c r="Y65" s="185"/>
      <c r="Z65" s="193">
        <v>36.518999999999998</v>
      </c>
      <c r="AA65" s="185"/>
      <c r="AB65" s="185"/>
      <c r="AC65" s="193">
        <v>12.932</v>
      </c>
      <c r="AD65" s="185"/>
      <c r="AE65" s="185"/>
      <c r="AF65" s="193">
        <v>16.187000000000001</v>
      </c>
      <c r="AG65" s="185"/>
      <c r="AH65" s="185"/>
      <c r="AI65" s="193">
        <v>16.588000000000001</v>
      </c>
      <c r="AJ65" s="185"/>
      <c r="AK65" s="185"/>
      <c r="AL65" s="189" t="s">
        <v>28</v>
      </c>
      <c r="AM65" s="185"/>
      <c r="AN65" s="185"/>
      <c r="AO65" s="189" t="s">
        <v>28</v>
      </c>
      <c r="AP65" s="185"/>
      <c r="AQ65" s="185"/>
      <c r="AR65" s="189" t="s">
        <v>28</v>
      </c>
      <c r="AS65" s="185"/>
      <c r="AT65" s="185"/>
      <c r="AU65" s="189" t="s">
        <v>28</v>
      </c>
      <c r="AV65" s="185"/>
      <c r="AW65" s="185"/>
      <c r="AX65" s="189" t="s">
        <v>28</v>
      </c>
      <c r="AY65" s="185"/>
      <c r="AZ65" s="185"/>
      <c r="BA65" s="185"/>
    </row>
    <row r="66" spans="1:53" ht="14.45" customHeight="1" x14ac:dyDescent="0.25">
      <c r="A66" s="192" t="s">
        <v>423</v>
      </c>
      <c r="B66" s="185"/>
      <c r="C66" s="193">
        <v>323.62099999999998</v>
      </c>
      <c r="D66" s="185"/>
      <c r="E66" s="185"/>
      <c r="F66" s="193">
        <v>254.31200000000001</v>
      </c>
      <c r="G66" s="185"/>
      <c r="H66" s="185"/>
      <c r="I66" s="193">
        <v>331.25099999999998</v>
      </c>
      <c r="J66" s="185"/>
      <c r="K66" s="185"/>
      <c r="L66" s="193">
        <v>258.66199999999998</v>
      </c>
      <c r="M66" s="185"/>
      <c r="N66" s="185"/>
      <c r="O66" s="193">
        <v>374.959</v>
      </c>
      <c r="P66" s="185"/>
      <c r="Q66" s="185"/>
      <c r="R66" s="185"/>
      <c r="S66" s="185"/>
      <c r="T66" s="193">
        <v>473.05700000000002</v>
      </c>
      <c r="U66" s="185"/>
      <c r="V66" s="185"/>
      <c r="W66" s="193">
        <v>714.45500000000004</v>
      </c>
      <c r="X66" s="185"/>
      <c r="Y66" s="185"/>
      <c r="Z66" s="193">
        <v>575.39099999999996</v>
      </c>
      <c r="AA66" s="185"/>
      <c r="AB66" s="185"/>
      <c r="AC66" s="193">
        <v>282.23500000000001</v>
      </c>
      <c r="AD66" s="185"/>
      <c r="AE66" s="185"/>
      <c r="AF66" s="193">
        <v>365.68299999999999</v>
      </c>
      <c r="AG66" s="185"/>
      <c r="AH66" s="185"/>
      <c r="AI66" s="193">
        <v>382.887</v>
      </c>
      <c r="AJ66" s="185"/>
      <c r="AK66" s="185"/>
      <c r="AL66" s="189" t="s">
        <v>28</v>
      </c>
      <c r="AM66" s="185"/>
      <c r="AN66" s="185"/>
      <c r="AO66" s="189" t="s">
        <v>28</v>
      </c>
      <c r="AP66" s="185"/>
      <c r="AQ66" s="185"/>
      <c r="AR66" s="189" t="s">
        <v>28</v>
      </c>
      <c r="AS66" s="185"/>
      <c r="AT66" s="185"/>
      <c r="AU66" s="189" t="s">
        <v>28</v>
      </c>
      <c r="AV66" s="185"/>
      <c r="AW66" s="185"/>
      <c r="AX66" s="189" t="s">
        <v>28</v>
      </c>
      <c r="AY66" s="185"/>
      <c r="AZ66" s="185"/>
      <c r="BA66" s="185"/>
    </row>
    <row r="67" spans="1:53" ht="14.45" customHeight="1" x14ac:dyDescent="0.25">
      <c r="A67" s="185"/>
      <c r="B67" s="185"/>
      <c r="C67" s="185"/>
      <c r="D67" s="185"/>
      <c r="E67" s="185"/>
      <c r="F67" s="185"/>
      <c r="G67" s="185"/>
      <c r="H67" s="185"/>
      <c r="I67" s="185"/>
      <c r="J67" s="185"/>
      <c r="K67" s="185"/>
      <c r="L67" s="185"/>
      <c r="M67" s="185"/>
      <c r="N67" s="185"/>
      <c r="O67" s="185"/>
      <c r="P67" s="185"/>
      <c r="Q67" s="185"/>
      <c r="R67" s="185"/>
      <c r="S67" s="185"/>
      <c r="T67" s="185"/>
      <c r="U67" s="185"/>
      <c r="V67" s="185"/>
      <c r="W67" s="185"/>
      <c r="X67" s="185"/>
      <c r="Y67" s="185"/>
      <c r="Z67" s="185"/>
      <c r="AA67" s="185"/>
      <c r="AB67" s="185"/>
      <c r="AC67" s="185"/>
      <c r="AD67" s="185"/>
      <c r="AE67" s="185"/>
      <c r="AF67" s="185"/>
      <c r="AG67" s="185"/>
      <c r="AH67" s="185"/>
      <c r="AI67" s="185"/>
      <c r="AJ67" s="185"/>
      <c r="AK67" s="185"/>
      <c r="AL67" s="185"/>
      <c r="AM67" s="185"/>
      <c r="AN67" s="185"/>
      <c r="AO67" s="185"/>
      <c r="AP67" s="185"/>
      <c r="AQ67" s="185"/>
      <c r="AR67" s="185"/>
      <c r="AS67" s="185"/>
      <c r="AT67" s="185"/>
      <c r="AU67" s="185"/>
      <c r="AV67" s="185"/>
      <c r="AW67" s="185"/>
      <c r="AX67" s="185"/>
      <c r="AY67" s="185"/>
      <c r="AZ67" s="185"/>
      <c r="BA67" s="185"/>
    </row>
  </sheetData>
  <mergeCells count="1061">
    <mergeCell ref="AR67:AT67"/>
    <mergeCell ref="AU67:AW67"/>
    <mergeCell ref="AX67:BA67"/>
    <mergeCell ref="AU66:AW66"/>
    <mergeCell ref="AX66:BA66"/>
    <mergeCell ref="A67:B67"/>
    <mergeCell ref="C67:E67"/>
    <mergeCell ref="F67:H67"/>
    <mergeCell ref="I67:K67"/>
    <mergeCell ref="L67:N67"/>
    <mergeCell ref="O67:S67"/>
    <mergeCell ref="T67:V67"/>
    <mergeCell ref="W67:Y67"/>
    <mergeCell ref="Z67:AB67"/>
    <mergeCell ref="AC67:AE67"/>
    <mergeCell ref="AF67:AH67"/>
    <mergeCell ref="AI67:AK67"/>
    <mergeCell ref="AL67:AN67"/>
    <mergeCell ref="AO67:AQ67"/>
    <mergeCell ref="AF66:AH66"/>
    <mergeCell ref="AI66:AK66"/>
    <mergeCell ref="AL66:AN66"/>
    <mergeCell ref="AO66:AQ66"/>
    <mergeCell ref="AR66:AT66"/>
    <mergeCell ref="O66:S66"/>
    <mergeCell ref="T66:V66"/>
    <mergeCell ref="W66:Y66"/>
    <mergeCell ref="Z66:AB66"/>
    <mergeCell ref="AC66:AE66"/>
    <mergeCell ref="A66:B66"/>
    <mergeCell ref="C66:E66"/>
    <mergeCell ref="F66:H66"/>
    <mergeCell ref="I66:K66"/>
    <mergeCell ref="L66:N66"/>
    <mergeCell ref="AL65:AN65"/>
    <mergeCell ref="AO65:AQ65"/>
    <mergeCell ref="AR65:AT65"/>
    <mergeCell ref="AU65:AW65"/>
    <mergeCell ref="AX65:BA65"/>
    <mergeCell ref="AO64:AQ64"/>
    <mergeCell ref="AR64:AT64"/>
    <mergeCell ref="AU64:AW64"/>
    <mergeCell ref="AX64:BA64"/>
    <mergeCell ref="A65:B65"/>
    <mergeCell ref="C65:E65"/>
    <mergeCell ref="F65:H65"/>
    <mergeCell ref="I65:K65"/>
    <mergeCell ref="L65:N65"/>
    <mergeCell ref="O65:S65"/>
    <mergeCell ref="T65:V65"/>
    <mergeCell ref="W65:Y65"/>
    <mergeCell ref="Z65:AB65"/>
    <mergeCell ref="AC65:AE65"/>
    <mergeCell ref="AF65:AH65"/>
    <mergeCell ref="AI65:AK65"/>
    <mergeCell ref="AR63:AT63"/>
    <mergeCell ref="AU63:AW63"/>
    <mergeCell ref="AX63:BA63"/>
    <mergeCell ref="A64:B64"/>
    <mergeCell ref="C64:E64"/>
    <mergeCell ref="F64:H64"/>
    <mergeCell ref="I64:K64"/>
    <mergeCell ref="L64:N64"/>
    <mergeCell ref="O64:S64"/>
    <mergeCell ref="T64:V64"/>
    <mergeCell ref="W64:Y64"/>
    <mergeCell ref="Z64:AB64"/>
    <mergeCell ref="AC64:AE64"/>
    <mergeCell ref="AF64:AH64"/>
    <mergeCell ref="AI64:AK64"/>
    <mergeCell ref="AL64:AN64"/>
    <mergeCell ref="AU62:AW62"/>
    <mergeCell ref="AX62:BA62"/>
    <mergeCell ref="A63:B63"/>
    <mergeCell ref="C63:E63"/>
    <mergeCell ref="F63:H63"/>
    <mergeCell ref="I63:K63"/>
    <mergeCell ref="L63:N63"/>
    <mergeCell ref="O63:S63"/>
    <mergeCell ref="T63:V63"/>
    <mergeCell ref="W63:Y63"/>
    <mergeCell ref="Z63:AB63"/>
    <mergeCell ref="AC63:AE63"/>
    <mergeCell ref="AF63:AH63"/>
    <mergeCell ref="AI63:AK63"/>
    <mergeCell ref="AL63:AN63"/>
    <mergeCell ref="AO63:AQ63"/>
    <mergeCell ref="AF62:AH62"/>
    <mergeCell ref="AI62:AK62"/>
    <mergeCell ref="AL62:AN62"/>
    <mergeCell ref="AO62:AQ62"/>
    <mergeCell ref="AR62:AT62"/>
    <mergeCell ref="O62:S62"/>
    <mergeCell ref="T62:V62"/>
    <mergeCell ref="W62:Y62"/>
    <mergeCell ref="Z62:AB62"/>
    <mergeCell ref="AC62:AE62"/>
    <mergeCell ref="A62:B62"/>
    <mergeCell ref="C62:E62"/>
    <mergeCell ref="F62:H62"/>
    <mergeCell ref="I62:K62"/>
    <mergeCell ref="L62:N62"/>
    <mergeCell ref="AL61:AN61"/>
    <mergeCell ref="AO61:AQ61"/>
    <mergeCell ref="AR61:AT61"/>
    <mergeCell ref="AU61:AW61"/>
    <mergeCell ref="AX61:BA61"/>
    <mergeCell ref="AO60:AQ60"/>
    <mergeCell ref="AR60:AT60"/>
    <mergeCell ref="AU60:AW60"/>
    <mergeCell ref="AX60:BA60"/>
    <mergeCell ref="A61:B61"/>
    <mergeCell ref="C61:E61"/>
    <mergeCell ref="F61:H61"/>
    <mergeCell ref="I61:K61"/>
    <mergeCell ref="L61:N61"/>
    <mergeCell ref="O61:S61"/>
    <mergeCell ref="T61:V61"/>
    <mergeCell ref="W61:Y61"/>
    <mergeCell ref="Z61:AB61"/>
    <mergeCell ref="AC61:AE61"/>
    <mergeCell ref="AF61:AH61"/>
    <mergeCell ref="AI61:AK61"/>
    <mergeCell ref="AR59:AT59"/>
    <mergeCell ref="AU59:AW59"/>
    <mergeCell ref="AX59:BA59"/>
    <mergeCell ref="A60:B60"/>
    <mergeCell ref="C60:E60"/>
    <mergeCell ref="F60:H60"/>
    <mergeCell ref="I60:K60"/>
    <mergeCell ref="L60:N60"/>
    <mergeCell ref="O60:S60"/>
    <mergeCell ref="T60:V60"/>
    <mergeCell ref="W60:Y60"/>
    <mergeCell ref="Z60:AB60"/>
    <mergeCell ref="AC60:AE60"/>
    <mergeCell ref="AF60:AH60"/>
    <mergeCell ref="AI60:AK60"/>
    <mergeCell ref="AL60:AN60"/>
    <mergeCell ref="AU58:AW58"/>
    <mergeCell ref="AX58:BA58"/>
    <mergeCell ref="A59:B59"/>
    <mergeCell ref="C59:E59"/>
    <mergeCell ref="F59:H59"/>
    <mergeCell ref="I59:K59"/>
    <mergeCell ref="L59:N59"/>
    <mergeCell ref="O59:S59"/>
    <mergeCell ref="T59:V59"/>
    <mergeCell ref="W59:Y59"/>
    <mergeCell ref="Z59:AB59"/>
    <mergeCell ref="AC59:AE59"/>
    <mergeCell ref="AF59:AH59"/>
    <mergeCell ref="AI59:AK59"/>
    <mergeCell ref="AL59:AN59"/>
    <mergeCell ref="AO59:AQ59"/>
    <mergeCell ref="AF58:AH58"/>
    <mergeCell ref="AI58:AK58"/>
    <mergeCell ref="AL58:AN58"/>
    <mergeCell ref="AO58:AQ58"/>
    <mergeCell ref="AR58:AT58"/>
    <mergeCell ref="O58:S58"/>
    <mergeCell ref="T58:V58"/>
    <mergeCell ref="W58:Y58"/>
    <mergeCell ref="Z58:AB58"/>
    <mergeCell ref="AC58:AE58"/>
    <mergeCell ref="A58:B58"/>
    <mergeCell ref="C58:E58"/>
    <mergeCell ref="F58:H58"/>
    <mergeCell ref="I58:K58"/>
    <mergeCell ref="L58:N58"/>
    <mergeCell ref="AL57:AN57"/>
    <mergeCell ref="AO57:AQ57"/>
    <mergeCell ref="AR57:AT57"/>
    <mergeCell ref="AU57:AW57"/>
    <mergeCell ref="AX57:BA57"/>
    <mergeCell ref="AO56:AQ56"/>
    <mergeCell ref="AR56:AT56"/>
    <mergeCell ref="AU56:AW56"/>
    <mergeCell ref="AX56:BA56"/>
    <mergeCell ref="A57:B57"/>
    <mergeCell ref="C57:E57"/>
    <mergeCell ref="F57:H57"/>
    <mergeCell ref="I57:K57"/>
    <mergeCell ref="L57:N57"/>
    <mergeCell ref="O57:S57"/>
    <mergeCell ref="T57:V57"/>
    <mergeCell ref="W57:Y57"/>
    <mergeCell ref="Z57:AB57"/>
    <mergeCell ref="AC57:AE57"/>
    <mergeCell ref="AF57:AH57"/>
    <mergeCell ref="AI57:AK57"/>
    <mergeCell ref="AR55:AT55"/>
    <mergeCell ref="AU55:AW55"/>
    <mergeCell ref="AX55:BA55"/>
    <mergeCell ref="A56:B56"/>
    <mergeCell ref="C56:E56"/>
    <mergeCell ref="F56:H56"/>
    <mergeCell ref="I56:K56"/>
    <mergeCell ref="L56:N56"/>
    <mergeCell ref="O56:S56"/>
    <mergeCell ref="T56:V56"/>
    <mergeCell ref="W56:Y56"/>
    <mergeCell ref="Z56:AB56"/>
    <mergeCell ref="AC56:AE56"/>
    <mergeCell ref="AF56:AH56"/>
    <mergeCell ref="AI56:AK56"/>
    <mergeCell ref="AL56:AN56"/>
    <mergeCell ref="AU54:AW54"/>
    <mergeCell ref="AX54:BA54"/>
    <mergeCell ref="A55:B55"/>
    <mergeCell ref="C55:E55"/>
    <mergeCell ref="F55:H55"/>
    <mergeCell ref="I55:K55"/>
    <mergeCell ref="L55:N55"/>
    <mergeCell ref="O55:S55"/>
    <mergeCell ref="T55:V55"/>
    <mergeCell ref="W55:Y55"/>
    <mergeCell ref="Z55:AB55"/>
    <mergeCell ref="AC55:AE55"/>
    <mergeCell ref="AF55:AH55"/>
    <mergeCell ref="AI55:AK55"/>
    <mergeCell ref="AL55:AN55"/>
    <mergeCell ref="AO55:AQ55"/>
    <mergeCell ref="AF54:AH54"/>
    <mergeCell ref="AI54:AK54"/>
    <mergeCell ref="AL54:AN54"/>
    <mergeCell ref="AO54:AQ54"/>
    <mergeCell ref="AR54:AT54"/>
    <mergeCell ref="O54:S54"/>
    <mergeCell ref="T54:V54"/>
    <mergeCell ref="W54:Y54"/>
    <mergeCell ref="Z54:AB54"/>
    <mergeCell ref="AC54:AE54"/>
    <mergeCell ref="A54:B54"/>
    <mergeCell ref="C54:E54"/>
    <mergeCell ref="F54:H54"/>
    <mergeCell ref="I54:K54"/>
    <mergeCell ref="L54:N54"/>
    <mergeCell ref="AL53:AN53"/>
    <mergeCell ref="AO53:AQ53"/>
    <mergeCell ref="AR53:AT53"/>
    <mergeCell ref="AU53:AW53"/>
    <mergeCell ref="AX53:BA53"/>
    <mergeCell ref="AO52:AQ52"/>
    <mergeCell ref="AR52:AT52"/>
    <mergeCell ref="AU52:AW52"/>
    <mergeCell ref="AX52:BA52"/>
    <mergeCell ref="A53:B53"/>
    <mergeCell ref="C53:E53"/>
    <mergeCell ref="F53:H53"/>
    <mergeCell ref="I53:K53"/>
    <mergeCell ref="L53:N53"/>
    <mergeCell ref="O53:S53"/>
    <mergeCell ref="T53:V53"/>
    <mergeCell ref="W53:Y53"/>
    <mergeCell ref="Z53:AB53"/>
    <mergeCell ref="AC53:AE53"/>
    <mergeCell ref="AF53:AH53"/>
    <mergeCell ref="AI53:AK53"/>
    <mergeCell ref="AR51:AT51"/>
    <mergeCell ref="AU51:AW51"/>
    <mergeCell ref="AX51:BA51"/>
    <mergeCell ref="A52:B52"/>
    <mergeCell ref="C52:E52"/>
    <mergeCell ref="F52:H52"/>
    <mergeCell ref="I52:K52"/>
    <mergeCell ref="L52:N52"/>
    <mergeCell ref="O52:S52"/>
    <mergeCell ref="T52:V52"/>
    <mergeCell ref="W52:Y52"/>
    <mergeCell ref="Z52:AB52"/>
    <mergeCell ref="AC52:AE52"/>
    <mergeCell ref="AF52:AH52"/>
    <mergeCell ref="AI52:AK52"/>
    <mergeCell ref="AL52:AN52"/>
    <mergeCell ref="AU50:AW50"/>
    <mergeCell ref="AX50:BA50"/>
    <mergeCell ref="A51:B51"/>
    <mergeCell ref="C51:E51"/>
    <mergeCell ref="F51:H51"/>
    <mergeCell ref="I51:K51"/>
    <mergeCell ref="L51:N51"/>
    <mergeCell ref="O51:S51"/>
    <mergeCell ref="T51:V51"/>
    <mergeCell ref="W51:Y51"/>
    <mergeCell ref="Z51:AB51"/>
    <mergeCell ref="AC51:AE51"/>
    <mergeCell ref="AF51:AH51"/>
    <mergeCell ref="AI51:AK51"/>
    <mergeCell ref="AL51:AN51"/>
    <mergeCell ref="AO51:AQ51"/>
    <mergeCell ref="AF50:AH50"/>
    <mergeCell ref="AI50:AK50"/>
    <mergeCell ref="AL50:AN50"/>
    <mergeCell ref="AO50:AQ50"/>
    <mergeCell ref="AR50:AT50"/>
    <mergeCell ref="O50:S50"/>
    <mergeCell ref="T50:V50"/>
    <mergeCell ref="W50:Y50"/>
    <mergeCell ref="Z50:AB50"/>
    <mergeCell ref="AC50:AE50"/>
    <mergeCell ref="A50:B50"/>
    <mergeCell ref="C50:E50"/>
    <mergeCell ref="F50:H50"/>
    <mergeCell ref="I50:K50"/>
    <mergeCell ref="L50:N50"/>
    <mergeCell ref="AL49:AN49"/>
    <mergeCell ref="AO49:AQ49"/>
    <mergeCell ref="AR49:AT49"/>
    <mergeCell ref="AU49:AW49"/>
    <mergeCell ref="AX49:BA49"/>
    <mergeCell ref="AO48:AQ48"/>
    <mergeCell ref="AR48:AT48"/>
    <mergeCell ref="AU48:AW48"/>
    <mergeCell ref="AX48:BA48"/>
    <mergeCell ref="A49:B49"/>
    <mergeCell ref="C49:E49"/>
    <mergeCell ref="F49:H49"/>
    <mergeCell ref="I49:K49"/>
    <mergeCell ref="L49:N49"/>
    <mergeCell ref="O49:S49"/>
    <mergeCell ref="T49:V49"/>
    <mergeCell ref="W49:Y49"/>
    <mergeCell ref="Z49:AB49"/>
    <mergeCell ref="AC49:AE49"/>
    <mergeCell ref="AF49:AH49"/>
    <mergeCell ref="AI49:AK49"/>
    <mergeCell ref="AR47:AT47"/>
    <mergeCell ref="AU47:AW47"/>
    <mergeCell ref="AX47:BA47"/>
    <mergeCell ref="A48:B48"/>
    <mergeCell ref="C48:E48"/>
    <mergeCell ref="F48:H48"/>
    <mergeCell ref="I48:K48"/>
    <mergeCell ref="L48:N48"/>
    <mergeCell ref="O48:S48"/>
    <mergeCell ref="T48:V48"/>
    <mergeCell ref="W48:Y48"/>
    <mergeCell ref="Z48:AB48"/>
    <mergeCell ref="AC48:AE48"/>
    <mergeCell ref="AF48:AH48"/>
    <mergeCell ref="AI48:AK48"/>
    <mergeCell ref="AL48:AN48"/>
    <mergeCell ref="AU46:AW46"/>
    <mergeCell ref="AX46:BA46"/>
    <mergeCell ref="A47:B47"/>
    <mergeCell ref="C47:E47"/>
    <mergeCell ref="F47:H47"/>
    <mergeCell ref="I47:K47"/>
    <mergeCell ref="L47:N47"/>
    <mergeCell ref="O47:S47"/>
    <mergeCell ref="T47:V47"/>
    <mergeCell ref="W47:Y47"/>
    <mergeCell ref="Z47:AB47"/>
    <mergeCell ref="AC47:AE47"/>
    <mergeCell ref="AF47:AH47"/>
    <mergeCell ref="AI47:AK47"/>
    <mergeCell ref="AL47:AN47"/>
    <mergeCell ref="AO47:AQ47"/>
    <mergeCell ref="AF46:AH46"/>
    <mergeCell ref="AI46:AK46"/>
    <mergeCell ref="AL46:AN46"/>
    <mergeCell ref="AO46:AQ46"/>
    <mergeCell ref="AR46:AT46"/>
    <mergeCell ref="O46:S46"/>
    <mergeCell ref="T46:V46"/>
    <mergeCell ref="W46:Y46"/>
    <mergeCell ref="Z46:AB46"/>
    <mergeCell ref="AC46:AE46"/>
    <mergeCell ref="A46:B46"/>
    <mergeCell ref="C46:E46"/>
    <mergeCell ref="F46:H46"/>
    <mergeCell ref="I46:K46"/>
    <mergeCell ref="L46:N46"/>
    <mergeCell ref="AL45:AN45"/>
    <mergeCell ref="AO45:AQ45"/>
    <mergeCell ref="AR45:AT45"/>
    <mergeCell ref="AU45:AW45"/>
    <mergeCell ref="AX45:BA45"/>
    <mergeCell ref="AO44:AQ44"/>
    <mergeCell ref="AR44:AT44"/>
    <mergeCell ref="AU44:AW44"/>
    <mergeCell ref="AX44:BA44"/>
    <mergeCell ref="A45:B45"/>
    <mergeCell ref="C45:E45"/>
    <mergeCell ref="F45:H45"/>
    <mergeCell ref="I45:K45"/>
    <mergeCell ref="L45:N45"/>
    <mergeCell ref="O45:S45"/>
    <mergeCell ref="T45:V45"/>
    <mergeCell ref="W45:Y45"/>
    <mergeCell ref="Z45:AB45"/>
    <mergeCell ref="AC45:AE45"/>
    <mergeCell ref="AF45:AH45"/>
    <mergeCell ref="AI45:AK45"/>
    <mergeCell ref="AR43:AT43"/>
    <mergeCell ref="AU43:AW43"/>
    <mergeCell ref="AX43:BA43"/>
    <mergeCell ref="A44:B44"/>
    <mergeCell ref="C44:E44"/>
    <mergeCell ref="F44:H44"/>
    <mergeCell ref="I44:K44"/>
    <mergeCell ref="L44:N44"/>
    <mergeCell ref="O44:S44"/>
    <mergeCell ref="T44:V44"/>
    <mergeCell ref="W44:Y44"/>
    <mergeCell ref="Z44:AB44"/>
    <mergeCell ref="AC44:AE44"/>
    <mergeCell ref="AF44:AH44"/>
    <mergeCell ref="AI44:AK44"/>
    <mergeCell ref="AL44:AN44"/>
    <mergeCell ref="AU42:AW42"/>
    <mergeCell ref="AX42:BA42"/>
    <mergeCell ref="A43:B43"/>
    <mergeCell ref="C43:E43"/>
    <mergeCell ref="F43:H43"/>
    <mergeCell ref="I43:K43"/>
    <mergeCell ref="L43:N43"/>
    <mergeCell ref="O43:S43"/>
    <mergeCell ref="T43:V43"/>
    <mergeCell ref="W43:Y43"/>
    <mergeCell ref="Z43:AB43"/>
    <mergeCell ref="AC43:AE43"/>
    <mergeCell ref="AF43:AH43"/>
    <mergeCell ref="AI43:AK43"/>
    <mergeCell ref="AL43:AN43"/>
    <mergeCell ref="AO43:AQ43"/>
    <mergeCell ref="AF42:AH42"/>
    <mergeCell ref="AI42:AK42"/>
    <mergeCell ref="AL42:AN42"/>
    <mergeCell ref="AO42:AQ42"/>
    <mergeCell ref="AR42:AT42"/>
    <mergeCell ref="O42:S42"/>
    <mergeCell ref="T42:V42"/>
    <mergeCell ref="W42:Y42"/>
    <mergeCell ref="Z42:AB42"/>
    <mergeCell ref="AC42:AE42"/>
    <mergeCell ref="A42:B42"/>
    <mergeCell ref="C42:E42"/>
    <mergeCell ref="F42:H42"/>
    <mergeCell ref="I42:K42"/>
    <mergeCell ref="L42:N42"/>
    <mergeCell ref="AL41:AN41"/>
    <mergeCell ref="AO41:AQ41"/>
    <mergeCell ref="AR41:AT41"/>
    <mergeCell ref="AU41:AW41"/>
    <mergeCell ref="AX41:BA41"/>
    <mergeCell ref="AO40:AQ40"/>
    <mergeCell ref="AR40:AT40"/>
    <mergeCell ref="AU40:AW40"/>
    <mergeCell ref="AX40:BA40"/>
    <mergeCell ref="A41:B41"/>
    <mergeCell ref="C41:E41"/>
    <mergeCell ref="F41:H41"/>
    <mergeCell ref="I41:K41"/>
    <mergeCell ref="L41:N41"/>
    <mergeCell ref="O41:S41"/>
    <mergeCell ref="T41:V41"/>
    <mergeCell ref="W41:Y41"/>
    <mergeCell ref="Z41:AB41"/>
    <mergeCell ref="AC41:AE41"/>
    <mergeCell ref="AF41:AH41"/>
    <mergeCell ref="AI41:AK41"/>
    <mergeCell ref="AR39:AT39"/>
    <mergeCell ref="AU39:AW39"/>
    <mergeCell ref="AX39:BA39"/>
    <mergeCell ref="A40:B40"/>
    <mergeCell ref="C40:E40"/>
    <mergeCell ref="F40:H40"/>
    <mergeCell ref="I40:K40"/>
    <mergeCell ref="L40:N40"/>
    <mergeCell ref="O40:S40"/>
    <mergeCell ref="T40:V40"/>
    <mergeCell ref="W40:Y40"/>
    <mergeCell ref="Z40:AB40"/>
    <mergeCell ref="AC40:AE40"/>
    <mergeCell ref="AF40:AH40"/>
    <mergeCell ref="AI40:AK40"/>
    <mergeCell ref="AL40:AN40"/>
    <mergeCell ref="AU38:AW38"/>
    <mergeCell ref="AX38:BA38"/>
    <mergeCell ref="A39:B39"/>
    <mergeCell ref="C39:E39"/>
    <mergeCell ref="F39:H39"/>
    <mergeCell ref="I39:K39"/>
    <mergeCell ref="L39:N39"/>
    <mergeCell ref="O39:S39"/>
    <mergeCell ref="T39:V39"/>
    <mergeCell ref="W39:Y39"/>
    <mergeCell ref="Z39:AB39"/>
    <mergeCell ref="AC39:AE39"/>
    <mergeCell ref="AF39:AH39"/>
    <mergeCell ref="AI39:AK39"/>
    <mergeCell ref="AL39:AN39"/>
    <mergeCell ref="AO39:AQ39"/>
    <mergeCell ref="AF38:AH38"/>
    <mergeCell ref="AI38:AK38"/>
    <mergeCell ref="AL38:AN38"/>
    <mergeCell ref="AO38:AQ38"/>
    <mergeCell ref="AR38:AT38"/>
    <mergeCell ref="O38:S38"/>
    <mergeCell ref="T38:V38"/>
    <mergeCell ref="W38:Y38"/>
    <mergeCell ref="Z38:AB38"/>
    <mergeCell ref="AC38:AE38"/>
    <mergeCell ref="A38:B38"/>
    <mergeCell ref="C38:E38"/>
    <mergeCell ref="F38:H38"/>
    <mergeCell ref="I38:K38"/>
    <mergeCell ref="L38:N38"/>
    <mergeCell ref="AL37:AN37"/>
    <mergeCell ref="AO37:AQ37"/>
    <mergeCell ref="AR37:AT37"/>
    <mergeCell ref="AU37:AW37"/>
    <mergeCell ref="AX37:BA37"/>
    <mergeCell ref="AO36:AQ36"/>
    <mergeCell ref="AR36:AT36"/>
    <mergeCell ref="AU36:AW36"/>
    <mergeCell ref="AX36:BA36"/>
    <mergeCell ref="A37:B37"/>
    <mergeCell ref="C37:E37"/>
    <mergeCell ref="F37:H37"/>
    <mergeCell ref="I37:K37"/>
    <mergeCell ref="L37:N37"/>
    <mergeCell ref="O37:S37"/>
    <mergeCell ref="T37:V37"/>
    <mergeCell ref="W37:Y37"/>
    <mergeCell ref="Z37:AB37"/>
    <mergeCell ref="AC37:AE37"/>
    <mergeCell ref="AF37:AH37"/>
    <mergeCell ref="AI37:AK37"/>
    <mergeCell ref="AR35:AT35"/>
    <mergeCell ref="AU35:AW35"/>
    <mergeCell ref="AX35:BA35"/>
    <mergeCell ref="A36:B36"/>
    <mergeCell ref="C36:E36"/>
    <mergeCell ref="F36:H36"/>
    <mergeCell ref="I36:K36"/>
    <mergeCell ref="L36:N36"/>
    <mergeCell ref="O36:S36"/>
    <mergeCell ref="T36:V36"/>
    <mergeCell ref="W36:Y36"/>
    <mergeCell ref="Z36:AB36"/>
    <mergeCell ref="AC36:AE36"/>
    <mergeCell ref="AF36:AH36"/>
    <mergeCell ref="AI36:AK36"/>
    <mergeCell ref="AL36:AN36"/>
    <mergeCell ref="AU34:AW34"/>
    <mergeCell ref="AX34:BA34"/>
    <mergeCell ref="A35:B35"/>
    <mergeCell ref="C35:E35"/>
    <mergeCell ref="F35:H35"/>
    <mergeCell ref="I35:K35"/>
    <mergeCell ref="L35:N35"/>
    <mergeCell ref="O35:S35"/>
    <mergeCell ref="T35:V35"/>
    <mergeCell ref="W35:Y35"/>
    <mergeCell ref="Z35:AB35"/>
    <mergeCell ref="AC35:AE35"/>
    <mergeCell ref="AF35:AH35"/>
    <mergeCell ref="AI35:AK35"/>
    <mergeCell ref="AL35:AN35"/>
    <mergeCell ref="AO35:AQ35"/>
    <mergeCell ref="AF34:AH34"/>
    <mergeCell ref="AI34:AK34"/>
    <mergeCell ref="AL34:AN34"/>
    <mergeCell ref="AO34:AQ34"/>
    <mergeCell ref="AR34:AT34"/>
    <mergeCell ref="O34:S34"/>
    <mergeCell ref="T34:V34"/>
    <mergeCell ref="W34:Y34"/>
    <mergeCell ref="Z34:AB34"/>
    <mergeCell ref="AC34:AE34"/>
    <mergeCell ref="A34:B34"/>
    <mergeCell ref="C34:E34"/>
    <mergeCell ref="F34:H34"/>
    <mergeCell ref="I34:K34"/>
    <mergeCell ref="L34:N34"/>
    <mergeCell ref="AL33:AN33"/>
    <mergeCell ref="AO33:AQ33"/>
    <mergeCell ref="AR33:AT33"/>
    <mergeCell ref="AU33:AW33"/>
    <mergeCell ref="AX33:BA33"/>
    <mergeCell ref="AO32:AQ32"/>
    <mergeCell ref="AR32:AT32"/>
    <mergeCell ref="AU32:AW32"/>
    <mergeCell ref="AX32:BA32"/>
    <mergeCell ref="A33:B33"/>
    <mergeCell ref="C33:E33"/>
    <mergeCell ref="F33:H33"/>
    <mergeCell ref="I33:K33"/>
    <mergeCell ref="L33:N33"/>
    <mergeCell ref="O33:S33"/>
    <mergeCell ref="T33:V33"/>
    <mergeCell ref="W33:Y33"/>
    <mergeCell ref="Z33:AB33"/>
    <mergeCell ref="AC33:AE33"/>
    <mergeCell ref="AF33:AH33"/>
    <mergeCell ref="AI33:AK33"/>
    <mergeCell ref="AR31:AT31"/>
    <mergeCell ref="AU31:AW31"/>
    <mergeCell ref="AX31:BA31"/>
    <mergeCell ref="A32:B32"/>
    <mergeCell ref="C32:E32"/>
    <mergeCell ref="F32:H32"/>
    <mergeCell ref="I32:K32"/>
    <mergeCell ref="L32:N32"/>
    <mergeCell ref="O32:S32"/>
    <mergeCell ref="T32:V32"/>
    <mergeCell ref="W32:Y32"/>
    <mergeCell ref="Z32:AB32"/>
    <mergeCell ref="AC32:AE32"/>
    <mergeCell ref="AF32:AH32"/>
    <mergeCell ref="AI32:AK32"/>
    <mergeCell ref="AL32:AN32"/>
    <mergeCell ref="AU30:AW30"/>
    <mergeCell ref="AX30:BA30"/>
    <mergeCell ref="A31:B31"/>
    <mergeCell ref="C31:E31"/>
    <mergeCell ref="F31:H31"/>
    <mergeCell ref="I31:K31"/>
    <mergeCell ref="L31:N31"/>
    <mergeCell ref="O31:S31"/>
    <mergeCell ref="T31:V31"/>
    <mergeCell ref="W31:Y31"/>
    <mergeCell ref="Z31:AB31"/>
    <mergeCell ref="AC31:AE31"/>
    <mergeCell ref="AF31:AH31"/>
    <mergeCell ref="AI31:AK31"/>
    <mergeCell ref="AL31:AN31"/>
    <mergeCell ref="AO31:AQ31"/>
    <mergeCell ref="AF30:AH30"/>
    <mergeCell ref="AI30:AK30"/>
    <mergeCell ref="AL30:AN30"/>
    <mergeCell ref="AO30:AQ30"/>
    <mergeCell ref="AR30:AT30"/>
    <mergeCell ref="O30:S30"/>
    <mergeCell ref="T30:V30"/>
    <mergeCell ref="W30:Y30"/>
    <mergeCell ref="Z30:AB30"/>
    <mergeCell ref="AC30:AE30"/>
    <mergeCell ref="A30:B30"/>
    <mergeCell ref="C30:E30"/>
    <mergeCell ref="F30:H30"/>
    <mergeCell ref="I30:K30"/>
    <mergeCell ref="L30:N30"/>
    <mergeCell ref="AL29:AN29"/>
    <mergeCell ref="AO29:AQ29"/>
    <mergeCell ref="AR29:AT29"/>
    <mergeCell ref="AU29:AW29"/>
    <mergeCell ref="AX29:BA29"/>
    <mergeCell ref="AO28:AQ28"/>
    <mergeCell ref="AR28:AT28"/>
    <mergeCell ref="AU28:AW28"/>
    <mergeCell ref="AX28:BA28"/>
    <mergeCell ref="A29:B29"/>
    <mergeCell ref="C29:E29"/>
    <mergeCell ref="F29:H29"/>
    <mergeCell ref="I29:K29"/>
    <mergeCell ref="L29:N29"/>
    <mergeCell ref="O29:S29"/>
    <mergeCell ref="T29:V29"/>
    <mergeCell ref="W29:Y29"/>
    <mergeCell ref="Z29:AB29"/>
    <mergeCell ref="AC29:AE29"/>
    <mergeCell ref="AF29:AH29"/>
    <mergeCell ref="AI29:AK29"/>
    <mergeCell ref="AR27:AT27"/>
    <mergeCell ref="AU27:AW27"/>
    <mergeCell ref="AX27:BA27"/>
    <mergeCell ref="A28:B28"/>
    <mergeCell ref="C28:E28"/>
    <mergeCell ref="F28:H28"/>
    <mergeCell ref="I28:K28"/>
    <mergeCell ref="L28:N28"/>
    <mergeCell ref="O28:S28"/>
    <mergeCell ref="T28:V28"/>
    <mergeCell ref="W28:Y28"/>
    <mergeCell ref="Z28:AB28"/>
    <mergeCell ref="AC28:AE28"/>
    <mergeCell ref="AF28:AH28"/>
    <mergeCell ref="AI28:AK28"/>
    <mergeCell ref="AL28:AN28"/>
    <mergeCell ref="AU26:AW26"/>
    <mergeCell ref="AX26:BA26"/>
    <mergeCell ref="A27:B27"/>
    <mergeCell ref="C27:E27"/>
    <mergeCell ref="F27:H27"/>
    <mergeCell ref="I27:K27"/>
    <mergeCell ref="L27:N27"/>
    <mergeCell ref="O27:S27"/>
    <mergeCell ref="T27:V27"/>
    <mergeCell ref="W27:Y27"/>
    <mergeCell ref="Z27:AB27"/>
    <mergeCell ref="AC27:AE27"/>
    <mergeCell ref="AF27:AH27"/>
    <mergeCell ref="AI27:AK27"/>
    <mergeCell ref="AL27:AN27"/>
    <mergeCell ref="AO27:AQ27"/>
    <mergeCell ref="AF26:AH26"/>
    <mergeCell ref="AI26:AK26"/>
    <mergeCell ref="AL26:AN26"/>
    <mergeCell ref="AO26:AQ26"/>
    <mergeCell ref="AR26:AT26"/>
    <mergeCell ref="O26:S26"/>
    <mergeCell ref="T26:V26"/>
    <mergeCell ref="W26:Y26"/>
    <mergeCell ref="Z26:AB26"/>
    <mergeCell ref="AC26:AE26"/>
    <mergeCell ref="A26:B26"/>
    <mergeCell ref="C26:E26"/>
    <mergeCell ref="F26:H26"/>
    <mergeCell ref="I26:K26"/>
    <mergeCell ref="L26:N26"/>
    <mergeCell ref="AL25:AN25"/>
    <mergeCell ref="AO25:AQ25"/>
    <mergeCell ref="AR25:AT25"/>
    <mergeCell ref="AU25:AW25"/>
    <mergeCell ref="AX25:BA25"/>
    <mergeCell ref="AO24:AQ24"/>
    <mergeCell ref="AR24:AT24"/>
    <mergeCell ref="AU24:AW24"/>
    <mergeCell ref="AX24:BA24"/>
    <mergeCell ref="A25:B25"/>
    <mergeCell ref="C25:E25"/>
    <mergeCell ref="F25:H25"/>
    <mergeCell ref="I25:K25"/>
    <mergeCell ref="L25:N25"/>
    <mergeCell ref="O25:S25"/>
    <mergeCell ref="T25:V25"/>
    <mergeCell ref="W25:Y25"/>
    <mergeCell ref="Z25:AB25"/>
    <mergeCell ref="AC25:AE25"/>
    <mergeCell ref="AF25:AH25"/>
    <mergeCell ref="AI25:AK25"/>
    <mergeCell ref="AR23:AT23"/>
    <mergeCell ref="AU23:AW23"/>
    <mergeCell ref="AX23:BA23"/>
    <mergeCell ref="A24:B24"/>
    <mergeCell ref="C24:E24"/>
    <mergeCell ref="F24:H24"/>
    <mergeCell ref="I24:K24"/>
    <mergeCell ref="L24:N24"/>
    <mergeCell ref="O24:S24"/>
    <mergeCell ref="T24:V24"/>
    <mergeCell ref="W24:Y24"/>
    <mergeCell ref="Z24:AB24"/>
    <mergeCell ref="AC24:AE24"/>
    <mergeCell ref="AF24:AH24"/>
    <mergeCell ref="AI24:AK24"/>
    <mergeCell ref="AL24:AN24"/>
    <mergeCell ref="AU22:AW22"/>
    <mergeCell ref="AX22:BA22"/>
    <mergeCell ref="A23:B23"/>
    <mergeCell ref="C23:E23"/>
    <mergeCell ref="F23:H23"/>
    <mergeCell ref="I23:K23"/>
    <mergeCell ref="L23:N23"/>
    <mergeCell ref="O23:S23"/>
    <mergeCell ref="T23:V23"/>
    <mergeCell ref="W23:Y23"/>
    <mergeCell ref="Z23:AB23"/>
    <mergeCell ref="AC23:AE23"/>
    <mergeCell ref="AF23:AH23"/>
    <mergeCell ref="AI23:AK23"/>
    <mergeCell ref="AL23:AN23"/>
    <mergeCell ref="AO23:AQ23"/>
    <mergeCell ref="AF22:AH22"/>
    <mergeCell ref="AI22:AK22"/>
    <mergeCell ref="AL22:AN22"/>
    <mergeCell ref="AO22:AQ22"/>
    <mergeCell ref="AR22:AT22"/>
    <mergeCell ref="O22:S22"/>
    <mergeCell ref="T22:V22"/>
    <mergeCell ref="W22:Y22"/>
    <mergeCell ref="Z22:AB22"/>
    <mergeCell ref="AC22:AE22"/>
    <mergeCell ref="A22:B22"/>
    <mergeCell ref="C22:E22"/>
    <mergeCell ref="F22:H22"/>
    <mergeCell ref="I22:K22"/>
    <mergeCell ref="L22:N22"/>
    <mergeCell ref="AL21:AN21"/>
    <mergeCell ref="AO21:AQ21"/>
    <mergeCell ref="AR21:AT21"/>
    <mergeCell ref="AU21:AW21"/>
    <mergeCell ref="AX21:BA21"/>
    <mergeCell ref="AO20:AQ20"/>
    <mergeCell ref="AR20:AT20"/>
    <mergeCell ref="AU20:AW20"/>
    <mergeCell ref="AX20:BA20"/>
    <mergeCell ref="A21:B21"/>
    <mergeCell ref="C21:E21"/>
    <mergeCell ref="F21:H21"/>
    <mergeCell ref="I21:K21"/>
    <mergeCell ref="L21:N21"/>
    <mergeCell ref="O21:S21"/>
    <mergeCell ref="T21:V21"/>
    <mergeCell ref="W21:Y21"/>
    <mergeCell ref="Z21:AB21"/>
    <mergeCell ref="AC21:AE21"/>
    <mergeCell ref="AF21:AH21"/>
    <mergeCell ref="AI21:AK21"/>
    <mergeCell ref="AR19:AT19"/>
    <mergeCell ref="AU19:AW19"/>
    <mergeCell ref="AX19:BA19"/>
    <mergeCell ref="A20:B20"/>
    <mergeCell ref="C20:E20"/>
    <mergeCell ref="F20:H20"/>
    <mergeCell ref="I20:K20"/>
    <mergeCell ref="L20:N20"/>
    <mergeCell ref="O20:S20"/>
    <mergeCell ref="T20:V20"/>
    <mergeCell ref="W20:Y20"/>
    <mergeCell ref="Z20:AB20"/>
    <mergeCell ref="AC20:AE20"/>
    <mergeCell ref="AF20:AH20"/>
    <mergeCell ref="AI20:AK20"/>
    <mergeCell ref="AL20:AN20"/>
    <mergeCell ref="AU18:AW18"/>
    <mergeCell ref="AX18:BA18"/>
    <mergeCell ref="A19:B19"/>
    <mergeCell ref="C19:E19"/>
    <mergeCell ref="F19:H19"/>
    <mergeCell ref="I19:K19"/>
    <mergeCell ref="L19:N19"/>
    <mergeCell ref="O19:S19"/>
    <mergeCell ref="T19:V19"/>
    <mergeCell ref="W19:Y19"/>
    <mergeCell ref="Z19:AB19"/>
    <mergeCell ref="AC19:AE19"/>
    <mergeCell ref="AF19:AH19"/>
    <mergeCell ref="AI19:AK19"/>
    <mergeCell ref="AL19:AN19"/>
    <mergeCell ref="AO19:AQ19"/>
    <mergeCell ref="AF18:AH18"/>
    <mergeCell ref="AI18:AK18"/>
    <mergeCell ref="AL18:AN18"/>
    <mergeCell ref="AO18:AQ18"/>
    <mergeCell ref="AR18:AT18"/>
    <mergeCell ref="O18:S18"/>
    <mergeCell ref="T18:V18"/>
    <mergeCell ref="W18:Y18"/>
    <mergeCell ref="Z18:AB18"/>
    <mergeCell ref="AC18:AE18"/>
    <mergeCell ref="A18:B18"/>
    <mergeCell ref="C18:E18"/>
    <mergeCell ref="F18:H18"/>
    <mergeCell ref="I18:K18"/>
    <mergeCell ref="L18:N18"/>
    <mergeCell ref="AL17:AN17"/>
    <mergeCell ref="AO17:AQ17"/>
    <mergeCell ref="AR17:AT17"/>
    <mergeCell ref="AU17:AW17"/>
    <mergeCell ref="AX17:BA17"/>
    <mergeCell ref="AO16:AQ16"/>
    <mergeCell ref="AR16:AT16"/>
    <mergeCell ref="AU16:AW16"/>
    <mergeCell ref="AX16:BA16"/>
    <mergeCell ref="A17:B17"/>
    <mergeCell ref="C17:E17"/>
    <mergeCell ref="F17:H17"/>
    <mergeCell ref="I17:K17"/>
    <mergeCell ref="L17:N17"/>
    <mergeCell ref="O17:S17"/>
    <mergeCell ref="T17:V17"/>
    <mergeCell ref="W17:Y17"/>
    <mergeCell ref="Z17:AB17"/>
    <mergeCell ref="AC17:AE17"/>
    <mergeCell ref="AF17:AH17"/>
    <mergeCell ref="AI17:AK17"/>
    <mergeCell ref="AR15:AT15"/>
    <mergeCell ref="AU15:AW15"/>
    <mergeCell ref="AX15:BA15"/>
    <mergeCell ref="A16:B16"/>
    <mergeCell ref="C16:E16"/>
    <mergeCell ref="F16:H16"/>
    <mergeCell ref="I16:K16"/>
    <mergeCell ref="L16:N16"/>
    <mergeCell ref="O16:S16"/>
    <mergeCell ref="T16:V16"/>
    <mergeCell ref="W16:Y16"/>
    <mergeCell ref="Z16:AB16"/>
    <mergeCell ref="AC16:AE16"/>
    <mergeCell ref="AF16:AH16"/>
    <mergeCell ref="AI16:AK16"/>
    <mergeCell ref="AL16:AN16"/>
    <mergeCell ref="AU14:AW14"/>
    <mergeCell ref="AX14:BA14"/>
    <mergeCell ref="A15:B15"/>
    <mergeCell ref="C15:E15"/>
    <mergeCell ref="F15:H15"/>
    <mergeCell ref="I15:K15"/>
    <mergeCell ref="L15:N15"/>
    <mergeCell ref="O15:S15"/>
    <mergeCell ref="T15:V15"/>
    <mergeCell ref="W15:Y15"/>
    <mergeCell ref="Z15:AB15"/>
    <mergeCell ref="AC15:AE15"/>
    <mergeCell ref="AF15:AH15"/>
    <mergeCell ref="AI15:AK15"/>
    <mergeCell ref="AL15:AN15"/>
    <mergeCell ref="AO15:AQ15"/>
    <mergeCell ref="AF14:AH14"/>
    <mergeCell ref="AI14:AK14"/>
    <mergeCell ref="AL14:AN14"/>
    <mergeCell ref="AO14:AQ14"/>
    <mergeCell ref="AR14:AT14"/>
    <mergeCell ref="O14:S14"/>
    <mergeCell ref="T14:V14"/>
    <mergeCell ref="W14:Y14"/>
    <mergeCell ref="Z14:AB14"/>
    <mergeCell ref="AC14:AE14"/>
    <mergeCell ref="A14:B14"/>
    <mergeCell ref="C14:E14"/>
    <mergeCell ref="F14:H14"/>
    <mergeCell ref="I14:K14"/>
    <mergeCell ref="L14:N14"/>
    <mergeCell ref="AL13:AN13"/>
    <mergeCell ref="AO13:AQ13"/>
    <mergeCell ref="AR13:AT13"/>
    <mergeCell ref="T11:V11"/>
    <mergeCell ref="W11:Y11"/>
    <mergeCell ref="Z11:AB11"/>
    <mergeCell ref="AC11:AE11"/>
    <mergeCell ref="AF11:AH11"/>
    <mergeCell ref="AI11:AK11"/>
    <mergeCell ref="AL11:AN11"/>
    <mergeCell ref="AO11:AQ11"/>
    <mergeCell ref="AU13:AW13"/>
    <mergeCell ref="AX13:BA13"/>
    <mergeCell ref="AO12:AQ12"/>
    <mergeCell ref="AR12:AT12"/>
    <mergeCell ref="AU12:AW12"/>
    <mergeCell ref="AX12:BA12"/>
    <mergeCell ref="A13:B13"/>
    <mergeCell ref="C13:E13"/>
    <mergeCell ref="F13:H13"/>
    <mergeCell ref="I13:K13"/>
    <mergeCell ref="L13:N13"/>
    <mergeCell ref="O13:S13"/>
    <mergeCell ref="T13:V13"/>
    <mergeCell ref="W13:Y13"/>
    <mergeCell ref="Z13:AB13"/>
    <mergeCell ref="AC13:AE13"/>
    <mergeCell ref="AF13:AH13"/>
    <mergeCell ref="AI13:AK13"/>
    <mergeCell ref="A10:B10"/>
    <mergeCell ref="C10:E10"/>
    <mergeCell ref="F10:H10"/>
    <mergeCell ref="I10:K10"/>
    <mergeCell ref="L10:N10"/>
    <mergeCell ref="AU7:AV9"/>
    <mergeCell ref="AX7:AY9"/>
    <mergeCell ref="A8:B8"/>
    <mergeCell ref="AR11:AT11"/>
    <mergeCell ref="AU11:AW11"/>
    <mergeCell ref="AX11:BA11"/>
    <mergeCell ref="A12:B12"/>
    <mergeCell ref="C12:E12"/>
    <mergeCell ref="F12:H12"/>
    <mergeCell ref="I12:K12"/>
    <mergeCell ref="L12:N12"/>
    <mergeCell ref="O12:S12"/>
    <mergeCell ref="T12:V12"/>
    <mergeCell ref="W12:Y12"/>
    <mergeCell ref="Z12:AB12"/>
    <mergeCell ref="AC12:AE12"/>
    <mergeCell ref="AF12:AH12"/>
    <mergeCell ref="AI12:AK12"/>
    <mergeCell ref="AL12:AN12"/>
    <mergeCell ref="AU10:AW10"/>
    <mergeCell ref="AX10:BA10"/>
    <mergeCell ref="A11:B11"/>
    <mergeCell ref="C11:E11"/>
    <mergeCell ref="F11:H11"/>
    <mergeCell ref="I11:K11"/>
    <mergeCell ref="L11:N11"/>
    <mergeCell ref="O11:S11"/>
    <mergeCell ref="AF10:AH10"/>
    <mergeCell ref="AI10:AK10"/>
    <mergeCell ref="AL10:AN10"/>
    <mergeCell ref="AO10:AQ10"/>
    <mergeCell ref="AR10:AT10"/>
    <mergeCell ref="O10:S10"/>
    <mergeCell ref="T10:V10"/>
    <mergeCell ref="W10:Y10"/>
    <mergeCell ref="Z10:AB10"/>
    <mergeCell ref="AC10:AE10"/>
    <mergeCell ref="AA6:AB6"/>
    <mergeCell ref="AD6:AE6"/>
    <mergeCell ref="AG6:AH6"/>
    <mergeCell ref="AJ6:AK6"/>
    <mergeCell ref="AM6:AN6"/>
    <mergeCell ref="AP6:AQ6"/>
    <mergeCell ref="AS6:AT6"/>
    <mergeCell ref="AC5:AC6"/>
    <mergeCell ref="AD5:AE5"/>
    <mergeCell ref="AF5:AF6"/>
    <mergeCell ref="AG5:AH5"/>
    <mergeCell ref="AI5:AI6"/>
    <mergeCell ref="U5:V5"/>
    <mergeCell ref="AZ8:BA8"/>
    <mergeCell ref="A9:B9"/>
    <mergeCell ref="AZ9:BA9"/>
    <mergeCell ref="AY6:BA6"/>
    <mergeCell ref="A7:B7"/>
    <mergeCell ref="C7:D9"/>
    <mergeCell ref="F7:G9"/>
    <mergeCell ref="I7:J9"/>
    <mergeCell ref="L7:M9"/>
    <mergeCell ref="O7:R9"/>
    <mergeCell ref="T7:U9"/>
    <mergeCell ref="W7:X9"/>
    <mergeCell ref="Z7:AA9"/>
    <mergeCell ref="AC7:AD9"/>
    <mergeCell ref="AF7:AG9"/>
    <mergeCell ref="AI7:AJ9"/>
    <mergeCell ref="AL7:AM9"/>
    <mergeCell ref="AO7:AP9"/>
    <mergeCell ref="AR7:AS9"/>
    <mergeCell ref="W5:W6"/>
    <mergeCell ref="X5:Y5"/>
    <mergeCell ref="Z5:Z6"/>
    <mergeCell ref="AA5:AB5"/>
    <mergeCell ref="AR5:AR6"/>
    <mergeCell ref="AS5:AT5"/>
    <mergeCell ref="AU5:AU6"/>
    <mergeCell ref="AV5:AW5"/>
    <mergeCell ref="AX5:AX6"/>
    <mergeCell ref="AJ5:AK5"/>
    <mergeCell ref="AL5:AL6"/>
    <mergeCell ref="AM5:AN5"/>
    <mergeCell ref="AO5:AO6"/>
    <mergeCell ref="AZ7:BA7"/>
    <mergeCell ref="B1:Q1"/>
    <mergeCell ref="A2:P2"/>
    <mergeCell ref="A3:AZ3"/>
    <mergeCell ref="A4:P4"/>
    <mergeCell ref="A5:B6"/>
    <mergeCell ref="C5:C6"/>
    <mergeCell ref="D5:E5"/>
    <mergeCell ref="F5:F6"/>
    <mergeCell ref="G5:H5"/>
    <mergeCell ref="I5:I6"/>
    <mergeCell ref="J5:K5"/>
    <mergeCell ref="L5:L6"/>
    <mergeCell ref="M5:N5"/>
    <mergeCell ref="O5:O6"/>
    <mergeCell ref="P5:S5"/>
    <mergeCell ref="T5:T6"/>
    <mergeCell ref="AY5:BA5"/>
    <mergeCell ref="D6:E6"/>
    <mergeCell ref="G6:H6"/>
    <mergeCell ref="J6:K6"/>
    <mergeCell ref="M6:N6"/>
    <mergeCell ref="P6:S6"/>
    <mergeCell ref="U6:V6"/>
    <mergeCell ref="X6:Y6"/>
    <mergeCell ref="AV6:AW6"/>
    <mergeCell ref="AP5:AQ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174BB-DE1C-464E-A3AB-ABC290304D3E}">
  <dimension ref="A1:R23"/>
  <sheetViews>
    <sheetView zoomScaleNormal="100" workbookViewId="0">
      <selection activeCell="F9" sqref="F9"/>
    </sheetView>
  </sheetViews>
  <sheetFormatPr defaultRowHeight="15" x14ac:dyDescent="0.25"/>
  <cols>
    <col min="1" max="1" width="28.28515625" style="127" bestFit="1" customWidth="1"/>
    <col min="2" max="2" width="11" style="127" bestFit="1" customWidth="1"/>
    <col min="3" max="3" width="9.140625" style="127"/>
    <col min="4" max="5" width="11" style="127" bestFit="1" customWidth="1"/>
    <col min="6" max="7" width="9.140625" style="127"/>
    <col min="8" max="8" width="11" style="127" bestFit="1" customWidth="1"/>
    <col min="9" max="10" width="9.140625" style="127"/>
    <col min="11" max="11" width="11" style="127" bestFit="1" customWidth="1"/>
    <col min="12" max="13" width="9.140625" style="127"/>
    <col min="14" max="14" width="11" style="127" bestFit="1" customWidth="1"/>
    <col min="15" max="17" width="9.140625" style="127"/>
    <col min="18" max="18" width="40.42578125" style="127" bestFit="1" customWidth="1"/>
    <col min="19" max="16384" width="9.140625" style="127"/>
  </cols>
  <sheetData>
    <row r="1" spans="1:18" x14ac:dyDescent="0.25">
      <c r="B1" s="198">
        <v>2020</v>
      </c>
      <c r="C1" s="198"/>
      <c r="D1" s="145" t="s">
        <v>424</v>
      </c>
      <c r="E1" s="198">
        <v>2019</v>
      </c>
      <c r="F1" s="198"/>
      <c r="G1" s="144" t="s">
        <v>424</v>
      </c>
      <c r="H1" s="198">
        <v>2018</v>
      </c>
      <c r="I1" s="198"/>
      <c r="J1" s="144" t="s">
        <v>424</v>
      </c>
      <c r="K1" s="198">
        <v>2017</v>
      </c>
      <c r="L1" s="198"/>
      <c r="M1" s="144" t="s">
        <v>424</v>
      </c>
      <c r="N1" s="198">
        <v>2016</v>
      </c>
      <c r="O1" s="198"/>
      <c r="P1" s="144" t="s">
        <v>424</v>
      </c>
    </row>
    <row r="2" spans="1:18" x14ac:dyDescent="0.25">
      <c r="A2" s="143" t="s">
        <v>425</v>
      </c>
      <c r="B2" s="135">
        <v>3978681.75</v>
      </c>
      <c r="C2" s="134">
        <f t="shared" ref="C2:C7" si="0">B2/$B$8</f>
        <v>0.61992234573421789</v>
      </c>
      <c r="D2" s="133">
        <v>0.106</v>
      </c>
      <c r="E2" s="135">
        <v>1666293.81</v>
      </c>
      <c r="F2" s="134">
        <f t="shared" ref="F2:F7" si="1">E2/$E$8</f>
        <v>0.57267238141960297</v>
      </c>
      <c r="G2" s="133">
        <v>0.11899999999999999</v>
      </c>
      <c r="H2" s="135">
        <v>2024123.38</v>
      </c>
      <c r="I2" s="134">
        <f t="shared" ref="I2:I7" si="2">H2/$H$8</f>
        <v>0.6356787317113084</v>
      </c>
      <c r="J2" s="133">
        <v>0.121</v>
      </c>
      <c r="K2" s="135">
        <v>1860289.77</v>
      </c>
      <c r="L2" s="137">
        <f t="shared" ref="L2:L7" si="3">K2/$K$8</f>
        <v>0.64732715103448957</v>
      </c>
      <c r="M2" s="136">
        <v>0.11600000000000001</v>
      </c>
      <c r="N2" s="135">
        <v>1856266.68</v>
      </c>
      <c r="O2" s="134">
        <f t="shared" ref="O2:O7" si="4">N2/$N$8</f>
        <v>0.52609406814677195</v>
      </c>
      <c r="P2" s="133">
        <v>0.16300000000000001</v>
      </c>
      <c r="R2" s="127" t="s">
        <v>426</v>
      </c>
    </row>
    <row r="3" spans="1:18" x14ac:dyDescent="0.25">
      <c r="A3" s="142" t="s">
        <v>427</v>
      </c>
      <c r="B3" s="135">
        <v>295438.45</v>
      </c>
      <c r="C3" s="134">
        <f t="shared" si="0"/>
        <v>4.6032557628938639E-2</v>
      </c>
      <c r="D3" s="133">
        <v>0.11899999999999999</v>
      </c>
      <c r="E3" s="135">
        <v>38950.42</v>
      </c>
      <c r="F3" s="134">
        <f t="shared" si="1"/>
        <v>1.3386492613024667E-2</v>
      </c>
      <c r="G3" s="133">
        <v>0.01</v>
      </c>
      <c r="H3" s="135">
        <v>37854.93</v>
      </c>
      <c r="I3" s="134">
        <f t="shared" si="2"/>
        <v>1.1888392836715497E-2</v>
      </c>
      <c r="J3" s="133">
        <v>8.9999999999999993E-3</v>
      </c>
      <c r="K3" s="135">
        <v>34711.58</v>
      </c>
      <c r="L3" s="137">
        <f t="shared" si="3"/>
        <v>1.2078628045837057E-2</v>
      </c>
      <c r="M3" s="136">
        <v>8.9999999999999993E-3</v>
      </c>
      <c r="N3" s="135">
        <v>71429.78</v>
      </c>
      <c r="O3" s="134">
        <f t="shared" si="4"/>
        <v>2.0244280604675254E-2</v>
      </c>
      <c r="P3" s="133">
        <v>1.2E-2</v>
      </c>
      <c r="R3" s="127" t="s">
        <v>428</v>
      </c>
    </row>
    <row r="4" spans="1:18" x14ac:dyDescent="0.25">
      <c r="A4" s="141" t="s">
        <v>429</v>
      </c>
      <c r="B4" s="135">
        <v>516667.01</v>
      </c>
      <c r="C4" s="134">
        <f t="shared" si="0"/>
        <v>8.0502398766296043E-2</v>
      </c>
      <c r="D4" s="133">
        <v>9.1999999999999998E-2</v>
      </c>
      <c r="E4" s="135">
        <v>377564.29</v>
      </c>
      <c r="F4" s="134">
        <f t="shared" si="1"/>
        <v>0.12976141410097511</v>
      </c>
      <c r="G4" s="133">
        <v>6.0999999999999999E-2</v>
      </c>
      <c r="H4" s="135">
        <v>345156.06</v>
      </c>
      <c r="I4" s="134">
        <f t="shared" si="2"/>
        <v>0.10839673541208356</v>
      </c>
      <c r="J4" s="133">
        <v>5.2999999999999999E-2</v>
      </c>
      <c r="K4" s="135">
        <v>259747.08</v>
      </c>
      <c r="L4" s="137">
        <f t="shared" si="3"/>
        <v>9.0384487404845337E-2</v>
      </c>
      <c r="M4" s="136">
        <v>6.6000000000000003E-2</v>
      </c>
      <c r="N4" s="135">
        <v>29705.38</v>
      </c>
      <c r="O4" s="134">
        <f t="shared" si="4"/>
        <v>8.4189542259336132E-3</v>
      </c>
      <c r="P4" s="133">
        <v>8.7999999999999995E-2</v>
      </c>
    </row>
    <row r="5" spans="1:18" x14ac:dyDescent="0.25">
      <c r="A5" s="140" t="s">
        <v>430</v>
      </c>
      <c r="B5" s="135">
        <v>455247.58000000007</v>
      </c>
      <c r="C5" s="134">
        <f t="shared" si="0"/>
        <v>7.0932576520709667E-2</v>
      </c>
      <c r="D5" s="133">
        <v>0.16300000000000001</v>
      </c>
      <c r="E5" s="135">
        <v>168135.67999999924</v>
      </c>
      <c r="F5" s="134">
        <f t="shared" si="1"/>
        <v>5.7784923456688508E-2</v>
      </c>
      <c r="G5" s="133">
        <v>0.214</v>
      </c>
      <c r="H5" s="135">
        <v>218870.73000000045</v>
      </c>
      <c r="I5" s="134">
        <f t="shared" si="2"/>
        <v>6.8736653817579291E-2</v>
      </c>
      <c r="J5" s="133">
        <v>0.16200000000000001</v>
      </c>
      <c r="K5" s="135">
        <v>192618.65999999968</v>
      </c>
      <c r="L5" s="137">
        <f t="shared" si="3"/>
        <v>6.7025734605787132E-2</v>
      </c>
      <c r="M5" s="136">
        <v>0.216</v>
      </c>
      <c r="N5" s="135">
        <v>1081848.6200000006</v>
      </c>
      <c r="O5" s="134">
        <f t="shared" si="4"/>
        <v>0.30661227061123109</v>
      </c>
      <c r="P5" s="133">
        <v>0.23599999999999999</v>
      </c>
      <c r="R5" s="127" t="s">
        <v>431</v>
      </c>
    </row>
    <row r="6" spans="1:18" x14ac:dyDescent="0.25">
      <c r="A6" s="139" t="s">
        <v>432</v>
      </c>
      <c r="B6" s="135">
        <v>844425.45</v>
      </c>
      <c r="C6" s="134">
        <f t="shared" si="0"/>
        <v>0.13157076606131476</v>
      </c>
      <c r="D6" s="133">
        <v>0.34300000000000003</v>
      </c>
      <c r="E6" s="135">
        <v>635615.59000000008</v>
      </c>
      <c r="F6" s="134">
        <f t="shared" si="1"/>
        <v>0.2184485661581651</v>
      </c>
      <c r="G6" s="133">
        <v>0.20699999999999999</v>
      </c>
      <c r="H6" s="135">
        <v>551745.42999999993</v>
      </c>
      <c r="I6" s="134">
        <f t="shared" si="2"/>
        <v>0.17327641122840567</v>
      </c>
      <c r="J6" s="133">
        <v>0.19500000000000001</v>
      </c>
      <c r="K6" s="135">
        <v>522638.44</v>
      </c>
      <c r="L6" s="137">
        <f t="shared" si="3"/>
        <v>0.18186309350414265</v>
      </c>
      <c r="M6" s="136">
        <v>0.20399999999999999</v>
      </c>
      <c r="N6" s="135">
        <v>486616.88</v>
      </c>
      <c r="O6" s="134">
        <f t="shared" si="4"/>
        <v>0.13791458780485655</v>
      </c>
      <c r="P6" s="133">
        <v>0.25900000000000001</v>
      </c>
      <c r="R6" s="127" t="s">
        <v>433</v>
      </c>
    </row>
    <row r="7" spans="1:18" x14ac:dyDescent="0.25">
      <c r="A7" s="138" t="s">
        <v>434</v>
      </c>
      <c r="B7" s="135">
        <f>(15000+312572.24)</f>
        <v>327572.24</v>
      </c>
      <c r="C7" s="134">
        <f t="shared" si="0"/>
        <v>5.1039355288522936E-2</v>
      </c>
      <c r="D7" s="133">
        <v>0.17799999999999999</v>
      </c>
      <c r="E7" s="135">
        <f>(15000+8120.97)</f>
        <v>23120.97</v>
      </c>
      <c r="F7" s="134">
        <f t="shared" si="1"/>
        <v>7.9462222515435006E-3</v>
      </c>
      <c r="G7" s="133">
        <v>0.39</v>
      </c>
      <c r="H7" s="135">
        <v>6441.86</v>
      </c>
      <c r="I7" s="134">
        <f t="shared" si="2"/>
        <v>2.0230749939076386E-3</v>
      </c>
      <c r="J7" s="133">
        <v>0.46</v>
      </c>
      <c r="K7" s="135">
        <v>3796.02</v>
      </c>
      <c r="L7" s="137">
        <f t="shared" si="3"/>
        <v>1.320905404898261E-3</v>
      </c>
      <c r="M7" s="136">
        <v>0.38900000000000001</v>
      </c>
      <c r="N7" s="135">
        <v>2525.7600000000002</v>
      </c>
      <c r="O7" s="134">
        <f t="shared" si="4"/>
        <v>7.1583860653168154E-4</v>
      </c>
      <c r="P7" s="133">
        <v>0.24299999999999999</v>
      </c>
      <c r="R7" s="127" t="s">
        <v>435</v>
      </c>
    </row>
    <row r="8" spans="1:18" x14ac:dyDescent="0.25">
      <c r="A8" s="132" t="s">
        <v>436</v>
      </c>
      <c r="B8" s="197">
        <v>6418032.4800000004</v>
      </c>
      <c r="C8" s="197"/>
      <c r="D8" s="131"/>
      <c r="E8" s="197">
        <v>2909680.76</v>
      </c>
      <c r="F8" s="197"/>
      <c r="G8" s="131"/>
      <c r="H8" s="197">
        <v>3184192.39</v>
      </c>
      <c r="I8" s="197"/>
      <c r="J8" s="131"/>
      <c r="K8" s="197">
        <v>2873801.55</v>
      </c>
      <c r="L8" s="197"/>
      <c r="M8" s="131"/>
      <c r="N8" s="197">
        <v>3528393.1</v>
      </c>
      <c r="O8" s="197"/>
      <c r="P8" s="130"/>
    </row>
    <row r="10" spans="1:18" x14ac:dyDescent="0.25">
      <c r="C10" s="128"/>
      <c r="F10" s="128"/>
      <c r="I10" s="128"/>
      <c r="L10" s="129"/>
      <c r="O10" s="128"/>
    </row>
    <row r="23" spans="1:6" x14ac:dyDescent="0.25">
      <c r="A23" s="127" t="s">
        <v>424</v>
      </c>
      <c r="B23" s="199">
        <v>2020</v>
      </c>
      <c r="C23" s="199"/>
      <c r="E23" s="199">
        <v>2019</v>
      </c>
      <c r="F23" s="199"/>
    </row>
  </sheetData>
  <mergeCells count="12">
    <mergeCell ref="B23:C23"/>
    <mergeCell ref="E23:F23"/>
    <mergeCell ref="B1:C1"/>
    <mergeCell ref="B8:C8"/>
    <mergeCell ref="E1:F1"/>
    <mergeCell ref="E8:F8"/>
    <mergeCell ref="H8:I8"/>
    <mergeCell ref="H1:I1"/>
    <mergeCell ref="N1:O1"/>
    <mergeCell ref="N8:O8"/>
    <mergeCell ref="K1:L1"/>
    <mergeCell ref="K8:L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730B5-5049-4E40-BE03-167DC59F72B8}">
  <dimension ref="A2:O32"/>
  <sheetViews>
    <sheetView workbookViewId="0">
      <selection activeCell="G4" sqref="G4"/>
    </sheetView>
  </sheetViews>
  <sheetFormatPr defaultRowHeight="12.75" x14ac:dyDescent="0.2"/>
  <cols>
    <col min="1" max="1" width="23.85546875" style="92" customWidth="1"/>
    <col min="2" max="2" width="12.42578125" style="92" customWidth="1"/>
    <col min="3" max="3" width="12.85546875" style="92" customWidth="1"/>
    <col min="4" max="4" width="13.5703125" style="92" customWidth="1"/>
    <col min="5" max="5" width="11.85546875" style="92" customWidth="1"/>
    <col min="6" max="6" width="14" style="92" customWidth="1"/>
    <col min="7" max="9" width="9.140625" style="92"/>
    <col min="10" max="10" width="20.85546875" style="92" customWidth="1"/>
    <col min="11" max="12" width="13.28515625" style="92" customWidth="1"/>
    <col min="13" max="13" width="15.7109375" style="92" customWidth="1"/>
    <col min="14" max="14" width="13.85546875" style="92" customWidth="1"/>
    <col min="15" max="15" width="13.42578125" style="92" customWidth="1"/>
    <col min="16" max="16384" width="9.140625" style="92"/>
  </cols>
  <sheetData>
    <row r="2" spans="1:15" x14ac:dyDescent="0.2">
      <c r="B2" s="111" t="s">
        <v>3</v>
      </c>
      <c r="C2" s="111" t="s">
        <v>4</v>
      </c>
      <c r="D2" s="111" t="s">
        <v>5</v>
      </c>
      <c r="E2" s="111" t="s">
        <v>6</v>
      </c>
      <c r="F2" s="111" t="s">
        <v>7</v>
      </c>
      <c r="K2" s="111" t="s">
        <v>3</v>
      </c>
      <c r="L2" s="111" t="s">
        <v>4</v>
      </c>
      <c r="M2" s="111" t="s">
        <v>5</v>
      </c>
      <c r="N2" s="111" t="s">
        <v>6</v>
      </c>
      <c r="O2" s="111" t="s">
        <v>7</v>
      </c>
    </row>
    <row r="3" spans="1:15" ht="15" x14ac:dyDescent="0.25">
      <c r="A3" s="108" t="s">
        <v>437</v>
      </c>
      <c r="B3" s="125">
        <f>K3/K4</f>
        <v>0.40835534381714433</v>
      </c>
      <c r="C3" s="125">
        <f>L3/L4</f>
        <v>0.34935508182691494</v>
      </c>
      <c r="D3" s="125">
        <f>M3/M4</f>
        <v>0.40538343224920526</v>
      </c>
      <c r="E3" s="125">
        <f>N3/N4</f>
        <v>0.29064489821852868</v>
      </c>
      <c r="F3" s="125">
        <f>O3/O4</f>
        <v>0.38117804957729906</v>
      </c>
      <c r="J3" s="108" t="s">
        <v>438</v>
      </c>
      <c r="K3" s="121">
        <v>2620837.86</v>
      </c>
      <c r="L3" s="121">
        <v>1016511.76</v>
      </c>
      <c r="M3" s="121">
        <v>1290818.8400000001</v>
      </c>
      <c r="N3" s="121">
        <v>835255.75899999996</v>
      </c>
      <c r="O3" s="121">
        <v>1344946</v>
      </c>
    </row>
    <row r="4" spans="1:15" ht="15" x14ac:dyDescent="0.25">
      <c r="A4" s="108" t="s">
        <v>439</v>
      </c>
      <c r="B4" s="125">
        <f>K5/K4</f>
        <v>0.23291164771419168</v>
      </c>
      <c r="C4" s="146">
        <f>L5/L4</f>
        <v>0.11641524893610666</v>
      </c>
      <c r="D4" s="146">
        <f>M5/M4</f>
        <v>-0.21908615264293121</v>
      </c>
      <c r="E4" s="125">
        <f>N5/N4</f>
        <v>3.8711058528032318E-3</v>
      </c>
      <c r="F4" s="125">
        <f>O5/O4</f>
        <v>3.1529338383526478E-3</v>
      </c>
      <c r="J4" s="108" t="s">
        <v>440</v>
      </c>
      <c r="K4" s="120">
        <v>6418032.4800000004</v>
      </c>
      <c r="L4" s="119">
        <v>2909680.76</v>
      </c>
      <c r="M4" s="119">
        <v>3184192.39</v>
      </c>
      <c r="N4" s="119">
        <v>2873801.55</v>
      </c>
      <c r="O4" s="119">
        <v>3528393.1</v>
      </c>
    </row>
    <row r="5" spans="1:15" ht="15" x14ac:dyDescent="0.25">
      <c r="A5" s="108" t="s">
        <v>441</v>
      </c>
      <c r="B5" s="125">
        <f>K6/K4</f>
        <v>0.39733189383921597</v>
      </c>
      <c r="C5" s="125">
        <f>L6/L4</f>
        <v>0.59126555175764373</v>
      </c>
      <c r="D5" s="125">
        <f>M6/M4</f>
        <v>0.53068495650792002</v>
      </c>
      <c r="E5" s="125">
        <f>N6/N4</f>
        <v>0.59916767739233767</v>
      </c>
      <c r="F5" s="125">
        <f>O6/O4</f>
        <v>0.50899430678514812</v>
      </c>
      <c r="J5" s="108" t="s">
        <v>442</v>
      </c>
      <c r="K5" s="121">
        <f>0+11073.31+1483761.21</f>
        <v>1494834.52</v>
      </c>
      <c r="L5" s="121">
        <f>0+11073.31+327657.9</f>
        <v>338731.21</v>
      </c>
      <c r="M5" s="126">
        <f>-768685.77+11073.31+60000</f>
        <v>-697612.46</v>
      </c>
      <c r="N5" s="121">
        <f>51.48+11073.31+0</f>
        <v>11124.789999999999</v>
      </c>
      <c r="O5" s="121">
        <f>51.48+11073.31+0</f>
        <v>11124.789999999999</v>
      </c>
    </row>
    <row r="6" spans="1:15" ht="15" x14ac:dyDescent="0.25">
      <c r="A6" s="108" t="s">
        <v>443</v>
      </c>
      <c r="B6" s="125">
        <f>K7/K8</f>
        <v>1.4447813444608892</v>
      </c>
      <c r="C6" s="125">
        <f>L7/L8</f>
        <v>1.3570989457317362</v>
      </c>
      <c r="D6" s="125">
        <f>M7/M8</f>
        <v>0.24677833189149362</v>
      </c>
      <c r="E6" s="125">
        <f>N7/N8</f>
        <v>0.90052186797524503</v>
      </c>
      <c r="F6" s="125">
        <f>O7/O8</f>
        <v>1.082502397473474</v>
      </c>
      <c r="J6" s="108" t="s">
        <v>410</v>
      </c>
      <c r="K6" s="121">
        <v>2550089</v>
      </c>
      <c r="L6" s="121">
        <v>1720394</v>
      </c>
      <c r="M6" s="121">
        <v>1689803</v>
      </c>
      <c r="N6" s="121">
        <v>1721889</v>
      </c>
      <c r="O6" s="121">
        <v>1795932</v>
      </c>
    </row>
    <row r="7" spans="1:15" ht="15" x14ac:dyDescent="0.25">
      <c r="A7" s="108" t="s">
        <v>444</v>
      </c>
      <c r="B7" s="125">
        <f>K9/K4</f>
        <v>1.525562689268285</v>
      </c>
      <c r="C7" s="125">
        <f>L9/L4</f>
        <v>2.0810922123291631</v>
      </c>
      <c r="D7" s="125">
        <f>M9/M4</f>
        <v>1.794007032345178</v>
      </c>
      <c r="E7" s="125">
        <f>N9/N4</f>
        <v>1.9357992690901016</v>
      </c>
      <c r="F7" s="125">
        <f>O9/O4</f>
        <v>1.5673837249029876</v>
      </c>
      <c r="J7" s="108" t="s">
        <v>445</v>
      </c>
      <c r="K7" s="120">
        <v>3792835.55</v>
      </c>
      <c r="L7" s="119">
        <v>1675248.32</v>
      </c>
      <c r="M7" s="124">
        <v>630256.13</v>
      </c>
      <c r="N7" s="119">
        <v>1361690.22</v>
      </c>
      <c r="O7" s="119">
        <v>1834088.64</v>
      </c>
    </row>
    <row r="8" spans="1:15" ht="15" x14ac:dyDescent="0.25">
      <c r="A8" s="123"/>
      <c r="B8" s="122"/>
      <c r="C8" s="122"/>
      <c r="D8" s="122"/>
      <c r="J8" s="108" t="s">
        <v>446</v>
      </c>
      <c r="K8" s="121">
        <v>2625196.9300000006</v>
      </c>
      <c r="L8" s="121">
        <v>1234433.4399999997</v>
      </c>
      <c r="M8" s="121">
        <v>2553936.2600000002</v>
      </c>
      <c r="N8" s="121">
        <v>1512112.3299999998</v>
      </c>
      <c r="O8" s="121">
        <v>1694304.4600000002</v>
      </c>
    </row>
    <row r="9" spans="1:15" ht="15" x14ac:dyDescent="0.25">
      <c r="J9" s="108" t="s">
        <v>447</v>
      </c>
      <c r="K9" s="120">
        <v>9791110.8900000006</v>
      </c>
      <c r="L9" s="119">
        <v>6055313.9699999997</v>
      </c>
      <c r="M9" s="119">
        <v>5712463.54</v>
      </c>
      <c r="N9" s="119">
        <v>5563102.9400000004</v>
      </c>
      <c r="O9" s="119">
        <v>5530345.9199999999</v>
      </c>
    </row>
    <row r="10" spans="1:15" ht="15" x14ac:dyDescent="0.25">
      <c r="J10" s="118"/>
      <c r="K10" s="117"/>
      <c r="L10" s="117"/>
      <c r="M10" s="117"/>
      <c r="N10" s="117"/>
      <c r="O10" s="117"/>
    </row>
    <row r="11" spans="1:15" ht="15" x14ac:dyDescent="0.25">
      <c r="A11" s="200" t="s">
        <v>448</v>
      </c>
      <c r="B11" s="200"/>
      <c r="C11" s="200"/>
      <c r="D11" s="200"/>
      <c r="E11" s="200"/>
      <c r="G11" s="95"/>
      <c r="J11" s="200" t="s">
        <v>448</v>
      </c>
      <c r="K11" s="200"/>
      <c r="L11" s="200"/>
      <c r="M11" s="200"/>
      <c r="O11" s="114"/>
    </row>
    <row r="12" spans="1:15" ht="15" x14ac:dyDescent="0.25">
      <c r="A12" s="111"/>
      <c r="B12" s="111" t="s">
        <v>3</v>
      </c>
      <c r="C12" s="111" t="s">
        <v>4</v>
      </c>
      <c r="D12" s="111" t="s">
        <v>5</v>
      </c>
      <c r="E12" s="111" t="s">
        <v>6</v>
      </c>
      <c r="G12" s="95"/>
      <c r="J12" s="111"/>
      <c r="K12" s="111" t="s">
        <v>3</v>
      </c>
      <c r="L12" s="111" t="s">
        <v>4</v>
      </c>
      <c r="M12" s="111" t="s">
        <v>5</v>
      </c>
      <c r="N12" s="114"/>
      <c r="O12" s="114"/>
    </row>
    <row r="13" spans="1:15" ht="15" x14ac:dyDescent="0.25">
      <c r="A13" s="108" t="s">
        <v>437</v>
      </c>
      <c r="B13" s="97">
        <f t="shared" ref="B13:E17" si="0">(B3/C3)-1</f>
        <v>0.16888336554800887</v>
      </c>
      <c r="C13" s="116">
        <f t="shared" si="0"/>
        <v>-0.13821075546039452</v>
      </c>
      <c r="D13" s="97">
        <f t="shared" si="0"/>
        <v>0.39477222801415746</v>
      </c>
      <c r="E13" s="97">
        <f t="shared" si="0"/>
        <v>-0.23750882680460117</v>
      </c>
      <c r="G13" s="95"/>
      <c r="J13" s="115" t="s">
        <v>438</v>
      </c>
      <c r="K13" s="97">
        <f t="shared" ref="K13:M19" si="1">(K3/L3)-1</f>
        <v>1.5782661481456937</v>
      </c>
      <c r="L13" s="97">
        <f t="shared" si="1"/>
        <v>-0.21250625688109737</v>
      </c>
      <c r="M13" s="97">
        <f t="shared" si="1"/>
        <v>0.54541746775313182</v>
      </c>
      <c r="N13" s="114"/>
      <c r="O13" s="114"/>
    </row>
    <row r="14" spans="1:15" ht="15" x14ac:dyDescent="0.25">
      <c r="A14" s="108" t="s">
        <v>439</v>
      </c>
      <c r="B14" s="97">
        <f t="shared" si="0"/>
        <v>1.0006970722712012</v>
      </c>
      <c r="C14" s="147">
        <f t="shared" si="0"/>
        <v>-1.5313674439563572</v>
      </c>
      <c r="D14" s="148">
        <f t="shared" si="0"/>
        <v>-57.595236858295067</v>
      </c>
      <c r="E14" s="97">
        <f t="shared" si="0"/>
        <v>0.2277789675490991</v>
      </c>
      <c r="G14" s="95"/>
      <c r="J14" s="108" t="s">
        <v>440</v>
      </c>
      <c r="K14" s="97">
        <f t="shared" si="1"/>
        <v>1.2057514240840637</v>
      </c>
      <c r="L14" s="97">
        <f t="shared" si="1"/>
        <v>-8.6210754997753214E-2</v>
      </c>
      <c r="M14" s="97">
        <f t="shared" si="1"/>
        <v>0.10800705427972246</v>
      </c>
      <c r="N14" s="114"/>
      <c r="O14" s="114"/>
    </row>
    <row r="15" spans="1:15" ht="15" x14ac:dyDescent="0.25">
      <c r="A15" s="108" t="s">
        <v>441</v>
      </c>
      <c r="B15" s="97">
        <f t="shared" si="0"/>
        <v>-0.32799755937399855</v>
      </c>
      <c r="C15" s="97">
        <f t="shared" si="0"/>
        <v>0.11415547870126885</v>
      </c>
      <c r="D15" s="97">
        <f t="shared" si="0"/>
        <v>-0.11429642063214107</v>
      </c>
      <c r="E15" s="97">
        <f t="shared" si="0"/>
        <v>0.17715988058242216</v>
      </c>
      <c r="G15" s="95"/>
      <c r="J15" s="108" t="s">
        <v>442</v>
      </c>
      <c r="K15" s="97">
        <f t="shared" si="1"/>
        <v>3.4130404163230192</v>
      </c>
      <c r="L15" s="98">
        <f t="shared" si="1"/>
        <v>-1.4855578554316533</v>
      </c>
      <c r="M15" s="97">
        <f t="shared" si="1"/>
        <v>-63.707921677622679</v>
      </c>
      <c r="N15" s="114"/>
      <c r="O15" s="114"/>
    </row>
    <row r="16" spans="1:15" ht="15" x14ac:dyDescent="0.25">
      <c r="A16" s="108" t="s">
        <v>443</v>
      </c>
      <c r="B16" s="97">
        <f t="shared" si="0"/>
        <v>6.4610173786462832E-2</v>
      </c>
      <c r="C16" s="98">
        <f t="shared" si="0"/>
        <v>4.4992629836254885</v>
      </c>
      <c r="D16" s="97">
        <f t="shared" si="0"/>
        <v>-0.72596075601544696</v>
      </c>
      <c r="E16" s="97">
        <f t="shared" si="0"/>
        <v>-0.16811097132252617</v>
      </c>
      <c r="G16" s="95"/>
      <c r="J16" s="108" t="s">
        <v>410</v>
      </c>
      <c r="K16" s="97">
        <f t="shared" si="1"/>
        <v>0.48227034039876915</v>
      </c>
      <c r="L16" s="97">
        <f t="shared" si="1"/>
        <v>1.8103293697549372E-2</v>
      </c>
      <c r="M16" s="97">
        <f t="shared" si="1"/>
        <v>-1.8634186059612423E-2</v>
      </c>
      <c r="N16" s="114"/>
      <c r="O16" s="114"/>
    </row>
    <row r="17" spans="1:15" ht="15" x14ac:dyDescent="0.25">
      <c r="A17" s="108" t="s">
        <v>444</v>
      </c>
      <c r="B17" s="97">
        <f t="shared" si="0"/>
        <v>-0.26694133002358811</v>
      </c>
      <c r="C17" s="97">
        <f t="shared" si="0"/>
        <v>0.16002455665332538</v>
      </c>
      <c r="D17" s="97">
        <f t="shared" si="0"/>
        <v>-7.324738623936522E-2</v>
      </c>
      <c r="E17" s="97">
        <f t="shared" si="0"/>
        <v>0.23505127578756557</v>
      </c>
      <c r="G17" s="95"/>
      <c r="J17" s="108" t="s">
        <v>445</v>
      </c>
      <c r="K17" s="97">
        <f t="shared" si="1"/>
        <v>1.2640437866548644</v>
      </c>
      <c r="L17" s="98">
        <f t="shared" si="1"/>
        <v>1.6580436750373218</v>
      </c>
      <c r="M17" s="98">
        <f t="shared" si="1"/>
        <v>-0.53715160706669396</v>
      </c>
      <c r="N17" s="114"/>
      <c r="O17" s="114"/>
    </row>
    <row r="18" spans="1:15" ht="15" x14ac:dyDescent="0.25">
      <c r="G18" s="95"/>
      <c r="J18" s="108" t="s">
        <v>446</v>
      </c>
      <c r="K18" s="97">
        <f t="shared" si="1"/>
        <v>1.1266411334417521</v>
      </c>
      <c r="L18" s="98">
        <f t="shared" si="1"/>
        <v>-0.51665456208370697</v>
      </c>
      <c r="M18" s="98">
        <f t="shared" si="1"/>
        <v>0.68898580438134549</v>
      </c>
      <c r="N18" s="114"/>
      <c r="O18" s="114"/>
    </row>
    <row r="19" spans="1:15" ht="15" x14ac:dyDescent="0.25">
      <c r="G19" s="109"/>
      <c r="J19" s="108" t="s">
        <v>447</v>
      </c>
      <c r="K19" s="97">
        <f t="shared" si="1"/>
        <v>0.61694520523764029</v>
      </c>
      <c r="L19" s="97">
        <f t="shared" si="1"/>
        <v>6.0017963808308039E-2</v>
      </c>
      <c r="M19" s="97">
        <f t="shared" si="1"/>
        <v>2.6848433618954282E-2</v>
      </c>
    </row>
    <row r="20" spans="1:15" x14ac:dyDescent="0.2">
      <c r="F20" s="113"/>
      <c r="G20" s="109"/>
    </row>
    <row r="21" spans="1:15" x14ac:dyDescent="0.2">
      <c r="A21" s="112"/>
      <c r="B21" s="111" t="s">
        <v>3</v>
      </c>
      <c r="C21" s="111" t="s">
        <v>4</v>
      </c>
      <c r="D21" s="111" t="s">
        <v>5</v>
      </c>
      <c r="E21" s="111" t="s">
        <v>6</v>
      </c>
      <c r="F21" s="110" t="s">
        <v>7</v>
      </c>
      <c r="G21" s="109"/>
    </row>
    <row r="22" spans="1:15" x14ac:dyDescent="0.2">
      <c r="A22" s="108" t="s">
        <v>449</v>
      </c>
      <c r="B22" s="107">
        <f>0.717*B3+0.847*B4+3.107*B5+0.42*B6+0.998*B7</f>
        <v>3.8538968698525786</v>
      </c>
      <c r="C22" s="105">
        <f>0.717*C3+0.847*C4+3.107*C5+0.42*C6+0.998*C7</f>
        <v>4.833064963941613</v>
      </c>
      <c r="D22" s="106">
        <f>0.717*D3+0.847*D4+3.107*D5+0.42*D6+0.998*D7</f>
        <v>3.6479980271791401</v>
      </c>
      <c r="E22" s="105">
        <f>0.717*E3+0.847*E4+3.107*E5+0.42*E6+0.998*E7</f>
        <v>4.383432047439527</v>
      </c>
      <c r="F22" s="104">
        <f>0.717*F3+0.847*F4+3.107*F5+0.42*F6+0.998*F7</f>
        <v>3.8763204720815043</v>
      </c>
      <c r="G22" s="103"/>
    </row>
    <row r="23" spans="1:15" x14ac:dyDescent="0.2">
      <c r="A23" s="101"/>
      <c r="B23" s="100"/>
      <c r="C23" s="102"/>
      <c r="D23" s="101"/>
      <c r="E23" s="100"/>
      <c r="F23" s="100"/>
    </row>
    <row r="24" spans="1:15" ht="15" x14ac:dyDescent="0.25">
      <c r="A24" s="99" t="s">
        <v>448</v>
      </c>
      <c r="B24" s="97">
        <f>(B22/C22)-1</f>
        <v>-0.20259775140503644</v>
      </c>
      <c r="C24" s="98">
        <f>(C22/D22)-1</f>
        <v>0.32485405088852004</v>
      </c>
      <c r="D24" s="97">
        <f>(D22/E22)-1</f>
        <v>-0.16777584602685292</v>
      </c>
      <c r="E24" s="97">
        <f>(E22-F22)-1</f>
        <v>-0.49288842464197735</v>
      </c>
      <c r="F24" s="97">
        <f>(F22/F22)-1</f>
        <v>0</v>
      </c>
    </row>
    <row r="26" spans="1:15" ht="15" x14ac:dyDescent="0.25">
      <c r="K26" s="96"/>
      <c r="L26" s="96"/>
      <c r="M26" s="96"/>
    </row>
    <row r="27" spans="1:15" ht="15" x14ac:dyDescent="0.25">
      <c r="K27" s="96"/>
    </row>
    <row r="29" spans="1:15" x14ac:dyDescent="0.2">
      <c r="G29" s="95"/>
    </row>
    <row r="30" spans="1:15" x14ac:dyDescent="0.2">
      <c r="E30" s="92">
        <v>2.9</v>
      </c>
    </row>
    <row r="31" spans="1:15" ht="15.75" x14ac:dyDescent="0.25">
      <c r="B31" s="94" t="s">
        <v>450</v>
      </c>
    </row>
    <row r="32" spans="1:15" ht="15" x14ac:dyDescent="0.25">
      <c r="B32" s="93" t="s">
        <v>451</v>
      </c>
    </row>
  </sheetData>
  <mergeCells count="2">
    <mergeCell ref="A11:E11"/>
    <mergeCell ref="J11:M1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20FAD-5AD9-4402-8287-32B1638F3A13}">
  <dimension ref="A1:M114"/>
  <sheetViews>
    <sheetView showGridLines="0" topLeftCell="A14" zoomScaleNormal="100" workbookViewId="0">
      <selection activeCell="A17" sqref="A17:F24"/>
    </sheetView>
  </sheetViews>
  <sheetFormatPr defaultRowHeight="15" x14ac:dyDescent="0.25"/>
  <cols>
    <col min="1" max="1" width="35.7109375" bestFit="1" customWidth="1"/>
    <col min="2" max="6" width="11.7109375" bestFit="1" customWidth="1"/>
    <col min="7" max="7" width="18" bestFit="1" customWidth="1"/>
    <col min="8" max="8" width="41.7109375" bestFit="1" customWidth="1"/>
    <col min="9" max="13" width="12.85546875" bestFit="1" customWidth="1"/>
    <col min="14" max="14" width="13" customWidth="1"/>
    <col min="15" max="15" width="12.85546875" bestFit="1" customWidth="1"/>
  </cols>
  <sheetData>
    <row r="1" spans="1:13" ht="20.25" customHeight="1" x14ac:dyDescent="0.25">
      <c r="A1" s="201" t="s">
        <v>452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</row>
    <row r="2" spans="1:13" ht="20.25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</row>
    <row r="3" spans="1:13" ht="20.25" customHeight="1" x14ac:dyDescent="0.25">
      <c r="B3" s="203" t="s">
        <v>453</v>
      </c>
      <c r="C3" s="204"/>
      <c r="D3" s="204"/>
      <c r="E3" s="204"/>
      <c r="F3" s="204"/>
      <c r="H3" s="206" t="s">
        <v>454</v>
      </c>
      <c r="I3" s="207"/>
      <c r="J3" s="207"/>
      <c r="K3" s="207"/>
      <c r="L3" s="207"/>
      <c r="M3" s="208"/>
    </row>
    <row r="4" spans="1:13" ht="20.25" customHeight="1" x14ac:dyDescent="0.25">
      <c r="A4" s="21" t="s">
        <v>455</v>
      </c>
      <c r="B4" s="11" t="str">
        <f>Rácios!D5</f>
        <v>31/12/2020</v>
      </c>
      <c r="C4" s="11" t="str">
        <f>Rácios!G5</f>
        <v>31/12/2019</v>
      </c>
      <c r="D4" s="11" t="str">
        <f>Rácios!J5</f>
        <v>31/12/2018</v>
      </c>
      <c r="E4" s="11" t="str">
        <f>Rácios!M5</f>
        <v>31/12/2017</v>
      </c>
      <c r="F4" s="11" t="str">
        <f>Rácios!P5</f>
        <v>31/12/2016</v>
      </c>
      <c r="H4" s="34"/>
      <c r="I4" s="11" t="s">
        <v>3</v>
      </c>
      <c r="J4" s="11" t="s">
        <v>4</v>
      </c>
      <c r="K4" s="11" t="s">
        <v>5</v>
      </c>
      <c r="L4" s="11" t="s">
        <v>6</v>
      </c>
      <c r="M4" s="11" t="s">
        <v>7</v>
      </c>
    </row>
    <row r="5" spans="1:13" ht="20.25" customHeight="1" x14ac:dyDescent="0.25">
      <c r="A5" s="11" t="s">
        <v>456</v>
      </c>
      <c r="B5" s="10">
        <f>MC_2020/(MC_2020+CV_2020)</f>
        <v>0.65295147178135993</v>
      </c>
      <c r="C5" s="10">
        <f>MC_2019/(MC_2019+CV_2019)</f>
        <v>0.81543863480294476</v>
      </c>
      <c r="D5" s="10">
        <f>MC_2018/(MC_2018+CV_2018)</f>
        <v>0.80962902565851647</v>
      </c>
      <c r="E5" s="10">
        <f>MC_2017/(MC_2017+CV_2017)</f>
        <v>0.80461932509197831</v>
      </c>
      <c r="F5" s="10">
        <f>MC_2016/(MC_2016+CV_2016)</f>
        <v>0.8020790135312188</v>
      </c>
      <c r="H5" s="21" t="s">
        <v>457</v>
      </c>
      <c r="I5" s="18">
        <f>Balanço_DR!C89</f>
        <v>9791110.8900000006</v>
      </c>
      <c r="J5" s="18">
        <f>Balanço_DR!F89</f>
        <v>6055313.9699999997</v>
      </c>
      <c r="K5" s="18">
        <f>Balanço_DR!I89</f>
        <v>5712463.54</v>
      </c>
      <c r="L5" s="18">
        <f>Balanço_DR!L89</f>
        <v>5563102.9400000004</v>
      </c>
      <c r="M5" s="18">
        <f>Balanço_DR!O89</f>
        <v>5530345.9199999999</v>
      </c>
    </row>
    <row r="6" spans="1:13" ht="20.25" customHeight="1" x14ac:dyDescent="0.25">
      <c r="A6" s="11" t="s">
        <v>458</v>
      </c>
      <c r="B6" s="10">
        <f>RO_2020/MC_2020</f>
        <v>0.39888012502469644</v>
      </c>
      <c r="C6" s="10">
        <f>RO_2019/MC_2019</f>
        <v>0.34841751696818862</v>
      </c>
      <c r="D6" s="10">
        <f>RO_2018/MC_2018</f>
        <v>0.36545646594006653</v>
      </c>
      <c r="E6" s="10">
        <f>RO_2017/MC_2017</f>
        <v>0.38517046427362817</v>
      </c>
      <c r="F6" s="10">
        <f>RO_2016/MC_2016</f>
        <v>0.40487440028510013</v>
      </c>
      <c r="H6" s="21" t="s">
        <v>459</v>
      </c>
      <c r="I6" s="18">
        <f>Balanço_DR!C94+(Balanço_DR!C95*0.3)</f>
        <v>3397990.6239999998</v>
      </c>
      <c r="J6" s="18">
        <f>Balanço_DR!F94+(Balanço_DR!F95*0.3)</f>
        <v>1117577.013</v>
      </c>
      <c r="K6" s="18">
        <f>Balanço_DR!I94+(Balanço_DR!I95*0.3)</f>
        <v>1087487.25</v>
      </c>
      <c r="L6" s="18">
        <f>Balanço_DR!L94+(Balanço_DR!L95*0.3)</f>
        <v>1086922.807</v>
      </c>
      <c r="M6" s="18">
        <f>Balanço_DR!O94+(Balanço_DR!O95*0.3)</f>
        <v>1094571.52</v>
      </c>
    </row>
    <row r="7" spans="1:13" ht="20.25" customHeight="1" x14ac:dyDescent="0.25">
      <c r="A7" s="11" t="s">
        <v>460</v>
      </c>
      <c r="B7" s="10">
        <f>rotacaoAtivo2020_percentagem/100</f>
        <v>1.52556</v>
      </c>
      <c r="C7" s="10">
        <f>rotacaoAtivo2019_percentagem/100</f>
        <v>2.0810900000000001</v>
      </c>
      <c r="D7" s="10">
        <f>rotacaoAtivo2018_percentagem/100</f>
        <v>1.794</v>
      </c>
      <c r="E7" s="10">
        <f>rotacaoAtivo2017_percentagem/100</f>
        <v>1.9357900000000001</v>
      </c>
      <c r="F7" s="10">
        <f>rotacaoAtivo2016_percentagem/100</f>
        <v>1.56738</v>
      </c>
      <c r="H7" s="21" t="s">
        <v>461</v>
      </c>
      <c r="I7" s="18">
        <f>Balanço_DR!C89-'Análise_Rendibilidade_Risco v.2'!I6</f>
        <v>6393120.2660000008</v>
      </c>
      <c r="J7" s="18">
        <f>Balanço_DR!F89-'Análise_Rendibilidade_Risco v.2'!J6</f>
        <v>4937736.9569999995</v>
      </c>
      <c r="K7" s="18">
        <f>Balanço_DR!I89-'Análise_Rendibilidade_Risco v.2'!K6</f>
        <v>4624976.29</v>
      </c>
      <c r="L7" s="18">
        <f>Balanço_DR!L89-'Análise_Rendibilidade_Risco v.2'!L6</f>
        <v>4476180.1330000004</v>
      </c>
      <c r="M7" s="18">
        <f>Balanço_DR!O89-'Análise_Rendibilidade_Risco v.2'!M6</f>
        <v>4435774.4000000004</v>
      </c>
    </row>
    <row r="8" spans="1:13" ht="20.25" customHeight="1" x14ac:dyDescent="0.25">
      <c r="A8" s="11" t="s">
        <v>462</v>
      </c>
      <c r="B8" s="20">
        <f>ECV_2020*ECF_2020*RotAtivo2020</f>
        <v>0.39733113281052435</v>
      </c>
      <c r="C8" s="20">
        <f>ECV_2019*ECF_2019*RotAtivo2019</f>
        <v>0.59126494038995281</v>
      </c>
      <c r="D8" s="20">
        <f>ECV_2018*ECF_2018*RotAtivo2018</f>
        <v>0.53081618741675163</v>
      </c>
      <c r="E8" s="20">
        <f>ECV_2017*ECF_2017*RotAtivo2017</f>
        <v>0.59993151740603989</v>
      </c>
      <c r="F8" s="20">
        <f>ECV_2016*ECF_2016*RotAtivo2016</f>
        <v>0.50899295544789369</v>
      </c>
      <c r="H8" s="21" t="s">
        <v>463</v>
      </c>
      <c r="I8" s="18">
        <f>0.7*Balanço_DR!C95+Balanço_DR!C96-Balanço_DR!C103+Balanço_DR!C104+Balanço_DR!C106-Balanço_DR!C90</f>
        <v>3843031.6549999998</v>
      </c>
      <c r="J8" s="18">
        <f>0.7*Balanço_DR!F95+Balanço_DR!F96-Balanço_DR!F103+Balanço_DR!F104+Balanço_DR!F106-Balanço_DR!F90</f>
        <v>3217342.9070000001</v>
      </c>
      <c r="K8" s="18">
        <f>0.7*Balanço_DR!I95+Balanço_DR!I96-Balanço_DR!I103+Balanço_DR!I104+Balanço_DR!I106-Balanço_DR!I90</f>
        <v>2934748.8</v>
      </c>
      <c r="L8" s="18">
        <f>0.7*Balanço_DR!L95+Balanço_DR!L96-Balanço_DR!L103+Balanço_DR!L104+Balanço_DR!L106-Balanço_DR!L90</f>
        <v>2752087.7529999996</v>
      </c>
      <c r="M8" s="18">
        <f>0.7*Balanço_DR!O95+Balanço_DR!O96-Balanço_DR!O103+Balanço_DR!O104+Balanço_DR!O106-Balanço_DR!O90</f>
        <v>2639842.9000000004</v>
      </c>
    </row>
    <row r="9" spans="1:13" ht="20.25" customHeight="1" x14ac:dyDescent="0.25">
      <c r="A9" s="11" t="s">
        <v>464</v>
      </c>
      <c r="B9" s="10">
        <f>RAI_2020/RO_2020</f>
        <v>0.99865394834313037</v>
      </c>
      <c r="C9" s="10">
        <f>RAI_2019/RO_2019</f>
        <v>0.99411316843370889</v>
      </c>
      <c r="D9" s="10">
        <f>RAI_2018/RO_2018</f>
        <v>0.99836567561683653</v>
      </c>
      <c r="E9" s="10">
        <f>RAI_2017/RO_2017</f>
        <v>0.99227971183307417</v>
      </c>
      <c r="F9" s="10">
        <f>RAI_2016/RO_2016</f>
        <v>0.99747661311135749</v>
      </c>
      <c r="H9" s="21" t="s">
        <v>465</v>
      </c>
      <c r="I9" s="18">
        <f>I7-I8</f>
        <v>2550088.611000001</v>
      </c>
      <c r="J9" s="18">
        <f t="shared" ref="J9:M9" si="0">J7-J8</f>
        <v>1720394.0499999993</v>
      </c>
      <c r="K9" s="18">
        <f t="shared" si="0"/>
        <v>1690227.4900000002</v>
      </c>
      <c r="L9" s="18">
        <f t="shared" si="0"/>
        <v>1724092.3800000008</v>
      </c>
      <c r="M9" s="18">
        <f t="shared" si="0"/>
        <v>1795931.5</v>
      </c>
    </row>
    <row r="10" spans="1:13" ht="20.25" customHeight="1" x14ac:dyDescent="0.25">
      <c r="A10" s="11" t="s">
        <v>466</v>
      </c>
      <c r="B10" s="10">
        <f>1/(Rácios!C11/100)</f>
        <v>1.6921619060511712</v>
      </c>
      <c r="C10" s="10">
        <f>1/(Rácios!F11/100)</f>
        <v>1.7368951262722756</v>
      </c>
      <c r="D10" s="10">
        <f>1/(Rácios!I11/100)</f>
        <v>5.0522912140655789</v>
      </c>
      <c r="E10" s="10">
        <f>1/(Rácios!L11/100)</f>
        <v>2.1105060993626275</v>
      </c>
      <c r="F10" s="10">
        <f>1/(Rácios!O11/100)</f>
        <v>1.9238168526356294</v>
      </c>
      <c r="H10" s="21" t="s">
        <v>467</v>
      </c>
      <c r="I10" s="18">
        <f>Balanço_DR!C111</f>
        <v>2546656.06</v>
      </c>
      <c r="J10" s="18">
        <f>Balanço_DR!F111</f>
        <v>1710266.38</v>
      </c>
      <c r="K10" s="18">
        <f>Balanço_DR!I111</f>
        <v>1687465.11</v>
      </c>
      <c r="L10" s="18">
        <f>Balanço_DR!L111</f>
        <v>1710781.89</v>
      </c>
      <c r="M10" s="18">
        <f>Balanço_DR!O111</f>
        <v>1791399.67</v>
      </c>
    </row>
    <row r="11" spans="1:13" ht="20.25" customHeight="1" x14ac:dyDescent="0.25">
      <c r="A11" s="15" t="s">
        <v>468</v>
      </c>
      <c r="B11" s="20">
        <f>EEF_2020*EstruFinan_2020</f>
        <v>1.6898841687138393</v>
      </c>
      <c r="C11" s="20">
        <f>EEF_2019*EstruFinan_2019</f>
        <v>1.7266703172155988</v>
      </c>
      <c r="D11" s="20">
        <f>EEF_2018*EstruFinan_2018</f>
        <v>5.0440341313435892</v>
      </c>
      <c r="E11" s="20">
        <f>EEF_2017*EstruFinan_2017</f>
        <v>2.0942123840974936</v>
      </c>
      <c r="F11" s="20">
        <f>EEF_2016*EstruFinan_2016</f>
        <v>1.9189623184135391</v>
      </c>
    </row>
    <row r="12" spans="1:13" ht="20.25" customHeight="1" x14ac:dyDescent="0.25">
      <c r="A12" s="11" t="s">
        <v>469</v>
      </c>
      <c r="B12" s="20">
        <f>Balanço_DR!C113/Balanço_DR!C111</f>
        <v>0.88605451888151709</v>
      </c>
      <c r="C12" s="20">
        <f>Balanço_DR!F113/Balanço_DR!F111</f>
        <v>0.75718742129515526</v>
      </c>
      <c r="D12" s="20">
        <f>Balanço_DR!I113/Balanço_DR!I111</f>
        <v>0.76229349121179746</v>
      </c>
      <c r="E12" s="20">
        <f>Balanço_DR!L113/Balanço_DR!L111</f>
        <v>0.75708006822541252</v>
      </c>
      <c r="F12" s="20">
        <f>Balanço_DR!O113/Balanço_DR!O111</f>
        <v>0.98671297064602015</v>
      </c>
      <c r="H12" s="203" t="s">
        <v>470</v>
      </c>
      <c r="I12" s="204"/>
      <c r="J12" s="204"/>
      <c r="K12" s="204"/>
      <c r="L12" s="204"/>
      <c r="M12" s="204"/>
    </row>
    <row r="13" spans="1:13" ht="20.25" customHeight="1" x14ac:dyDescent="0.25">
      <c r="A13" s="27" t="s">
        <v>471</v>
      </c>
      <c r="B13" s="28">
        <f>Operações_2020*EfeitoAlavan_2020*EfeitoFiscal_2020</f>
        <v>0.59493562804483313</v>
      </c>
      <c r="C13" s="28">
        <f>Operações_2019*EfeitoAlavan_2019*EfeitoFiscal_2019</f>
        <v>0.77302749606929622</v>
      </c>
      <c r="D13" s="28">
        <f>Operações_2018*EfeitoAlavan_2018*EfeitoFiscal_2018</f>
        <v>2.0410064942041641</v>
      </c>
      <c r="E13" s="28">
        <f>Operações_2017*EfeitoAlavan_2017*EfeitoFiscal_2017</f>
        <v>0.9511832945535188</v>
      </c>
      <c r="F13" s="28">
        <f>Operações_2016*EfeitoAlavan_2016*EfeitoFiscal_2016</f>
        <v>0.96376035135471227</v>
      </c>
      <c r="H13" s="22"/>
      <c r="I13" s="11" t="s">
        <v>3</v>
      </c>
      <c r="J13" s="11" t="s">
        <v>4</v>
      </c>
      <c r="K13" s="11" t="s">
        <v>5</v>
      </c>
      <c r="L13" s="11" t="s">
        <v>6</v>
      </c>
      <c r="M13" s="11" t="s">
        <v>7</v>
      </c>
    </row>
    <row r="14" spans="1:13" ht="20.25" customHeight="1" x14ac:dyDescent="0.25">
      <c r="A14" s="23" t="s">
        <v>472</v>
      </c>
      <c r="B14" s="24">
        <v>0.59493279785732334</v>
      </c>
      <c r="C14" s="24">
        <v>0.77302567875893946</v>
      </c>
      <c r="D14" s="24">
        <v>2.0409828707752009</v>
      </c>
      <c r="E14" s="24">
        <v>0.9511792490584291</v>
      </c>
      <c r="F14" s="24">
        <v>0.96374696413310945</v>
      </c>
      <c r="G14" s="32"/>
      <c r="H14" s="15" t="s">
        <v>473</v>
      </c>
      <c r="I14" s="16">
        <f>B5</f>
        <v>0.65295147178135993</v>
      </c>
      <c r="J14" s="16">
        <f>C5</f>
        <v>0.81543863480294476</v>
      </c>
      <c r="K14" s="16">
        <f>D5</f>
        <v>0.80962902565851647</v>
      </c>
      <c r="L14" s="16">
        <f>E5</f>
        <v>0.80461932509197831</v>
      </c>
      <c r="M14" s="16">
        <f>F5</f>
        <v>0.8020790135312188</v>
      </c>
    </row>
    <row r="15" spans="1:13" ht="20.25" customHeight="1" x14ac:dyDescent="0.25">
      <c r="A15" s="25" t="s">
        <v>474</v>
      </c>
      <c r="B15" s="26">
        <v>0.27900000000000003</v>
      </c>
      <c r="C15" s="26">
        <v>0.16500000000000001</v>
      </c>
      <c r="D15" s="26">
        <v>8.4000000000000005E-2</v>
      </c>
      <c r="E15" s="26">
        <v>0.10100000000000001</v>
      </c>
      <c r="F15" s="26">
        <v>0.152</v>
      </c>
      <c r="H15" s="23" t="s">
        <v>475</v>
      </c>
      <c r="I15" s="24" t="s">
        <v>476</v>
      </c>
      <c r="J15" s="24" t="s">
        <v>476</v>
      </c>
      <c r="K15" s="24" t="s">
        <v>476</v>
      </c>
      <c r="L15" s="24" t="s">
        <v>476</v>
      </c>
      <c r="M15" s="24" t="s">
        <v>476</v>
      </c>
    </row>
    <row r="16" spans="1:13" ht="20.25" customHeight="1" x14ac:dyDescent="0.25">
      <c r="H16" s="25" t="s">
        <v>477</v>
      </c>
      <c r="I16" s="26">
        <v>0.438</v>
      </c>
      <c r="J16" s="26">
        <v>0.218</v>
      </c>
      <c r="K16" s="26">
        <v>0.21099999999999999</v>
      </c>
      <c r="L16" s="26">
        <v>0.21299999999999999</v>
      </c>
      <c r="M16" s="26">
        <v>0.216</v>
      </c>
    </row>
    <row r="17" spans="1:13" ht="20.25" customHeight="1" x14ac:dyDescent="0.25">
      <c r="A17" s="201" t="s">
        <v>478</v>
      </c>
      <c r="B17" s="201"/>
      <c r="C17" s="201"/>
      <c r="D17" s="201"/>
      <c r="E17" s="201"/>
      <c r="F17" s="201"/>
      <c r="H17" s="15" t="s">
        <v>479</v>
      </c>
      <c r="I17" s="16">
        <f>I14*B6</f>
        <v>0.26044936469920837</v>
      </c>
      <c r="J17" s="16">
        <f>J14*C6</f>
        <v>0.28411310437797155</v>
      </c>
      <c r="K17" s="16">
        <f>K14*D6</f>
        <v>0.29588416243966087</v>
      </c>
      <c r="L17" s="16">
        <f>L14*E6</f>
        <v>0.30991559900921062</v>
      </c>
      <c r="M17" s="16">
        <f>M14*F6</f>
        <v>0.32474125958471695</v>
      </c>
    </row>
    <row r="18" spans="1:13" ht="20.25" customHeight="1" x14ac:dyDescent="0.25">
      <c r="A18" s="201"/>
      <c r="B18" s="202"/>
      <c r="C18" s="202"/>
      <c r="D18" s="202"/>
      <c r="E18" s="202"/>
      <c r="F18" s="202"/>
      <c r="H18" s="23" t="s">
        <v>480</v>
      </c>
      <c r="I18" s="24">
        <f>Rácios!C53/100</f>
        <v>0.26044</v>
      </c>
      <c r="J18" s="24">
        <f>Rácios!F53/100</f>
        <v>0.28411000000000003</v>
      </c>
      <c r="K18" s="24">
        <f>Rácios!I53/100</f>
        <v>0.29580000000000001</v>
      </c>
      <c r="L18" s="24">
        <f>Rácios!L53/100</f>
        <v>0.30951000000000001</v>
      </c>
      <c r="M18" s="24">
        <f>Rácios!O53/100</f>
        <v>0.32473999999999997</v>
      </c>
    </row>
    <row r="19" spans="1:13" ht="20.25" customHeight="1" x14ac:dyDescent="0.25">
      <c r="A19" s="31"/>
      <c r="B19" s="30" t="s">
        <v>3</v>
      </c>
      <c r="C19" s="17" t="s">
        <v>4</v>
      </c>
      <c r="D19" s="17" t="s">
        <v>5</v>
      </c>
      <c r="E19" s="17" t="s">
        <v>6</v>
      </c>
      <c r="F19" s="17" t="s">
        <v>7</v>
      </c>
      <c r="H19" s="25" t="s">
        <v>481</v>
      </c>
      <c r="I19" s="26">
        <v>0.22500000000000001</v>
      </c>
      <c r="J19" s="26">
        <v>6.3E-2</v>
      </c>
      <c r="K19" s="26">
        <v>6.7000000000000004E-2</v>
      </c>
      <c r="L19" s="26">
        <v>7.0999999999999994E-2</v>
      </c>
      <c r="M19" s="26">
        <v>6.5000000000000002E-2</v>
      </c>
    </row>
    <row r="20" spans="1:13" ht="20.25" customHeight="1" x14ac:dyDescent="0.25">
      <c r="A20" s="12" t="s">
        <v>482</v>
      </c>
      <c r="B20" s="10">
        <f>ROUND(1/ECF_2020,4)</f>
        <v>2.5070000000000001</v>
      </c>
      <c r="C20" s="10">
        <f>ROUND(1/ECF_2019,4)</f>
        <v>2.8700999999999999</v>
      </c>
      <c r="D20" s="10">
        <f>ROUND(1/ECF_2018,4)</f>
        <v>2.7363</v>
      </c>
      <c r="E20" s="10">
        <f>ROUND(1/ECF_2017,4)</f>
        <v>2.5962999999999998</v>
      </c>
      <c r="F20" s="10">
        <f>ROUND(1/ECF_2016,4)</f>
        <v>2.4699</v>
      </c>
      <c r="H20" s="15" t="s">
        <v>483</v>
      </c>
      <c r="I20" s="16">
        <f>I17*B9</f>
        <v>0.26009878640032436</v>
      </c>
      <c r="J20" s="16">
        <f>J17*C9</f>
        <v>0.28244057838672232</v>
      </c>
      <c r="K20" s="16">
        <f>K17*D9</f>
        <v>0.29540059173839384</v>
      </c>
      <c r="L20" s="16">
        <f>L17*E9</f>
        <v>0.30752296127743406</v>
      </c>
      <c r="M20" s="16">
        <f>M17*F9</f>
        <v>0.3239218117480796</v>
      </c>
    </row>
    <row r="21" spans="1:13" ht="20.25" customHeight="1" x14ac:dyDescent="0.25">
      <c r="A21" s="11" t="s">
        <v>484</v>
      </c>
      <c r="B21" s="10">
        <f>ROUND(1/EEF_2020,4)</f>
        <v>1.0013000000000001</v>
      </c>
      <c r="C21" s="10">
        <f>ROUND(1/EEF_2019,4)</f>
        <v>1.0059</v>
      </c>
      <c r="D21" s="10">
        <f>ROUND(1/EEF_2018,4)</f>
        <v>1.0016</v>
      </c>
      <c r="E21" s="10">
        <f>ROUND(1/EEF_2017,4)</f>
        <v>1.0078</v>
      </c>
      <c r="F21" s="10">
        <f>ROUND(1/EEF_2016,4)</f>
        <v>1.0024999999999999</v>
      </c>
      <c r="H21" s="23" t="s">
        <v>485</v>
      </c>
      <c r="I21" s="24">
        <f>Balanço_DR!C111/Balanço_DR!C89</f>
        <v>0.26009878640032436</v>
      </c>
      <c r="J21" s="24">
        <f>Balanço_DR!F111/Balanço_DR!F89</f>
        <v>0.28244057838672237</v>
      </c>
      <c r="K21" s="24">
        <f>Balanço_DR!I111/Balanço_DR!I89</f>
        <v>0.29540059173839384</v>
      </c>
      <c r="L21" s="24">
        <f>Balanço_DR!L111/Balanço_DR!L89</f>
        <v>0.30752296127743411</v>
      </c>
      <c r="M21" s="24">
        <f>Balanço_DR!O111/Balanço_DR!O89</f>
        <v>0.3239218117480796</v>
      </c>
    </row>
    <row r="22" spans="1:13" ht="20.25" customHeight="1" x14ac:dyDescent="0.25">
      <c r="A22" s="15" t="s">
        <v>486</v>
      </c>
      <c r="B22" s="10">
        <f>ROUND(GAO_2020*GAF_2020,4)</f>
        <v>2.5103</v>
      </c>
      <c r="C22" s="10">
        <f>ROUND(GAO_2019*GAF_2019,4)</f>
        <v>2.887</v>
      </c>
      <c r="D22" s="10">
        <f>ROUND(GAO_2018*GAF_2018,4)</f>
        <v>2.7406999999999999</v>
      </c>
      <c r="E22" s="10">
        <f>ROUND(GAO_2017*GAF_2017,4)</f>
        <v>2.6166</v>
      </c>
      <c r="F22" s="10">
        <f>ROUND(GAO_2016*GAF_2016,4)</f>
        <v>2.4761000000000002</v>
      </c>
      <c r="H22" s="25" t="s">
        <v>487</v>
      </c>
      <c r="I22" s="26">
        <v>0.188</v>
      </c>
      <c r="J22" s="26">
        <v>4.9000000000000002E-2</v>
      </c>
      <c r="K22" s="26">
        <v>5.2999999999999999E-2</v>
      </c>
      <c r="L22" s="26">
        <v>5.2999999999999999E-2</v>
      </c>
      <c r="M22" s="26">
        <v>4.3999999999999997E-2</v>
      </c>
    </row>
    <row r="23" spans="1:13" ht="20.25" customHeight="1" x14ac:dyDescent="0.25">
      <c r="A23" s="11" t="s">
        <v>488</v>
      </c>
      <c r="B23" s="14">
        <f>(I5-B24)/B24</f>
        <v>0.66356179821670791</v>
      </c>
      <c r="C23" s="14">
        <f t="shared" ref="C23:F23" si="1">(J5-C24)/C24</f>
        <v>0.53472492337544919</v>
      </c>
      <c r="D23" s="14">
        <f t="shared" si="1"/>
        <v>0.5759359160363573</v>
      </c>
      <c r="E23" s="14">
        <f t="shared" si="1"/>
        <v>0.62646707948870894</v>
      </c>
      <c r="F23" s="14">
        <f t="shared" si="1"/>
        <v>0.68031778807443977</v>
      </c>
      <c r="H23" s="15" t="s">
        <v>489</v>
      </c>
      <c r="I23" s="16">
        <f>I20*B12</f>
        <v>0.23046170504560587</v>
      </c>
      <c r="J23" s="16">
        <f>J20*C12</f>
        <v>0.21386045321775443</v>
      </c>
      <c r="K23" s="16">
        <f>K20*D12</f>
        <v>0.22518194838229108</v>
      </c>
      <c r="L23" s="16">
        <f>L20*E12</f>
        <v>0.23281950450480066</v>
      </c>
      <c r="M23" s="16">
        <f>M20*F12</f>
        <v>0.31961785312698854</v>
      </c>
    </row>
    <row r="24" spans="1:13" ht="20.25" customHeight="1" x14ac:dyDescent="0.25">
      <c r="A24" s="11" t="s">
        <v>490</v>
      </c>
      <c r="B24" s="29">
        <f>ROUND((CF_2020*I5)/MC_2020,0)</f>
        <v>5885631</v>
      </c>
      <c r="C24" s="29">
        <f>ROUND((J8*J5)/J7,0)</f>
        <v>3945537</v>
      </c>
      <c r="D24" s="29">
        <f t="shared" ref="D24:F24" si="2">ROUND((K8*K5)/K7,0)</f>
        <v>3624807</v>
      </c>
      <c r="E24" s="29">
        <f t="shared" si="2"/>
        <v>3420360</v>
      </c>
      <c r="F24" s="29">
        <f t="shared" si="2"/>
        <v>3291250</v>
      </c>
      <c r="H24" s="23" t="s">
        <v>491</v>
      </c>
      <c r="I24" s="24">
        <f>Balanço_DR!C113/Balanço_DR!C89</f>
        <v>0.2304617050456059</v>
      </c>
      <c r="J24" s="24">
        <f>Balanço_DR!F113/Balanço_DR!F89</f>
        <v>0.21386045321775446</v>
      </c>
      <c r="K24" s="24">
        <f>Balanço_DR!I113/Balanço_DR!I89</f>
        <v>0.22518194838229111</v>
      </c>
      <c r="L24" s="24">
        <f>Balanço_DR!L113/Balanço_DR!L89</f>
        <v>0.23281950450480071</v>
      </c>
      <c r="M24" s="24">
        <f>Balanço_DR!O113/Balanço_DR!O89</f>
        <v>0.31961785312698848</v>
      </c>
    </row>
    <row r="25" spans="1:13" ht="20.25" customHeight="1" x14ac:dyDescent="0.25">
      <c r="E25" s="5" t="s">
        <v>492</v>
      </c>
      <c r="H25" s="25" t="s">
        <v>493</v>
      </c>
      <c r="I25" s="26">
        <v>0.14499999999999999</v>
      </c>
      <c r="J25" s="26">
        <v>3.6999999999999998E-2</v>
      </c>
      <c r="K25" s="26">
        <v>0.04</v>
      </c>
      <c r="L25" s="26">
        <v>0.04</v>
      </c>
      <c r="M25" s="26">
        <v>3.1E-2</v>
      </c>
    </row>
    <row r="26" spans="1:13" ht="20.25" customHeight="1" x14ac:dyDescent="0.25">
      <c r="D26" s="83"/>
      <c r="F26" s="84"/>
    </row>
    <row r="27" spans="1:13" ht="20.25" customHeight="1" x14ac:dyDescent="0.25">
      <c r="A27" s="201" t="s">
        <v>494</v>
      </c>
      <c r="B27" s="201"/>
      <c r="C27" s="201"/>
      <c r="D27" s="201"/>
      <c r="E27" s="201"/>
      <c r="F27" s="201"/>
      <c r="G27" s="201"/>
    </row>
    <row r="28" spans="1:13" ht="20.25" customHeight="1" x14ac:dyDescent="0.25">
      <c r="A28" s="202"/>
      <c r="B28" s="202"/>
      <c r="C28" s="202"/>
      <c r="D28" s="202"/>
      <c r="E28" s="202"/>
      <c r="F28" s="202"/>
      <c r="G28" s="202"/>
    </row>
    <row r="29" spans="1:13" ht="20.25" customHeight="1" x14ac:dyDescent="0.25"/>
    <row r="30" spans="1:13" ht="20.25" customHeight="1" x14ac:dyDescent="0.25">
      <c r="B30" s="209" t="s">
        <v>453</v>
      </c>
      <c r="C30" s="209"/>
      <c r="D30" s="209"/>
      <c r="E30" s="209"/>
      <c r="F30" s="209"/>
      <c r="G30" s="209"/>
    </row>
    <row r="31" spans="1:13" ht="30" x14ac:dyDescent="0.25">
      <c r="B31" s="11" t="s">
        <v>3</v>
      </c>
      <c r="C31" s="11" t="s">
        <v>4</v>
      </c>
      <c r="D31" s="11" t="s">
        <v>5</v>
      </c>
      <c r="E31" s="11" t="s">
        <v>6</v>
      </c>
      <c r="F31" s="11" t="s">
        <v>7</v>
      </c>
      <c r="G31" s="33" t="s">
        <v>495</v>
      </c>
    </row>
    <row r="32" spans="1:13" ht="20.25" customHeight="1" x14ac:dyDescent="0.25">
      <c r="A32" s="11" t="s">
        <v>456</v>
      </c>
      <c r="B32" s="16">
        <f>(B5/C5)-1</f>
        <v>-0.19926350811284621</v>
      </c>
      <c r="C32" s="16">
        <f t="shared" ref="B32:D40" si="3">(C5/D5)-1</f>
        <v>7.1756433629623917E-3</v>
      </c>
      <c r="D32" s="16">
        <f t="shared" si="3"/>
        <v>6.2261748013141549E-3</v>
      </c>
      <c r="E32" s="16">
        <f>(E5/F5)-1</f>
        <v>3.1671587435950777E-3</v>
      </c>
      <c r="F32" s="16">
        <f>(F5/F5)-1</f>
        <v>0</v>
      </c>
      <c r="G32" s="16">
        <f>((B5/E5)^(1/3))-1</f>
        <v>-6.7253813736967816E-2</v>
      </c>
    </row>
    <row r="33" spans="1:7" ht="20.25" customHeight="1" x14ac:dyDescent="0.25">
      <c r="A33" s="11" t="s">
        <v>458</v>
      </c>
      <c r="B33" s="16">
        <f t="shared" si="3"/>
        <v>0.14483372849797105</v>
      </c>
      <c r="C33" s="16">
        <f t="shared" si="3"/>
        <v>-4.6623744713473525E-2</v>
      </c>
      <c r="D33" s="16">
        <f t="shared" si="3"/>
        <v>-5.1182528677891193E-2</v>
      </c>
      <c r="E33" s="16">
        <f t="shared" ref="E33:E40" si="4">(E6/F6)-1</f>
        <v>-4.8666786533297923E-2</v>
      </c>
      <c r="F33" s="16">
        <f t="shared" ref="F33:F40" si="5">(F6/F6)-1</f>
        <v>0</v>
      </c>
      <c r="G33" s="16">
        <f t="shared" ref="G33:G40" si="6">((B6/E6)^(1/3))-1</f>
        <v>1.1726533826746044E-2</v>
      </c>
    </row>
    <row r="34" spans="1:7" ht="20.25" customHeight="1" x14ac:dyDescent="0.25">
      <c r="A34" s="11" t="s">
        <v>460</v>
      </c>
      <c r="B34" s="16">
        <f t="shared" si="3"/>
        <v>-0.26694184297651713</v>
      </c>
      <c r="C34" s="16">
        <f t="shared" si="3"/>
        <v>0.16002787068004465</v>
      </c>
      <c r="D34" s="16">
        <f t="shared" si="3"/>
        <v>-7.3246581499026298E-2</v>
      </c>
      <c r="E34" s="16">
        <f t="shared" si="4"/>
        <v>0.23504829715831521</v>
      </c>
      <c r="F34" s="16">
        <f t="shared" si="5"/>
        <v>0</v>
      </c>
      <c r="G34" s="16">
        <f t="shared" si="6"/>
        <v>-7.6315441049158439E-2</v>
      </c>
    </row>
    <row r="35" spans="1:7" ht="20.25" customHeight="1" x14ac:dyDescent="0.25">
      <c r="A35" s="11" t="s">
        <v>462</v>
      </c>
      <c r="B35" s="38">
        <f t="shared" si="3"/>
        <v>-0.32799815164336421</v>
      </c>
      <c r="C35" s="38">
        <f t="shared" si="3"/>
        <v>0.11387888012115566</v>
      </c>
      <c r="D35" s="38">
        <f t="shared" si="3"/>
        <v>-0.11520536591930752</v>
      </c>
      <c r="E35" s="38">
        <f t="shared" si="4"/>
        <v>0.17866369462446463</v>
      </c>
      <c r="F35" s="38">
        <f t="shared" si="5"/>
        <v>0</v>
      </c>
      <c r="G35" s="16">
        <f t="shared" si="6"/>
        <v>-0.12833359973739811</v>
      </c>
    </row>
    <row r="36" spans="1:7" ht="20.25" customHeight="1" x14ac:dyDescent="0.25">
      <c r="A36" s="11" t="s">
        <v>464</v>
      </c>
      <c r="B36" s="16">
        <f t="shared" si="3"/>
        <v>4.5676690075193704E-3</v>
      </c>
      <c r="C36" s="16">
        <f t="shared" si="3"/>
        <v>-4.2594685364160112E-3</v>
      </c>
      <c r="D36" s="16">
        <f t="shared" si="3"/>
        <v>6.1333147409812216E-3</v>
      </c>
      <c r="E36" s="16">
        <f t="shared" si="4"/>
        <v>-5.2100482457158037E-3</v>
      </c>
      <c r="F36" s="16">
        <f t="shared" si="5"/>
        <v>0</v>
      </c>
      <c r="G36" s="16">
        <f t="shared" si="6"/>
        <v>2.1367080042924425E-3</v>
      </c>
    </row>
    <row r="37" spans="1:7" ht="20.25" customHeight="1" x14ac:dyDescent="0.25">
      <c r="A37" s="11" t="s">
        <v>496</v>
      </c>
      <c r="B37" s="16">
        <f t="shared" si="3"/>
        <v>-2.5754704210098622E-2</v>
      </c>
      <c r="C37" s="16">
        <f t="shared" si="3"/>
        <v>-0.65621634765692849</v>
      </c>
      <c r="D37" s="16">
        <f t="shared" si="3"/>
        <v>1.3938766230485524</v>
      </c>
      <c r="E37" s="16">
        <f t="shared" si="4"/>
        <v>9.7041070448693478E-2</v>
      </c>
      <c r="F37" s="16">
        <f t="shared" si="5"/>
        <v>0</v>
      </c>
      <c r="G37" s="16">
        <f t="shared" si="6"/>
        <v>-7.0994181338311591E-2</v>
      </c>
    </row>
    <row r="38" spans="1:7" ht="20.25" customHeight="1" x14ac:dyDescent="0.25">
      <c r="A38" s="11" t="s">
        <v>497</v>
      </c>
      <c r="B38" s="38">
        <f t="shared" si="3"/>
        <v>-2.130467416679771E-2</v>
      </c>
      <c r="C38" s="38">
        <f t="shared" si="3"/>
        <v>-0.65768068330741802</v>
      </c>
      <c r="D38" s="38">
        <f t="shared" si="3"/>
        <v>1.4085590218287862</v>
      </c>
      <c r="E38" s="38">
        <f t="shared" si="4"/>
        <v>9.1325433544124257E-2</v>
      </c>
      <c r="F38" s="38">
        <f t="shared" si="5"/>
        <v>0</v>
      </c>
      <c r="G38" s="16">
        <f t="shared" si="6"/>
        <v>-6.9009167169542973E-2</v>
      </c>
    </row>
    <row r="39" spans="1:7" ht="20.25" customHeight="1" x14ac:dyDescent="0.25">
      <c r="A39" s="11" t="s">
        <v>469</v>
      </c>
      <c r="B39" s="38">
        <f t="shared" si="3"/>
        <v>0.17019180979781345</v>
      </c>
      <c r="C39" s="38">
        <f t="shared" si="3"/>
        <v>-6.6982992449866607E-3</v>
      </c>
      <c r="D39" s="38">
        <f t="shared" si="3"/>
        <v>6.8862240669009811E-3</v>
      </c>
      <c r="E39" s="38">
        <f t="shared" si="4"/>
        <v>-0.23272512802812606</v>
      </c>
      <c r="F39" s="38">
        <f t="shared" si="5"/>
        <v>0</v>
      </c>
      <c r="G39" s="16">
        <f t="shared" si="6"/>
        <v>5.383562879763093E-2</v>
      </c>
    </row>
    <row r="40" spans="1:7" ht="20.25" customHeight="1" x14ac:dyDescent="0.25">
      <c r="A40" s="15" t="s">
        <v>471</v>
      </c>
      <c r="B40" s="16">
        <f t="shared" si="3"/>
        <v>-0.23038232007273707</v>
      </c>
      <c r="C40" s="16">
        <f t="shared" si="3"/>
        <v>-0.62125181949961528</v>
      </c>
      <c r="D40" s="16">
        <f t="shared" si="3"/>
        <v>1.1457551934427146</v>
      </c>
      <c r="E40" s="16">
        <f t="shared" si="4"/>
        <v>-1.304998362249965E-2</v>
      </c>
      <c r="F40" s="16">
        <f t="shared" si="5"/>
        <v>0</v>
      </c>
      <c r="G40" s="16">
        <f t="shared" si="6"/>
        <v>-0.14479823639881784</v>
      </c>
    </row>
    <row r="41" spans="1:7" ht="20.25" customHeight="1" x14ac:dyDescent="0.25"/>
    <row r="42" spans="1:7" ht="20.25" customHeight="1" x14ac:dyDescent="0.25"/>
    <row r="43" spans="1:7" ht="20.25" customHeight="1" x14ac:dyDescent="0.25">
      <c r="A43" s="206" t="s">
        <v>454</v>
      </c>
      <c r="B43" s="207"/>
      <c r="C43" s="207"/>
      <c r="D43" s="207"/>
      <c r="E43" s="207"/>
      <c r="F43" s="208"/>
    </row>
    <row r="44" spans="1:7" ht="20.25" customHeight="1" x14ac:dyDescent="0.25">
      <c r="A44" s="34"/>
      <c r="B44" s="11" t="s">
        <v>3</v>
      </c>
      <c r="C44" s="11" t="s">
        <v>4</v>
      </c>
      <c r="D44" s="11" t="s">
        <v>5</v>
      </c>
      <c r="E44" s="11" t="s">
        <v>6</v>
      </c>
      <c r="F44" s="11" t="s">
        <v>7</v>
      </c>
    </row>
    <row r="45" spans="1:7" ht="20.25" customHeight="1" x14ac:dyDescent="0.25">
      <c r="A45" s="21" t="s">
        <v>457</v>
      </c>
      <c r="B45" s="16">
        <f t="shared" ref="B45:D45" si="7">(I5/J5)-1</f>
        <v>0.61694520523764029</v>
      </c>
      <c r="C45" s="16">
        <f t="shared" si="7"/>
        <v>6.0017963808308039E-2</v>
      </c>
      <c r="D45" s="16">
        <f t="shared" si="7"/>
        <v>2.6848433618954282E-2</v>
      </c>
      <c r="E45" s="16">
        <f>(L5/M5)-1</f>
        <v>5.9231412417688478E-3</v>
      </c>
      <c r="F45" s="16">
        <f>(M5/M5)-1</f>
        <v>0</v>
      </c>
    </row>
    <row r="46" spans="1:7" ht="20.25" customHeight="1" x14ac:dyDescent="0.25">
      <c r="A46" s="21" t="s">
        <v>459</v>
      </c>
      <c r="B46" s="16">
        <f>(CV_2020/CV_2019)-1</f>
        <v>2.040497956269256</v>
      </c>
      <c r="C46" s="16">
        <f>(CV_2019/CV_2018)-1</f>
        <v>2.7669071982223237E-2</v>
      </c>
      <c r="D46" s="16">
        <f>(CV_2018/CV_2017)-1</f>
        <v>5.1930366753261126E-4</v>
      </c>
      <c r="E46" s="16">
        <f>(CV_2017/CV_2016)-1</f>
        <v>-6.9878604186595084E-3</v>
      </c>
      <c r="F46" s="16">
        <f>(CV_2016/CV_2016)-1</f>
        <v>0</v>
      </c>
    </row>
    <row r="47" spans="1:7" ht="20.25" customHeight="1" x14ac:dyDescent="0.25">
      <c r="A47" s="21" t="s">
        <v>461</v>
      </c>
      <c r="B47" s="16">
        <f>(MC_2020/MC_2019)-1</f>
        <v>0.29474703121574186</v>
      </c>
      <c r="C47" s="16">
        <f>(MC_2019/MC_2018)-1</f>
        <v>6.7624274674930263E-2</v>
      </c>
      <c r="D47" s="16">
        <f>(MC_2018/MC_2017)-1</f>
        <v>3.3241771461121727E-2</v>
      </c>
      <c r="E47" s="16">
        <f>(MC_2017/MC_2016)-1</f>
        <v>9.1090595139373676E-3</v>
      </c>
      <c r="F47" s="16">
        <f>(MC_2016/MC_2016)-1</f>
        <v>0</v>
      </c>
    </row>
    <row r="48" spans="1:7" ht="20.25" customHeight="1" x14ac:dyDescent="0.25">
      <c r="A48" s="21" t="s">
        <v>463</v>
      </c>
      <c r="B48" s="16">
        <f>(CF_2020/CF_2019)-1</f>
        <v>0.19447375243673393</v>
      </c>
      <c r="C48" s="16">
        <f>(CF_2019/CF_2018)-1</f>
        <v>9.6292434636995328E-2</v>
      </c>
      <c r="D48" s="16">
        <f>(CF_2018/CF_2017)-1</f>
        <v>6.6371810564864742E-2</v>
      </c>
      <c r="E48" s="16">
        <f>(CF_2017/CF_2016)-1</f>
        <v>4.2519520006284894E-2</v>
      </c>
      <c r="F48" s="16">
        <f>(CF_2016/CF_2016)-1</f>
        <v>0</v>
      </c>
    </row>
    <row r="49" spans="1:7" ht="20.25" customHeight="1" x14ac:dyDescent="0.25">
      <c r="A49" s="21" t="s">
        <v>465</v>
      </c>
      <c r="B49" s="16"/>
      <c r="C49" s="16"/>
      <c r="D49" s="16"/>
      <c r="E49" s="16"/>
      <c r="F49" s="16"/>
    </row>
    <row r="50" spans="1:7" ht="20.25" customHeight="1" x14ac:dyDescent="0.25">
      <c r="A50" s="21" t="s">
        <v>467</v>
      </c>
      <c r="B50" s="16"/>
      <c r="C50" s="16"/>
      <c r="D50" s="16"/>
      <c r="E50" s="16"/>
      <c r="F50" s="16"/>
    </row>
    <row r="51" spans="1:7" ht="20.25" customHeight="1" x14ac:dyDescent="0.25"/>
    <row r="52" spans="1:7" ht="20.25" customHeight="1" x14ac:dyDescent="0.25"/>
    <row r="53" spans="1:7" ht="20.25" customHeight="1" x14ac:dyDescent="0.25"/>
    <row r="54" spans="1:7" ht="20.25" customHeight="1" x14ac:dyDescent="0.25"/>
    <row r="55" spans="1:7" ht="20.25" customHeight="1" x14ac:dyDescent="0.25"/>
    <row r="56" spans="1:7" ht="20.25" customHeight="1" x14ac:dyDescent="0.25">
      <c r="A56" s="201" t="s">
        <v>478</v>
      </c>
      <c r="B56" s="201"/>
      <c r="C56" s="201"/>
      <c r="D56" s="201"/>
      <c r="E56" s="201"/>
      <c r="F56" s="201"/>
      <c r="G56" s="201"/>
    </row>
    <row r="57" spans="1:7" ht="20.25" customHeight="1" x14ac:dyDescent="0.25">
      <c r="A57" s="201"/>
      <c r="B57" s="201"/>
      <c r="C57" s="201"/>
      <c r="D57" s="201"/>
      <c r="E57" s="201"/>
      <c r="F57" s="201"/>
      <c r="G57" s="201"/>
    </row>
    <row r="58" spans="1:7" ht="30.75" customHeight="1" x14ac:dyDescent="0.25">
      <c r="A58" s="31"/>
      <c r="B58" s="35" t="s">
        <v>3</v>
      </c>
      <c r="C58" s="11" t="s">
        <v>4</v>
      </c>
      <c r="D58" s="11" t="s">
        <v>5</v>
      </c>
      <c r="E58" s="11" t="s">
        <v>6</v>
      </c>
      <c r="F58" s="11" t="s">
        <v>7</v>
      </c>
      <c r="G58" s="36" t="s">
        <v>495</v>
      </c>
    </row>
    <row r="59" spans="1:7" ht="20.25" customHeight="1" x14ac:dyDescent="0.25">
      <c r="A59" s="12" t="s">
        <v>482</v>
      </c>
      <c r="B59" s="16">
        <f t="shared" ref="B59:D63" si="8">(B20/C20)-1</f>
        <v>-0.12651127138427221</v>
      </c>
      <c r="C59" s="16">
        <f t="shared" si="8"/>
        <v>4.8898147132989678E-2</v>
      </c>
      <c r="D59" s="16">
        <f t="shared" si="8"/>
        <v>5.3922890266918433E-2</v>
      </c>
      <c r="E59" s="16">
        <f>(E20/F20)-1</f>
        <v>5.1176160978177121E-2</v>
      </c>
      <c r="F59" s="16">
        <f>(F20/F20)-1</f>
        <v>0</v>
      </c>
      <c r="G59" s="16">
        <f t="shared" ref="G59:G62" si="9">((B20/D20)^(1/2))-1</f>
        <v>-4.2816261636989705E-2</v>
      </c>
    </row>
    <row r="60" spans="1:7" ht="20.25" customHeight="1" x14ac:dyDescent="0.25">
      <c r="A60" s="11" t="s">
        <v>484</v>
      </c>
      <c r="B60" s="16">
        <f t="shared" si="8"/>
        <v>-4.5730191867978665E-3</v>
      </c>
      <c r="C60" s="16">
        <f t="shared" si="8"/>
        <v>4.2931309904152837E-3</v>
      </c>
      <c r="D60" s="16">
        <f t="shared" si="8"/>
        <v>-6.152014288549279E-3</v>
      </c>
      <c r="E60" s="16">
        <f t="shared" ref="E60:E63" si="10">(E21/F21)-1</f>
        <v>5.2867830423941609E-3</v>
      </c>
      <c r="F60" s="16">
        <f t="shared" ref="F60:F63" si="11">(F21/F21)-1</f>
        <v>0</v>
      </c>
      <c r="G60" s="16">
        <f t="shared" si="9"/>
        <v>-1.4977159915252614E-4</v>
      </c>
    </row>
    <row r="61" spans="1:7" ht="20.25" customHeight="1" x14ac:dyDescent="0.25">
      <c r="A61" s="15" t="s">
        <v>486</v>
      </c>
      <c r="B61" s="16">
        <f t="shared" si="8"/>
        <v>-0.13048146865258059</v>
      </c>
      <c r="C61" s="16">
        <f t="shared" si="8"/>
        <v>5.3380523223993892E-2</v>
      </c>
      <c r="D61" s="16">
        <f t="shared" si="8"/>
        <v>4.7427959948024068E-2</v>
      </c>
      <c r="E61" s="16">
        <f t="shared" si="10"/>
        <v>5.6742457897499987E-2</v>
      </c>
      <c r="F61" s="16">
        <f t="shared" si="11"/>
        <v>0</v>
      </c>
      <c r="G61" s="16">
        <f t="shared" si="9"/>
        <v>-4.295565123464451E-2</v>
      </c>
    </row>
    <row r="62" spans="1:7" ht="20.25" customHeight="1" x14ac:dyDescent="0.25">
      <c r="A62" s="11" t="s">
        <v>488</v>
      </c>
      <c r="B62" s="16">
        <f t="shared" si="8"/>
        <v>0.24094047090226578</v>
      </c>
      <c r="C62" s="16">
        <f t="shared" si="8"/>
        <v>-7.1554823224996733E-2</v>
      </c>
      <c r="D62" s="16">
        <f t="shared" si="8"/>
        <v>-8.0660524881199902E-2</v>
      </c>
      <c r="E62" s="16">
        <f t="shared" si="10"/>
        <v>-7.9155226468719864E-2</v>
      </c>
      <c r="F62" s="16">
        <f t="shared" si="11"/>
        <v>0</v>
      </c>
      <c r="G62" s="16">
        <f t="shared" si="9"/>
        <v>7.3380265737222228E-2</v>
      </c>
    </row>
    <row r="63" spans="1:7" ht="20.25" customHeight="1" x14ac:dyDescent="0.25">
      <c r="A63" s="11" t="s">
        <v>490</v>
      </c>
      <c r="B63" s="16">
        <f t="shared" si="8"/>
        <v>0.49171861776990045</v>
      </c>
      <c r="C63" s="16">
        <f t="shared" si="8"/>
        <v>8.8481952280493825E-2</v>
      </c>
      <c r="D63" s="16">
        <f t="shared" si="8"/>
        <v>5.9773532610602365E-2</v>
      </c>
      <c r="E63" s="16">
        <f t="shared" si="10"/>
        <v>3.9228256741359768E-2</v>
      </c>
      <c r="F63" s="16">
        <f t="shared" si="11"/>
        <v>0</v>
      </c>
      <c r="G63" s="16">
        <f>((B24/D24)^(1/2))-1</f>
        <v>0.27424832482657835</v>
      </c>
    </row>
    <row r="64" spans="1:7" ht="20.25" customHeight="1" x14ac:dyDescent="0.25"/>
    <row r="65" spans="1:6" ht="20.25" customHeight="1" x14ac:dyDescent="0.25">
      <c r="A65" s="201" t="s">
        <v>498</v>
      </c>
      <c r="B65" s="201"/>
      <c r="C65" s="201"/>
      <c r="D65" s="201"/>
      <c r="E65" s="201"/>
      <c r="F65" s="201"/>
    </row>
    <row r="66" spans="1:6" ht="20.25" customHeight="1" x14ac:dyDescent="0.25">
      <c r="A66" s="202"/>
      <c r="B66" s="202"/>
      <c r="C66" s="202"/>
      <c r="D66" s="202"/>
      <c r="E66" s="202"/>
      <c r="F66" s="202"/>
    </row>
    <row r="67" spans="1:6" ht="20.25" customHeight="1" x14ac:dyDescent="0.25"/>
    <row r="68" spans="1:6" ht="20.25" customHeight="1" x14ac:dyDescent="0.25">
      <c r="B68" s="205" t="s">
        <v>453</v>
      </c>
      <c r="C68" s="205"/>
      <c r="D68" s="205"/>
      <c r="E68" s="205"/>
      <c r="F68" s="205"/>
    </row>
    <row r="69" spans="1:6" ht="20.25" customHeight="1" x14ac:dyDescent="0.25">
      <c r="B69" s="11" t="s">
        <v>3</v>
      </c>
      <c r="C69" s="11" t="s">
        <v>4</v>
      </c>
      <c r="D69" s="11" t="s">
        <v>5</v>
      </c>
      <c r="E69" s="11" t="s">
        <v>6</v>
      </c>
      <c r="F69" s="11" t="s">
        <v>7</v>
      </c>
    </row>
    <row r="70" spans="1:6" ht="20.25" customHeight="1" x14ac:dyDescent="0.25">
      <c r="A70" s="11" t="s">
        <v>456</v>
      </c>
      <c r="B70" s="37">
        <f>(B5/$F5)*100</f>
        <v>81.407375179496029</v>
      </c>
      <c r="C70" s="37">
        <f t="shared" ref="C70:F70" si="12">(C5/$F5)*100</f>
        <v>101.66562409018896</v>
      </c>
      <c r="D70" s="37">
        <f t="shared" si="12"/>
        <v>100.94130528288704</v>
      </c>
      <c r="E70" s="37">
        <f t="shared" si="12"/>
        <v>100.3167158743595</v>
      </c>
      <c r="F70" s="37">
        <f t="shared" si="12"/>
        <v>100</v>
      </c>
    </row>
    <row r="71" spans="1:6" ht="20.25" customHeight="1" x14ac:dyDescent="0.25">
      <c r="A71" s="11" t="s">
        <v>458</v>
      </c>
      <c r="B71" s="37">
        <f t="shared" ref="B71:F78" si="13">(B6/$F6)*100</f>
        <v>98.519472889325016</v>
      </c>
      <c r="C71" s="37">
        <f t="shared" si="13"/>
        <v>86.055704367291113</v>
      </c>
      <c r="D71" s="37">
        <f t="shared" si="13"/>
        <v>90.264157398621222</v>
      </c>
      <c r="E71" s="37">
        <f t="shared" si="13"/>
        <v>95.133321346670215</v>
      </c>
      <c r="F71" s="37">
        <f t="shared" si="13"/>
        <v>100</v>
      </c>
    </row>
    <row r="72" spans="1:6" ht="20.25" customHeight="1" x14ac:dyDescent="0.25">
      <c r="A72" s="11" t="s">
        <v>460</v>
      </c>
      <c r="B72" s="37">
        <f t="shared" si="13"/>
        <v>97.331853156222493</v>
      </c>
      <c r="C72" s="37">
        <f t="shared" si="13"/>
        <v>132.77507687988873</v>
      </c>
      <c r="D72" s="37">
        <f t="shared" si="13"/>
        <v>114.45852314052752</v>
      </c>
      <c r="E72" s="37">
        <f t="shared" si="13"/>
        <v>123.50482971583152</v>
      </c>
      <c r="F72" s="37">
        <f t="shared" si="13"/>
        <v>100</v>
      </c>
    </row>
    <row r="73" spans="1:6" ht="20.25" customHeight="1" x14ac:dyDescent="0.25">
      <c r="A73" s="11" t="s">
        <v>462</v>
      </c>
      <c r="B73" s="39">
        <f t="shared" si="13"/>
        <v>78.062206668634275</v>
      </c>
      <c r="C73" s="39">
        <f t="shared" si="13"/>
        <v>116.16367850703612</v>
      </c>
      <c r="D73" s="39">
        <f t="shared" si="13"/>
        <v>104.28753123894501</v>
      </c>
      <c r="E73" s="39">
        <f t="shared" si="13"/>
        <v>117.86636946244646</v>
      </c>
      <c r="F73" s="39">
        <f t="shared" si="13"/>
        <v>100</v>
      </c>
    </row>
    <row r="74" spans="1:6" ht="20.25" customHeight="1" x14ac:dyDescent="0.25">
      <c r="A74" s="11" t="s">
        <v>464</v>
      </c>
      <c r="B74" s="37">
        <f t="shared" si="13"/>
        <v>100.11803136196853</v>
      </c>
      <c r="C74" s="37">
        <f t="shared" si="13"/>
        <v>99.662804657930053</v>
      </c>
      <c r="D74" s="37">
        <f t="shared" si="13"/>
        <v>100.08913116295588</v>
      </c>
      <c r="E74" s="37">
        <f t="shared" si="13"/>
        <v>99.478995175428423</v>
      </c>
      <c r="F74" s="37">
        <f t="shared" si="13"/>
        <v>100</v>
      </c>
    </row>
    <row r="75" spans="1:6" ht="20.25" customHeight="1" x14ac:dyDescent="0.25">
      <c r="A75" s="11" t="s">
        <v>496</v>
      </c>
      <c r="B75" s="37">
        <f t="shared" si="13"/>
        <v>87.958575876539868</v>
      </c>
      <c r="C75" s="37">
        <f t="shared" si="13"/>
        <v>90.283808663632868</v>
      </c>
      <c r="D75" s="37">
        <f t="shared" si="13"/>
        <v>262.61809730712872</v>
      </c>
      <c r="E75" s="37">
        <f t="shared" si="13"/>
        <v>109.70410704486935</v>
      </c>
      <c r="F75" s="37">
        <f t="shared" si="13"/>
        <v>100</v>
      </c>
    </row>
    <row r="76" spans="1:6" ht="20.25" customHeight="1" x14ac:dyDescent="0.25">
      <c r="A76" s="11" t="s">
        <v>497</v>
      </c>
      <c r="B76" s="39">
        <f t="shared" si="13"/>
        <v>88.062394581615067</v>
      </c>
      <c r="C76" s="39">
        <f t="shared" si="13"/>
        <v>89.979375866175758</v>
      </c>
      <c r="D76" s="39">
        <f t="shared" si="13"/>
        <v>262.85217187139119</v>
      </c>
      <c r="E76" s="39">
        <f t="shared" si="13"/>
        <v>109.13254335441242</v>
      </c>
      <c r="F76" s="39">
        <f t="shared" si="13"/>
        <v>100</v>
      </c>
    </row>
    <row r="77" spans="1:6" ht="20.25" customHeight="1" x14ac:dyDescent="0.25">
      <c r="A77" s="11" t="s">
        <v>469</v>
      </c>
      <c r="B77" s="39">
        <f t="shared" si="13"/>
        <v>89.798608637058862</v>
      </c>
      <c r="C77" s="39">
        <f t="shared" si="13"/>
        <v>76.738367065288486</v>
      </c>
      <c r="D77" s="39">
        <f t="shared" si="13"/>
        <v>77.255849866117515</v>
      </c>
      <c r="E77" s="39">
        <f t="shared" si="13"/>
        <v>76.727487197187401</v>
      </c>
      <c r="F77" s="39">
        <f t="shared" si="13"/>
        <v>100</v>
      </c>
    </row>
    <row r="78" spans="1:6" ht="20.25" customHeight="1" x14ac:dyDescent="0.25">
      <c r="A78" s="15" t="s">
        <v>471</v>
      </c>
      <c r="B78" s="37">
        <f t="shared" si="13"/>
        <v>61.730660242306122</v>
      </c>
      <c r="C78" s="37">
        <f t="shared" si="13"/>
        <v>80.209514220281847</v>
      </c>
      <c r="D78" s="37">
        <f t="shared" si="13"/>
        <v>211.77531233103934</v>
      </c>
      <c r="E78" s="37">
        <f t="shared" si="13"/>
        <v>98.695001637750039</v>
      </c>
      <c r="F78" s="37">
        <f t="shared" si="13"/>
        <v>100</v>
      </c>
    </row>
    <row r="79" spans="1:6" ht="20.25" customHeight="1" x14ac:dyDescent="0.25"/>
    <row r="80" spans="1:6" ht="20.25" customHeight="1" x14ac:dyDescent="0.25"/>
    <row r="81" spans="1:6" ht="20.25" customHeight="1" x14ac:dyDescent="0.25">
      <c r="B81" s="209" t="s">
        <v>453</v>
      </c>
      <c r="C81" s="209"/>
      <c r="D81" s="209"/>
    </row>
    <row r="82" spans="1:6" ht="20.25" customHeight="1" x14ac:dyDescent="0.25">
      <c r="B82" s="11" t="s">
        <v>3</v>
      </c>
      <c r="C82" s="11" t="s">
        <v>4</v>
      </c>
      <c r="D82" s="11" t="s">
        <v>5</v>
      </c>
    </row>
    <row r="83" spans="1:6" ht="20.25" customHeight="1" x14ac:dyDescent="0.25">
      <c r="A83" s="11" t="s">
        <v>456</v>
      </c>
      <c r="B83" s="37">
        <f t="shared" ref="B83:C83" si="14">(B5/$D5)*100</f>
        <v>80.648229138064565</v>
      </c>
      <c r="C83" s="37">
        <f t="shared" si="14"/>
        <v>100.71756433629623</v>
      </c>
      <c r="D83" s="37">
        <f>(D5/$D5)*100</f>
        <v>100</v>
      </c>
    </row>
    <row r="84" spans="1:6" ht="20.25" customHeight="1" x14ac:dyDescent="0.25">
      <c r="A84" s="11" t="s">
        <v>458</v>
      </c>
      <c r="B84" s="37">
        <f t="shared" ref="B84:D91" si="15">(B6/$D6)*100</f>
        <v>109.14572930011074</v>
      </c>
      <c r="C84" s="37">
        <f t="shared" si="15"/>
        <v>95.337625528652651</v>
      </c>
      <c r="D84" s="37">
        <f t="shared" si="15"/>
        <v>100</v>
      </c>
    </row>
    <row r="85" spans="1:6" ht="20.25" customHeight="1" x14ac:dyDescent="0.25">
      <c r="A85" s="11" t="s">
        <v>460</v>
      </c>
      <c r="B85" s="37">
        <f t="shared" si="15"/>
        <v>85.036789297658871</v>
      </c>
      <c r="C85" s="37">
        <f t="shared" si="15"/>
        <v>116.00278706800447</v>
      </c>
      <c r="D85" s="37">
        <f t="shared" si="15"/>
        <v>100</v>
      </c>
    </row>
    <row r="86" spans="1:6" ht="20.25" customHeight="1" x14ac:dyDescent="0.25">
      <c r="A86" s="11" t="s">
        <v>462</v>
      </c>
      <c r="B86" s="37">
        <f t="shared" si="15"/>
        <v>74.852866628683614</v>
      </c>
      <c r="C86" s="37">
        <f t="shared" si="15"/>
        <v>111.38788801211557</v>
      </c>
      <c r="D86" s="37">
        <f t="shared" si="15"/>
        <v>100</v>
      </c>
    </row>
    <row r="87" spans="1:6" ht="20.25" customHeight="1" x14ac:dyDescent="0.25">
      <c r="A87" s="11" t="s">
        <v>464</v>
      </c>
      <c r="B87" s="37">
        <f t="shared" si="15"/>
        <v>100.0288744628681</v>
      </c>
      <c r="C87" s="37">
        <f t="shared" si="15"/>
        <v>99.574053146358395</v>
      </c>
      <c r="D87" s="37">
        <f t="shared" si="15"/>
        <v>100</v>
      </c>
    </row>
    <row r="88" spans="1:6" ht="20.25" customHeight="1" x14ac:dyDescent="0.25">
      <c r="A88" s="11" t="s">
        <v>496</v>
      </c>
      <c r="B88" s="37">
        <f t="shared" si="15"/>
        <v>33.492960606470831</v>
      </c>
      <c r="C88" s="37">
        <f t="shared" si="15"/>
        <v>34.378365234307154</v>
      </c>
      <c r="D88" s="37">
        <f t="shared" si="15"/>
        <v>100</v>
      </c>
    </row>
    <row r="89" spans="1:6" ht="20.25" customHeight="1" x14ac:dyDescent="0.25">
      <c r="A89" s="11" t="s">
        <v>497</v>
      </c>
      <c r="B89" s="37">
        <f t="shared" si="15"/>
        <v>33.502631518944568</v>
      </c>
      <c r="C89" s="37">
        <f t="shared" si="15"/>
        <v>34.231931669258195</v>
      </c>
      <c r="D89" s="37">
        <f t="shared" si="15"/>
        <v>100</v>
      </c>
    </row>
    <row r="90" spans="1:6" ht="20.25" customHeight="1" x14ac:dyDescent="0.25">
      <c r="A90" s="11" t="s">
        <v>469</v>
      </c>
      <c r="B90" s="37">
        <f t="shared" si="15"/>
        <v>116.23535148817552</v>
      </c>
      <c r="C90" s="37">
        <f t="shared" si="15"/>
        <v>99.330170075501329</v>
      </c>
      <c r="D90" s="37">
        <f t="shared" si="15"/>
        <v>100</v>
      </c>
    </row>
    <row r="91" spans="1:6" ht="20.25" customHeight="1" x14ac:dyDescent="0.25">
      <c r="A91" s="15" t="s">
        <v>471</v>
      </c>
      <c r="B91" s="37">
        <f t="shared" si="15"/>
        <v>29.149129595337829</v>
      </c>
      <c r="C91" s="37">
        <f t="shared" si="15"/>
        <v>37.874818050038471</v>
      </c>
      <c r="D91" s="37">
        <f t="shared" si="15"/>
        <v>100</v>
      </c>
    </row>
    <row r="92" spans="1:6" ht="20.25" customHeight="1" x14ac:dyDescent="0.25"/>
    <row r="93" spans="1:6" ht="20.25" customHeight="1" x14ac:dyDescent="0.25"/>
    <row r="94" spans="1:6" ht="20.25" customHeight="1" x14ac:dyDescent="0.25"/>
    <row r="95" spans="1:6" ht="20.25" customHeight="1" x14ac:dyDescent="0.25"/>
    <row r="96" spans="1:6" ht="20.25" customHeight="1" x14ac:dyDescent="0.25">
      <c r="A96" s="201" t="s">
        <v>478</v>
      </c>
      <c r="B96" s="201"/>
      <c r="C96" s="201"/>
      <c r="D96" s="201"/>
      <c r="E96" s="201"/>
      <c r="F96" s="201"/>
    </row>
    <row r="97" spans="1:6" ht="20.25" customHeight="1" x14ac:dyDescent="0.25">
      <c r="A97" s="201"/>
      <c r="B97" s="202"/>
      <c r="C97" s="202"/>
      <c r="D97" s="202"/>
      <c r="E97" s="202"/>
      <c r="F97" s="202"/>
    </row>
    <row r="98" spans="1:6" ht="20.25" customHeight="1" x14ac:dyDescent="0.25">
      <c r="A98" s="31"/>
      <c r="B98" s="30" t="s">
        <v>3</v>
      </c>
      <c r="C98" s="17" t="s">
        <v>4</v>
      </c>
      <c r="D98" s="17" t="s">
        <v>5</v>
      </c>
      <c r="E98" s="17" t="s">
        <v>6</v>
      </c>
      <c r="F98" s="17" t="s">
        <v>7</v>
      </c>
    </row>
    <row r="99" spans="1:6" ht="20.25" customHeight="1" x14ac:dyDescent="0.25">
      <c r="A99" s="12" t="s">
        <v>482</v>
      </c>
      <c r="B99" s="37">
        <f>(B20/$F20)*100</f>
        <v>101.50208510466013</v>
      </c>
      <c r="C99" s="37">
        <f t="shared" ref="C99:F99" si="16">(C20/$F20)*100</f>
        <v>116.20308514514757</v>
      </c>
      <c r="D99" s="37">
        <f t="shared" si="16"/>
        <v>110.7858617757804</v>
      </c>
      <c r="E99" s="37">
        <f t="shared" si="16"/>
        <v>105.11761609781772</v>
      </c>
      <c r="F99" s="37">
        <f t="shared" si="16"/>
        <v>100</v>
      </c>
    </row>
    <row r="100" spans="1:6" ht="20.25" customHeight="1" x14ac:dyDescent="0.25">
      <c r="A100" s="11" t="s">
        <v>484</v>
      </c>
      <c r="B100" s="37">
        <f t="shared" ref="B100:F103" si="17">(B21/$F21)*100</f>
        <v>99.880299251870341</v>
      </c>
      <c r="C100" s="37">
        <f t="shared" si="17"/>
        <v>100.33915211970074</v>
      </c>
      <c r="D100" s="37">
        <f t="shared" si="17"/>
        <v>99.910224438902745</v>
      </c>
      <c r="E100" s="37">
        <f t="shared" si="17"/>
        <v>100.52867830423942</v>
      </c>
      <c r="F100" s="37">
        <f t="shared" si="17"/>
        <v>100</v>
      </c>
    </row>
    <row r="101" spans="1:6" ht="20.25" customHeight="1" x14ac:dyDescent="0.25">
      <c r="A101" s="15" t="s">
        <v>486</v>
      </c>
      <c r="B101" s="37">
        <f t="shared" si="17"/>
        <v>101.38120431323452</v>
      </c>
      <c r="C101" s="37">
        <f t="shared" si="17"/>
        <v>116.59464480432938</v>
      </c>
      <c r="D101" s="37">
        <f t="shared" si="17"/>
        <v>110.68615968660392</v>
      </c>
      <c r="E101" s="37">
        <f t="shared" si="17"/>
        <v>105.67424578975</v>
      </c>
      <c r="F101" s="37">
        <f t="shared" si="17"/>
        <v>100</v>
      </c>
    </row>
    <row r="102" spans="1:6" ht="20.25" customHeight="1" x14ac:dyDescent="0.25">
      <c r="A102" s="11" t="s">
        <v>488</v>
      </c>
      <c r="B102" s="37">
        <f t="shared" si="17"/>
        <v>97.537034875251791</v>
      </c>
      <c r="C102" s="37">
        <f t="shared" si="17"/>
        <v>78.599285914443868</v>
      </c>
      <c r="D102" s="37">
        <f t="shared" si="17"/>
        <v>84.656895076413747</v>
      </c>
      <c r="E102" s="37">
        <f t="shared" si="17"/>
        <v>92.084477353128008</v>
      </c>
      <c r="F102" s="37">
        <f t="shared" si="17"/>
        <v>100</v>
      </c>
    </row>
    <row r="103" spans="1:6" ht="20.25" customHeight="1" x14ac:dyDescent="0.25">
      <c r="A103" s="11" t="s">
        <v>490</v>
      </c>
      <c r="B103" s="37">
        <f t="shared" si="17"/>
        <v>178.82661602734524</v>
      </c>
      <c r="C103" s="37">
        <f t="shared" si="17"/>
        <v>119.8795898214964</v>
      </c>
      <c r="D103" s="37">
        <f t="shared" si="17"/>
        <v>110.13466008355488</v>
      </c>
      <c r="E103" s="37">
        <f t="shared" si="17"/>
        <v>103.92282567413598</v>
      </c>
      <c r="F103" s="37">
        <f t="shared" si="17"/>
        <v>100</v>
      </c>
    </row>
    <row r="104" spans="1:6" ht="20.25" customHeight="1" x14ac:dyDescent="0.25"/>
    <row r="105" spans="1:6" ht="20.25" customHeight="1" x14ac:dyDescent="0.25">
      <c r="A105" s="31"/>
      <c r="B105" s="30" t="s">
        <v>3</v>
      </c>
      <c r="C105" s="17" t="s">
        <v>4</v>
      </c>
      <c r="D105" s="17" t="s">
        <v>5</v>
      </c>
    </row>
    <row r="106" spans="1:6" ht="20.25" customHeight="1" x14ac:dyDescent="0.25">
      <c r="A106" s="12" t="s">
        <v>482</v>
      </c>
      <c r="B106" s="37">
        <f t="shared" ref="B106:C106" si="18">(B20/$D20)*100</f>
        <v>91.620070898658781</v>
      </c>
      <c r="C106" s="37">
        <f t="shared" si="18"/>
        <v>104.88981471329896</v>
      </c>
      <c r="D106" s="37">
        <f>(D20/$D20)*100</f>
        <v>100</v>
      </c>
    </row>
    <row r="107" spans="1:6" ht="20.25" customHeight="1" x14ac:dyDescent="0.25">
      <c r="A107" s="11" t="s">
        <v>484</v>
      </c>
      <c r="B107" s="37">
        <f t="shared" ref="B107:D110" si="19">(B21/$D21)*100</f>
        <v>99.970047923322696</v>
      </c>
      <c r="C107" s="37">
        <f t="shared" si="19"/>
        <v>100.42931309904152</v>
      </c>
      <c r="D107" s="37">
        <f t="shared" si="19"/>
        <v>100</v>
      </c>
    </row>
    <row r="108" spans="1:6" ht="20.25" customHeight="1" x14ac:dyDescent="0.25">
      <c r="A108" s="15" t="s">
        <v>486</v>
      </c>
      <c r="B108" s="37">
        <f t="shared" si="19"/>
        <v>91.593388550370349</v>
      </c>
      <c r="C108" s="37">
        <f t="shared" si="19"/>
        <v>105.33805232239939</v>
      </c>
      <c r="D108" s="37">
        <f t="shared" si="19"/>
        <v>100</v>
      </c>
    </row>
    <row r="109" spans="1:6" ht="20.25" customHeight="1" x14ac:dyDescent="0.25">
      <c r="A109" s="11" t="s">
        <v>488</v>
      </c>
      <c r="B109" s="37">
        <f t="shared" si="19"/>
        <v>115.214519487411</v>
      </c>
      <c r="C109" s="37">
        <f t="shared" si="19"/>
        <v>92.84451767750032</v>
      </c>
      <c r="D109" s="37">
        <f t="shared" si="19"/>
        <v>100</v>
      </c>
    </row>
    <row r="110" spans="1:6" ht="20.25" customHeight="1" x14ac:dyDescent="0.25">
      <c r="A110" s="11" t="s">
        <v>490</v>
      </c>
      <c r="B110" s="37">
        <f t="shared" si="19"/>
        <v>162.37087933233411</v>
      </c>
      <c r="C110" s="37">
        <f>(C24/$D24)*100</f>
        <v>108.84819522804938</v>
      </c>
      <c r="D110" s="37">
        <f t="shared" si="19"/>
        <v>100</v>
      </c>
    </row>
    <row r="111" spans="1:6" ht="20.25" customHeight="1" x14ac:dyDescent="0.25"/>
    <row r="112" spans="1:6" ht="20.25" customHeight="1" x14ac:dyDescent="0.25"/>
    <row r="113" ht="20.25" customHeight="1" x14ac:dyDescent="0.25"/>
    <row r="114" ht="20.25" customHeight="1" x14ac:dyDescent="0.25"/>
  </sheetData>
  <mergeCells count="13">
    <mergeCell ref="A1:M2"/>
    <mergeCell ref="A27:G28"/>
    <mergeCell ref="A65:F66"/>
    <mergeCell ref="A96:F97"/>
    <mergeCell ref="B3:F3"/>
    <mergeCell ref="A17:F18"/>
    <mergeCell ref="B68:F68"/>
    <mergeCell ref="H3:M3"/>
    <mergeCell ref="B30:G30"/>
    <mergeCell ref="A56:G57"/>
    <mergeCell ref="B81:D81"/>
    <mergeCell ref="A43:F43"/>
    <mergeCell ref="H12:M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20</vt:i4>
      </vt:variant>
      <vt:variant>
        <vt:lpstr>Intervalos com Nome</vt:lpstr>
      </vt:variant>
      <vt:variant>
        <vt:i4>85</vt:i4>
      </vt:variant>
    </vt:vector>
  </HeadingPairs>
  <TitlesOfParts>
    <vt:vector size="105" baseType="lpstr">
      <vt:lpstr>Balanço_DR</vt:lpstr>
      <vt:lpstr>Detalhes_Contas ("Anexo")</vt:lpstr>
      <vt:lpstr>FSE</vt:lpstr>
      <vt:lpstr>Formato_global</vt:lpstr>
      <vt:lpstr>Taxa_Variação</vt:lpstr>
      <vt:lpstr>Rácios</vt:lpstr>
      <vt:lpstr>Estrutura do balanço</vt:lpstr>
      <vt:lpstr>Z-Score</vt:lpstr>
      <vt:lpstr>Análise_Rendibilidade_Risco v.2</vt:lpstr>
      <vt:lpstr>PMP_PMR</vt:lpstr>
      <vt:lpstr>Balanço_Funcional</vt:lpstr>
      <vt:lpstr>LG_EarningPower</vt:lpstr>
      <vt:lpstr>Anexo_Ativo</vt:lpstr>
      <vt:lpstr>Capital_Próprio</vt:lpstr>
      <vt:lpstr>Anexo_Passivo</vt:lpstr>
      <vt:lpstr>Anexo_Rendimentos (Operações)</vt:lpstr>
      <vt:lpstr>Anexo_Gastos (Operações)</vt:lpstr>
      <vt:lpstr>Folha1</vt:lpstr>
      <vt:lpstr>Análise_Rendibilidade_Risco</vt:lpstr>
      <vt:lpstr>Risco</vt:lpstr>
      <vt:lpstr>CF_2016</vt:lpstr>
      <vt:lpstr>CF_2017</vt:lpstr>
      <vt:lpstr>CF_2018</vt:lpstr>
      <vt:lpstr>CF_2019</vt:lpstr>
      <vt:lpstr>CF_2020</vt:lpstr>
      <vt:lpstr>CV_2016</vt:lpstr>
      <vt:lpstr>CV_2017</vt:lpstr>
      <vt:lpstr>CV_2018</vt:lpstr>
      <vt:lpstr>CV_2019</vt:lpstr>
      <vt:lpstr>CV_2020</vt:lpstr>
      <vt:lpstr>ECF_2016</vt:lpstr>
      <vt:lpstr>ECF_2017</vt:lpstr>
      <vt:lpstr>ECF_2018</vt:lpstr>
      <vt:lpstr>ECF_2019</vt:lpstr>
      <vt:lpstr>ECF_2020</vt:lpstr>
      <vt:lpstr>ECV_2016</vt:lpstr>
      <vt:lpstr>ECV_2017</vt:lpstr>
      <vt:lpstr>ECV_2018</vt:lpstr>
      <vt:lpstr>ECV_2019</vt:lpstr>
      <vt:lpstr>ECV_2020</vt:lpstr>
      <vt:lpstr>EEF_2016</vt:lpstr>
      <vt:lpstr>EEF_2017</vt:lpstr>
      <vt:lpstr>EEF_2018</vt:lpstr>
      <vt:lpstr>EEF_2019</vt:lpstr>
      <vt:lpstr>EEF_2020</vt:lpstr>
      <vt:lpstr>EfeitoAlavan_2016</vt:lpstr>
      <vt:lpstr>EfeitoAlavan_2017</vt:lpstr>
      <vt:lpstr>EfeitoAlavan_2018</vt:lpstr>
      <vt:lpstr>EfeitoAlavan_2019</vt:lpstr>
      <vt:lpstr>EfeitoAlavan_2020</vt:lpstr>
      <vt:lpstr>EfeitoFiscal_2016</vt:lpstr>
      <vt:lpstr>EfeitoFiscal_2017</vt:lpstr>
      <vt:lpstr>EfeitoFiscal_2018</vt:lpstr>
      <vt:lpstr>EfeitoFiscal_2019</vt:lpstr>
      <vt:lpstr>EfeitoFiscal_2020</vt:lpstr>
      <vt:lpstr>EstruFinan_2016</vt:lpstr>
      <vt:lpstr>EstruFinan_2017</vt:lpstr>
      <vt:lpstr>EstruFinan_2018</vt:lpstr>
      <vt:lpstr>EstruFinan_2019</vt:lpstr>
      <vt:lpstr>EstruFinan_2020</vt:lpstr>
      <vt:lpstr>GAC_2016</vt:lpstr>
      <vt:lpstr>GAC_2017</vt:lpstr>
      <vt:lpstr>GAC_2018</vt:lpstr>
      <vt:lpstr>GAC_2019</vt:lpstr>
      <vt:lpstr>GAC_2020</vt:lpstr>
      <vt:lpstr>GAF_2016</vt:lpstr>
      <vt:lpstr>GAF_2017</vt:lpstr>
      <vt:lpstr>GAF_2018</vt:lpstr>
      <vt:lpstr>GAF_2019</vt:lpstr>
      <vt:lpstr>GAF_2020</vt:lpstr>
      <vt:lpstr>GAO_2016</vt:lpstr>
      <vt:lpstr>GAO_2017</vt:lpstr>
      <vt:lpstr>GAO_2018</vt:lpstr>
      <vt:lpstr>GAO_2019</vt:lpstr>
      <vt:lpstr>GAO_2020</vt:lpstr>
      <vt:lpstr>MC_2016</vt:lpstr>
      <vt:lpstr>MC_2017</vt:lpstr>
      <vt:lpstr>MC_2018</vt:lpstr>
      <vt:lpstr>MC_2019</vt:lpstr>
      <vt:lpstr>MC_2020</vt:lpstr>
      <vt:lpstr>Operações_2016</vt:lpstr>
      <vt:lpstr>Operações_2017</vt:lpstr>
      <vt:lpstr>Operações_2018</vt:lpstr>
      <vt:lpstr>Operações_2019</vt:lpstr>
      <vt:lpstr>Operações_2020</vt:lpstr>
      <vt:lpstr>RAI_2016</vt:lpstr>
      <vt:lpstr>RAI_2017</vt:lpstr>
      <vt:lpstr>RAI_2018</vt:lpstr>
      <vt:lpstr>RAI_2019</vt:lpstr>
      <vt:lpstr>RAI_2020</vt:lpstr>
      <vt:lpstr>RO_2016</vt:lpstr>
      <vt:lpstr>RO_2017</vt:lpstr>
      <vt:lpstr>RO_2018</vt:lpstr>
      <vt:lpstr>RO_2019</vt:lpstr>
      <vt:lpstr>RO_2020</vt:lpstr>
      <vt:lpstr>rotacaoAtivo2016_percentagem</vt:lpstr>
      <vt:lpstr>rotacaoAtivo2017_percentagem</vt:lpstr>
      <vt:lpstr>rotacaoAtivo2018_percentagem</vt:lpstr>
      <vt:lpstr>rotacaoAtivo2019_percentagem</vt:lpstr>
      <vt:lpstr>rotacaoAtivo2020_percentagem</vt:lpstr>
      <vt:lpstr>RotAtivo2016</vt:lpstr>
      <vt:lpstr>RotAtivo2017</vt:lpstr>
      <vt:lpstr>RotAtivo2018</vt:lpstr>
      <vt:lpstr>RotAtivo2019</vt:lpstr>
      <vt:lpstr>RotAtivo2020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Luís Henriques</cp:lastModifiedBy>
  <cp:revision/>
  <dcterms:created xsi:type="dcterms:W3CDTF">2021-12-19T19:46:50Z</dcterms:created>
  <dcterms:modified xsi:type="dcterms:W3CDTF">2022-01-25T09:45:46Z</dcterms:modified>
  <cp:category/>
  <cp:contentStatus/>
</cp:coreProperties>
</file>