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yecto KADABRA\Matriz Estimacion\"/>
    </mc:Choice>
  </mc:AlternateContent>
  <bookViews>
    <workbookView xWindow="0" yWindow="0" windowWidth="20496" windowHeight="7620" activeTab="2"/>
  </bookViews>
  <sheets>
    <sheet name="Artefactos IOP" sheetId="1" r:id="rId1"/>
    <sheet name="Anteproyecto" sheetId="2" r:id="rId2"/>
    <sheet name="Resumen" sheetId="3" r:id="rId3"/>
    <sheet name="Sheet1" sheetId="4" r:id="rId4"/>
  </sheets>
  <definedNames>
    <definedName name="_xlnm._FilterDatabase" localSheetId="1" hidden="1">Anteproyecto!$A$7:$Q$57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3" l="1"/>
  <c r="P6" i="3"/>
  <c r="P7" i="3"/>
  <c r="P4" i="3"/>
  <c r="F10" i="3" l="1"/>
  <c r="F7" i="3"/>
  <c r="F6" i="3"/>
  <c r="F5" i="3"/>
  <c r="F4" i="3"/>
  <c r="H7" i="3"/>
  <c r="H6" i="3"/>
  <c r="H5" i="3"/>
  <c r="H4" i="3"/>
  <c r="I4" i="3" l="1"/>
  <c r="J4" i="3" s="1"/>
  <c r="I5" i="3"/>
  <c r="J5" i="3" s="1"/>
  <c r="Q5" i="3" s="1"/>
  <c r="I7" i="3"/>
  <c r="J7" i="3" s="1"/>
  <c r="F8" i="3"/>
  <c r="F12" i="3" s="1"/>
  <c r="I6" i="3"/>
  <c r="J6" i="3" s="1"/>
  <c r="G55" i="2"/>
  <c r="J55" i="2" s="1"/>
  <c r="G51" i="2"/>
  <c r="G47" i="2"/>
  <c r="J47" i="2" s="1"/>
  <c r="L47" i="2" s="1"/>
  <c r="G43" i="2"/>
  <c r="G23" i="2"/>
  <c r="G39" i="2"/>
  <c r="G35" i="2"/>
  <c r="G31" i="2"/>
  <c r="I31" i="2" s="1"/>
  <c r="G27" i="2"/>
  <c r="G19" i="2"/>
  <c r="G15" i="2"/>
  <c r="G11" i="2"/>
  <c r="L7" i="3" l="1"/>
  <c r="M7" i="3" s="1"/>
  <c r="Q7" i="3"/>
  <c r="S7" i="3" s="1"/>
  <c r="T7" i="3" s="1"/>
  <c r="L5" i="3"/>
  <c r="M5" i="3" s="1"/>
  <c r="S5" i="3"/>
  <c r="T5" i="3" s="1"/>
  <c r="L4" i="3"/>
  <c r="L6" i="3"/>
  <c r="M6" i="3" s="1"/>
  <c r="Q6" i="3"/>
  <c r="S6" i="3" s="1"/>
  <c r="T6" i="3" s="1"/>
  <c r="J8" i="3"/>
  <c r="H33" i="3" s="1"/>
  <c r="L55" i="2"/>
  <c r="P55" i="2" s="1"/>
  <c r="J51" i="2"/>
  <c r="L51" i="2" s="1"/>
  <c r="O47" i="2"/>
  <c r="Q47" i="2" s="1"/>
  <c r="N47" i="2"/>
  <c r="P47" i="2"/>
  <c r="J43" i="2"/>
  <c r="L43" i="2" s="1"/>
  <c r="I23" i="2"/>
  <c r="L23" i="2" s="1"/>
  <c r="I39" i="2"/>
  <c r="L39" i="2" s="1"/>
  <c r="I35" i="2"/>
  <c r="L35" i="2" s="1"/>
  <c r="L31" i="2"/>
  <c r="I27" i="2"/>
  <c r="L27" i="2" s="1"/>
  <c r="H19" i="2"/>
  <c r="L19" i="2" s="1"/>
  <c r="H15" i="2"/>
  <c r="L15" i="2" s="1"/>
  <c r="H11" i="2"/>
  <c r="L11" i="2" s="1"/>
  <c r="G57" i="2"/>
  <c r="K57" i="2" s="1"/>
  <c r="G56" i="2"/>
  <c r="K56" i="2" s="1"/>
  <c r="G54" i="2"/>
  <c r="G53" i="2"/>
  <c r="J53" i="2" s="1"/>
  <c r="G52" i="2"/>
  <c r="G50" i="2"/>
  <c r="J50" i="2" s="1"/>
  <c r="G49" i="2"/>
  <c r="G48" i="2"/>
  <c r="J48" i="2" s="1"/>
  <c r="G46" i="2"/>
  <c r="J46" i="2" s="1"/>
  <c r="L46" i="2" s="1"/>
  <c r="G45" i="2"/>
  <c r="G44" i="2"/>
  <c r="G42" i="2"/>
  <c r="J42" i="2" s="1"/>
  <c r="G41" i="2"/>
  <c r="J41" i="2" s="1"/>
  <c r="G40" i="2"/>
  <c r="J40" i="2" s="1"/>
  <c r="G9" i="2"/>
  <c r="H9" i="2" s="1"/>
  <c r="G10" i="2"/>
  <c r="H10" i="2" s="1"/>
  <c r="G12" i="2"/>
  <c r="H12" i="2" s="1"/>
  <c r="G13" i="2"/>
  <c r="H13" i="2" s="1"/>
  <c r="G14" i="2"/>
  <c r="H14" i="2" s="1"/>
  <c r="G16" i="2"/>
  <c r="H16" i="2" s="1"/>
  <c r="G17" i="2"/>
  <c r="H17" i="2" s="1"/>
  <c r="G18" i="2"/>
  <c r="H18" i="2" s="1"/>
  <c r="G20" i="2"/>
  <c r="I20" i="2" s="1"/>
  <c r="G21" i="2"/>
  <c r="I21" i="2" s="1"/>
  <c r="G22" i="2"/>
  <c r="I22" i="2" s="1"/>
  <c r="G24" i="2"/>
  <c r="I24" i="2" s="1"/>
  <c r="G25" i="2"/>
  <c r="G26" i="2"/>
  <c r="I26" i="2" s="1"/>
  <c r="G28" i="2"/>
  <c r="I28" i="2" s="1"/>
  <c r="G29" i="2"/>
  <c r="G30" i="2"/>
  <c r="I30" i="2" s="1"/>
  <c r="G32" i="2"/>
  <c r="G33" i="2"/>
  <c r="I33" i="2" s="1"/>
  <c r="G34" i="2"/>
  <c r="G36" i="2"/>
  <c r="I36" i="2" s="1"/>
  <c r="G37" i="2"/>
  <c r="G38" i="2"/>
  <c r="I38" i="2" s="1"/>
  <c r="G8" i="2"/>
  <c r="H8" i="2" s="1"/>
  <c r="M4" i="3" l="1"/>
  <c r="M8" i="3" s="1"/>
  <c r="L8" i="3"/>
  <c r="L9" i="3" s="1"/>
  <c r="L10" i="3" s="1"/>
  <c r="L11" i="3" s="1"/>
  <c r="Q4" i="3" s="1"/>
  <c r="O55" i="2"/>
  <c r="Q55" i="2" s="1"/>
  <c r="N55" i="2"/>
  <c r="P51" i="2"/>
  <c r="O51" i="2"/>
  <c r="Q51" i="2" s="1"/>
  <c r="N51" i="2"/>
  <c r="P43" i="2"/>
  <c r="O43" i="2"/>
  <c r="Q43" i="2" s="1"/>
  <c r="N43" i="2"/>
  <c r="P23" i="2"/>
  <c r="N23" i="2"/>
  <c r="O23" i="2"/>
  <c r="Q23" i="2" s="1"/>
  <c r="P39" i="2"/>
  <c r="O39" i="2"/>
  <c r="Q39" i="2" s="1"/>
  <c r="N39" i="2"/>
  <c r="P35" i="2"/>
  <c r="O35" i="2"/>
  <c r="Q35" i="2" s="1"/>
  <c r="N35" i="2"/>
  <c r="P31" i="2"/>
  <c r="O31" i="2"/>
  <c r="Q31" i="2" s="1"/>
  <c r="N31" i="2"/>
  <c r="P27" i="2"/>
  <c r="O27" i="2"/>
  <c r="Q27" i="2" s="1"/>
  <c r="N27" i="2"/>
  <c r="P19" i="2"/>
  <c r="O19" i="2"/>
  <c r="Q19" i="2" s="1"/>
  <c r="N19" i="2"/>
  <c r="P15" i="2"/>
  <c r="N15" i="2"/>
  <c r="O15" i="2"/>
  <c r="Q15" i="2" s="1"/>
  <c r="P11" i="2"/>
  <c r="O11" i="2"/>
  <c r="Q11" i="2" s="1"/>
  <c r="N11" i="2"/>
  <c r="O46" i="2"/>
  <c r="Q46" i="2" s="1"/>
  <c r="P46" i="2"/>
  <c r="N46" i="2"/>
  <c r="L56" i="2"/>
  <c r="L57" i="2"/>
  <c r="J44" i="2"/>
  <c r="L44" i="2" s="1"/>
  <c r="L48" i="2"/>
  <c r="L50" i="2"/>
  <c r="L53" i="2"/>
  <c r="J45" i="2"/>
  <c r="L45" i="2" s="1"/>
  <c r="J49" i="2"/>
  <c r="L49" i="2" s="1"/>
  <c r="J52" i="2"/>
  <c r="L52" i="2" s="1"/>
  <c r="J54" i="2"/>
  <c r="L54" i="2" s="1"/>
  <c r="L41" i="2"/>
  <c r="L42" i="2"/>
  <c r="L40" i="2"/>
  <c r="L9" i="2"/>
  <c r="L13" i="2"/>
  <c r="L18" i="2"/>
  <c r="L8" i="2"/>
  <c r="L24" i="2"/>
  <c r="L14" i="2"/>
  <c r="L20" i="2"/>
  <c r="L30" i="2"/>
  <c r="L36" i="2"/>
  <c r="L10" i="2"/>
  <c r="L16" i="2"/>
  <c r="L21" i="2"/>
  <c r="L26" i="2"/>
  <c r="L12" i="2"/>
  <c r="L17" i="2"/>
  <c r="L22" i="2"/>
  <c r="L28" i="2"/>
  <c r="L33" i="2"/>
  <c r="L38" i="2"/>
  <c r="I32" i="2"/>
  <c r="L32" i="2" s="1"/>
  <c r="I34" i="2"/>
  <c r="L34" i="2" s="1"/>
  <c r="I37" i="2"/>
  <c r="L37" i="2" s="1"/>
  <c r="I29" i="2"/>
  <c r="L29" i="2" s="1"/>
  <c r="I25" i="2"/>
  <c r="L25" i="2" s="1"/>
  <c r="M9" i="3" l="1"/>
  <c r="H34" i="3"/>
  <c r="S4" i="3"/>
  <c r="Q8" i="3"/>
  <c r="S33" i="3" s="1"/>
  <c r="U4" i="3"/>
  <c r="U6" i="3"/>
  <c r="U7" i="3"/>
  <c r="U5" i="3"/>
  <c r="O28" i="2"/>
  <c r="Q28" i="2" s="1"/>
  <c r="N28" i="2"/>
  <c r="P28" i="2"/>
  <c r="O54" i="2"/>
  <c r="Q54" i="2" s="1"/>
  <c r="N54" i="2"/>
  <c r="P54" i="2"/>
  <c r="O53" i="2"/>
  <c r="Q53" i="2" s="1"/>
  <c r="P53" i="2"/>
  <c r="N53" i="2"/>
  <c r="O29" i="2"/>
  <c r="Q29" i="2" s="1"/>
  <c r="P29" i="2"/>
  <c r="N29" i="2"/>
  <c r="O38" i="2"/>
  <c r="Q38" i="2" s="1"/>
  <c r="N38" i="2"/>
  <c r="P38" i="2"/>
  <c r="O17" i="2"/>
  <c r="Q17" i="2" s="1"/>
  <c r="N17" i="2"/>
  <c r="P17" i="2"/>
  <c r="O16" i="2"/>
  <c r="Q16" i="2" s="1"/>
  <c r="P16" i="2"/>
  <c r="N16" i="2"/>
  <c r="O20" i="2"/>
  <c r="Q20" i="2" s="1"/>
  <c r="P20" i="2"/>
  <c r="N20" i="2"/>
  <c r="O18" i="2"/>
  <c r="Q18" i="2" s="1"/>
  <c r="P18" i="2"/>
  <c r="N18" i="2"/>
  <c r="O42" i="2"/>
  <c r="Q42" i="2" s="1"/>
  <c r="P42" i="2"/>
  <c r="N42" i="2"/>
  <c r="O49" i="2"/>
  <c r="Q49" i="2" s="1"/>
  <c r="N49" i="2"/>
  <c r="P49" i="2"/>
  <c r="O48" i="2"/>
  <c r="Q48" i="2" s="1"/>
  <c r="P48" i="2"/>
  <c r="N48" i="2"/>
  <c r="O56" i="2"/>
  <c r="Q56" i="2" s="1"/>
  <c r="P56" i="2"/>
  <c r="N56" i="2"/>
  <c r="O37" i="2"/>
  <c r="Q37" i="2" s="1"/>
  <c r="P37" i="2"/>
  <c r="N37" i="2"/>
  <c r="O33" i="2"/>
  <c r="Q33" i="2" s="1"/>
  <c r="N33" i="2"/>
  <c r="P33" i="2"/>
  <c r="O12" i="2"/>
  <c r="Q12" i="2" s="1"/>
  <c r="N12" i="2"/>
  <c r="P12" i="2"/>
  <c r="O10" i="2"/>
  <c r="Q10" i="2" s="1"/>
  <c r="P10" i="2"/>
  <c r="N10" i="2"/>
  <c r="O14" i="2"/>
  <c r="Q14" i="2" s="1"/>
  <c r="P14" i="2"/>
  <c r="N14" i="2"/>
  <c r="O13" i="2"/>
  <c r="Q13" i="2" s="1"/>
  <c r="P13" i="2"/>
  <c r="N13" i="2"/>
  <c r="O41" i="2"/>
  <c r="Q41" i="2" s="1"/>
  <c r="P41" i="2"/>
  <c r="N41" i="2"/>
  <c r="O45" i="2"/>
  <c r="Q45" i="2" s="1"/>
  <c r="P45" i="2"/>
  <c r="N45" i="2"/>
  <c r="O44" i="2"/>
  <c r="Q44" i="2" s="1"/>
  <c r="N44" i="2"/>
  <c r="P44" i="2"/>
  <c r="O34" i="2"/>
  <c r="Q34" i="2" s="1"/>
  <c r="P34" i="2"/>
  <c r="N34" i="2"/>
  <c r="O26" i="2"/>
  <c r="Q26" i="2" s="1"/>
  <c r="P26" i="2"/>
  <c r="N26" i="2"/>
  <c r="O36" i="2"/>
  <c r="Q36" i="2" s="1"/>
  <c r="P36" i="2"/>
  <c r="N36" i="2"/>
  <c r="O24" i="2"/>
  <c r="Q24" i="2" s="1"/>
  <c r="P24" i="2"/>
  <c r="N24" i="2"/>
  <c r="O9" i="2"/>
  <c r="Q9" i="2" s="1"/>
  <c r="P9" i="2"/>
  <c r="N9" i="2"/>
  <c r="O25" i="2"/>
  <c r="Q25" i="2" s="1"/>
  <c r="P25" i="2"/>
  <c r="N25" i="2"/>
  <c r="O32" i="2"/>
  <c r="Q32" i="2" s="1"/>
  <c r="P32" i="2"/>
  <c r="N32" i="2"/>
  <c r="O22" i="2"/>
  <c r="Q22" i="2" s="1"/>
  <c r="N22" i="2"/>
  <c r="P22" i="2"/>
  <c r="O21" i="2"/>
  <c r="Q21" i="2" s="1"/>
  <c r="P21" i="2"/>
  <c r="N21" i="2"/>
  <c r="O30" i="2"/>
  <c r="Q30" i="2" s="1"/>
  <c r="P30" i="2"/>
  <c r="N30" i="2"/>
  <c r="O8" i="2"/>
  <c r="Q8" i="2" s="1"/>
  <c r="N8" i="2"/>
  <c r="P8" i="2"/>
  <c r="O40" i="2"/>
  <c r="Q40" i="2" s="1"/>
  <c r="P40" i="2"/>
  <c r="N40" i="2"/>
  <c r="O52" i="2"/>
  <c r="Q52" i="2" s="1"/>
  <c r="P52" i="2"/>
  <c r="N52" i="2"/>
  <c r="O50" i="2"/>
  <c r="Q50" i="2" s="1"/>
  <c r="P50" i="2"/>
  <c r="N50" i="2"/>
  <c r="O57" i="2"/>
  <c r="Q57" i="2" s="1"/>
  <c r="P57" i="2"/>
  <c r="N57" i="2"/>
  <c r="T4" i="3" l="1"/>
  <c r="T8" i="3" s="1"/>
  <c r="S34" i="3" s="1"/>
  <c r="S8" i="3"/>
</calcChain>
</file>

<file path=xl/comments1.xml><?xml version="1.0" encoding="utf-8"?>
<comments xmlns="http://schemas.openxmlformats.org/spreadsheetml/2006/main">
  <authors>
    <author>Marcelo Meza Vargas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Marcelo Meza Vargas:</t>
        </r>
        <r>
          <rPr>
            <sz val="9"/>
            <color indexed="81"/>
            <rFont val="Tahoma"/>
            <family val="2"/>
          </rPr>
          <t xml:space="preserve">
Se considera análisis y diseño </t>
        </r>
      </text>
    </comment>
  </commentList>
</comments>
</file>

<file path=xl/sharedStrings.xml><?xml version="1.0" encoding="utf-8"?>
<sst xmlns="http://schemas.openxmlformats.org/spreadsheetml/2006/main" count="293" uniqueCount="74">
  <si>
    <t xml:space="preserve">Artefactos Funcionales </t>
  </si>
  <si>
    <t xml:space="preserve">Especificaciones funcionales </t>
  </si>
  <si>
    <t>Modelo de Base de Datos</t>
  </si>
  <si>
    <t>Diccionario de Datos</t>
  </si>
  <si>
    <t>Casos de Prueba</t>
  </si>
  <si>
    <t>Manuales de Usuario</t>
  </si>
  <si>
    <t xml:space="preserve">Material de Capacitación </t>
  </si>
  <si>
    <t xml:space="preserve">Manuales de Operación </t>
  </si>
  <si>
    <t xml:space="preserve">Artefactos Técnicos </t>
  </si>
  <si>
    <t>Especificaciones Técnicas</t>
  </si>
  <si>
    <t>Código fuente</t>
  </si>
  <si>
    <t>Adm del Afiliado</t>
  </si>
  <si>
    <t xml:space="preserve">Adm de Cuentas </t>
  </si>
  <si>
    <t>Adm de Beneficios</t>
  </si>
  <si>
    <t>Especificaciones funcionales</t>
  </si>
  <si>
    <t>Modelo de Base de datos</t>
  </si>
  <si>
    <t xml:space="preserve">Diccionario de datos </t>
  </si>
  <si>
    <t>Horas</t>
  </si>
  <si>
    <t>Meses</t>
  </si>
  <si>
    <t>Detalle</t>
  </si>
  <si>
    <t>%
Acelerador 
IOP</t>
  </si>
  <si>
    <t>HH 
Construcción</t>
  </si>
  <si>
    <t>HH 
Certificación</t>
  </si>
  <si>
    <t>HH
Implementación</t>
  </si>
  <si>
    <t>Etapa</t>
  </si>
  <si>
    <t>Sub Etapa</t>
  </si>
  <si>
    <t>HH
Análisis</t>
  </si>
  <si>
    <t>Etiquetas de fila</t>
  </si>
  <si>
    <t>Total general</t>
  </si>
  <si>
    <t>Especificaciones técnicas</t>
  </si>
  <si>
    <t>HH sin IOP</t>
  </si>
  <si>
    <t>HH con IOP</t>
  </si>
  <si>
    <t>Suma de HH sin IOP</t>
  </si>
  <si>
    <t>Suma de HH con IOP</t>
  </si>
  <si>
    <t xml:space="preserve">Modelo de base de datos </t>
  </si>
  <si>
    <t>Casos de prueba</t>
  </si>
  <si>
    <t>Considera si/no</t>
  </si>
  <si>
    <t>SI</t>
  </si>
  <si>
    <t xml:space="preserve">Todos </t>
  </si>
  <si>
    <t>(Todas)</t>
  </si>
  <si>
    <t>%
Aceleración</t>
  </si>
  <si>
    <t>Dolares sin  IOP</t>
  </si>
  <si>
    <t>Dolares Con IOP</t>
  </si>
  <si>
    <t>Hora</t>
  </si>
  <si>
    <t>Tipo Cambio</t>
  </si>
  <si>
    <t>Suma de Dolares sin  IOP</t>
  </si>
  <si>
    <t>Suma de Dolares Con IOP</t>
  </si>
  <si>
    <t>Dolares</t>
  </si>
  <si>
    <t xml:space="preserve">1 Analisis y diseño funcional </t>
  </si>
  <si>
    <t>3 Certificación</t>
  </si>
  <si>
    <t>2 Construcción</t>
  </si>
  <si>
    <t>4 Implementación</t>
  </si>
  <si>
    <t>Pase a producción</t>
  </si>
  <si>
    <t>Soporte post producción</t>
  </si>
  <si>
    <t>Adm de Cobranza</t>
  </si>
  <si>
    <t>Adm de Cobranzas</t>
  </si>
  <si>
    <t xml:space="preserve">Distribución </t>
  </si>
  <si>
    <t>Recursos</t>
  </si>
  <si>
    <t>Riesgo</t>
  </si>
  <si>
    <t>Total Solos</t>
  </si>
  <si>
    <t>Total + Riego</t>
  </si>
  <si>
    <t>Total Juntos por AFP</t>
  </si>
  <si>
    <t>Costo del IOP</t>
  </si>
  <si>
    <t>Total Solos con IOP</t>
  </si>
  <si>
    <t>Total + Riesgo con IOP</t>
  </si>
  <si>
    <t>Costo por fase</t>
  </si>
  <si>
    <t>IOP</t>
  </si>
  <si>
    <t>Total Juntos por AFP con IOP</t>
  </si>
  <si>
    <t>Total Solos (Dolares)</t>
  </si>
  <si>
    <t>Total Integra juntos (Dolares)</t>
  </si>
  <si>
    <t>Recursos totales</t>
  </si>
  <si>
    <t>Costo/Hora</t>
  </si>
  <si>
    <t>Total</t>
  </si>
  <si>
    <t>Etapas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</si>
</sst>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4" fontId="2" fillId="0" borderId="0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9" fontId="2" fillId="0" borderId="0" xfId="1" applyFont="1" applyAlignment="1">
      <alignment horizontal="center" vertical="center" wrapText="1"/>
    </xf>
    <xf numFmtId="4" fontId="2" fillId="0" borderId="0" xfId="0" pivotButton="1" applyNumberFormat="1" applyFont="1"/>
    <xf numFmtId="4" fontId="2" fillId="0" borderId="0" xfId="0" applyNumberFormat="1" applyFont="1"/>
    <xf numFmtId="4" fontId="2" fillId="0" borderId="0" xfId="0" applyNumberFormat="1" applyFont="1" applyAlignment="1">
      <alignment horizontal="left"/>
    </xf>
    <xf numFmtId="4" fontId="2" fillId="0" borderId="0" xfId="1" applyNumberFormat="1" applyFont="1" applyAlignment="1">
      <alignment horizontal="center" vertical="center" wrapText="1"/>
    </xf>
    <xf numFmtId="4" fontId="2" fillId="2" borderId="1" xfId="0" applyNumberFormat="1" applyFont="1" applyFill="1" applyBorder="1" applyAlignment="1">
      <alignment vertical="center" wrapText="1"/>
    </xf>
    <xf numFmtId="9" fontId="2" fillId="0" borderId="0" xfId="1" applyFont="1"/>
    <xf numFmtId="4" fontId="6" fillId="0" borderId="0" xfId="0" applyNumberFormat="1" applyFont="1"/>
    <xf numFmtId="9" fontId="6" fillId="0" borderId="0" xfId="1" applyFont="1"/>
    <xf numFmtId="4" fontId="6" fillId="0" borderId="2" xfId="0" applyNumberFormat="1" applyFont="1" applyBorder="1"/>
    <xf numFmtId="0" fontId="7" fillId="0" borderId="0" xfId="0" applyFont="1"/>
    <xf numFmtId="4" fontId="2" fillId="0" borderId="1" xfId="0" applyNumberFormat="1" applyFont="1" applyBorder="1" applyAlignment="1">
      <alignment vertical="center" wrapText="1"/>
    </xf>
    <xf numFmtId="4" fontId="2" fillId="0" borderId="1" xfId="0" applyNumberFormat="1" applyFont="1" applyBorder="1"/>
    <xf numFmtId="4" fontId="6" fillId="0" borderId="1" xfId="0" applyNumberFormat="1" applyFont="1" applyBorder="1"/>
    <xf numFmtId="4" fontId="2" fillId="0" borderId="3" xfId="0" applyNumberFormat="1" applyFont="1" applyBorder="1" applyAlignment="1">
      <alignment vertical="center" wrapText="1"/>
    </xf>
    <xf numFmtId="4" fontId="6" fillId="3" borderId="1" xfId="0" applyNumberFormat="1" applyFont="1" applyFill="1" applyBorder="1"/>
    <xf numFmtId="4" fontId="6" fillId="3" borderId="1" xfId="0" applyNumberFormat="1" applyFont="1" applyFill="1" applyBorder="1" applyAlignment="1">
      <alignment horizontal="center"/>
    </xf>
    <xf numFmtId="9" fontId="6" fillId="3" borderId="1" xfId="1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left"/>
    </xf>
    <xf numFmtId="9" fontId="2" fillId="0" borderId="1" xfId="1" applyFont="1" applyBorder="1"/>
    <xf numFmtId="9" fontId="6" fillId="4" borderId="1" xfId="1" applyFont="1" applyFill="1" applyBorder="1" applyAlignment="1">
      <alignment horizontal="center"/>
    </xf>
    <xf numFmtId="9" fontId="2" fillId="5" borderId="1" xfId="1" applyFont="1" applyFill="1" applyBorder="1"/>
    <xf numFmtId="4" fontId="6" fillId="0" borderId="1" xfId="0" applyNumberFormat="1" applyFont="1" applyBorder="1" applyAlignment="1">
      <alignment horizontal="center"/>
    </xf>
    <xf numFmtId="4" fontId="8" fillId="3" borderId="1" xfId="0" applyNumberFormat="1" applyFont="1" applyFill="1" applyBorder="1"/>
    <xf numFmtId="4" fontId="9" fillId="0" borderId="1" xfId="0" applyNumberFormat="1" applyFont="1" applyBorder="1"/>
    <xf numFmtId="9" fontId="2" fillId="0" borderId="1" xfId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49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1"/>
              <a:t>Costo Core sin</a:t>
            </a:r>
            <a:r>
              <a:rPr lang="es-PE" sz="1800" b="1" baseline="0"/>
              <a:t> IOP</a:t>
            </a:r>
          </a:p>
        </c:rich>
      </c:tx>
      <c:layout>
        <c:manualLayout>
          <c:xMode val="edge"/>
          <c:yMode val="edge"/>
          <c:x val="0.43512578427361454"/>
          <c:y val="2.4444677556417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Resumen!$J$3</c:f>
              <c:strCache>
                <c:ptCount val="1"/>
                <c:pt idx="0">
                  <c:v>Total Solos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Resumen!$E$4:$E$7</c:f>
              <c:strCache>
                <c:ptCount val="4"/>
                <c:pt idx="0">
                  <c:v>1 Analisis y diseño funcional </c:v>
                </c:pt>
                <c:pt idx="1">
                  <c:v>2 Construcción</c:v>
                </c:pt>
                <c:pt idx="2">
                  <c:v>3 Certificación</c:v>
                </c:pt>
                <c:pt idx="3">
                  <c:v>4 Implementación</c:v>
                </c:pt>
              </c:strCache>
            </c:strRef>
          </c:cat>
          <c:val>
            <c:numRef>
              <c:f>Resumen!$J$4:$J$7</c:f>
              <c:numCache>
                <c:formatCode>#,##0.00</c:formatCode>
                <c:ptCount val="4"/>
                <c:pt idx="0">
                  <c:v>969035.29411764699</c:v>
                </c:pt>
                <c:pt idx="1">
                  <c:v>2653665.8823529412</c:v>
                </c:pt>
                <c:pt idx="2">
                  <c:v>684122.35294117662</c:v>
                </c:pt>
                <c:pt idx="3">
                  <c:v>59632.941176470587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4-46EF-8FE2-2886F9F899D0}"/>
            </c:ext>
          </c:extLst>
        </c:ser>
        <c:ser>
          <c:idx val="1"/>
          <c:order val="1"/>
          <c:tx>
            <c:strRef>
              <c:f>Resumen!$L$3</c:f>
              <c:strCache>
                <c:ptCount val="1"/>
                <c:pt idx="0">
                  <c:v>Total + Riego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Resumen!$E$4:$E$7</c:f>
              <c:strCache>
                <c:ptCount val="4"/>
                <c:pt idx="0">
                  <c:v>1 Analisis y diseño funcional </c:v>
                </c:pt>
                <c:pt idx="1">
                  <c:v>2 Construcción</c:v>
                </c:pt>
                <c:pt idx="2">
                  <c:v>3 Certificación</c:v>
                </c:pt>
                <c:pt idx="3">
                  <c:v>4 Implementación</c:v>
                </c:pt>
              </c:strCache>
            </c:strRef>
          </c:cat>
          <c:val>
            <c:numRef>
              <c:f>Resumen!$L$4:$L$7</c:f>
              <c:numCache>
                <c:formatCode>#,##0.00</c:formatCode>
                <c:ptCount val="4"/>
                <c:pt idx="0">
                  <c:v>1356649.4117647058</c:v>
                </c:pt>
                <c:pt idx="1">
                  <c:v>2919032.4705882352</c:v>
                </c:pt>
                <c:pt idx="2">
                  <c:v>820946.82352941192</c:v>
                </c:pt>
                <c:pt idx="3">
                  <c:v>59632.941176470587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4-46EF-8FE2-2886F9F899D0}"/>
            </c:ext>
          </c:extLst>
        </c:ser>
        <c:ser>
          <c:idx val="2"/>
          <c:order val="2"/>
          <c:tx>
            <c:strRef>
              <c:f>Resumen!$M$3</c:f>
              <c:strCache>
                <c:ptCount val="1"/>
                <c:pt idx="0">
                  <c:v>Total Juntos por AFP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Resumen!$E$4:$E$7</c:f>
              <c:strCache>
                <c:ptCount val="4"/>
                <c:pt idx="0">
                  <c:v>1 Analisis y diseño funcional </c:v>
                </c:pt>
                <c:pt idx="1">
                  <c:v>2 Construcción</c:v>
                </c:pt>
                <c:pt idx="2">
                  <c:v>3 Certificación</c:v>
                </c:pt>
                <c:pt idx="3">
                  <c:v>4 Implementación</c:v>
                </c:pt>
              </c:strCache>
            </c:strRef>
          </c:cat>
          <c:val>
            <c:numRef>
              <c:f>Resumen!$M$4:$M$7</c:f>
              <c:numCache>
                <c:formatCode>#,##0.00</c:formatCode>
                <c:ptCount val="4"/>
                <c:pt idx="0">
                  <c:v>678324.70588235289</c:v>
                </c:pt>
                <c:pt idx="1">
                  <c:v>1459516.2352941176</c:v>
                </c:pt>
                <c:pt idx="2">
                  <c:v>410473.41176470596</c:v>
                </c:pt>
                <c:pt idx="3">
                  <c:v>29816.470588235294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04-46EF-8FE2-2886F9F89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0977176"/>
        <c:axId val="620974552"/>
      </c:barChart>
      <c:catAx>
        <c:axId val="62097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20974552"/>
        <c:crosses val="autoZero"/>
        <c:auto val="1"/>
        <c:lblAlgn val="ctr"/>
        <c:lblOffset val="100"/>
        <c:noMultiLvlLbl val="0"/>
      </c:catAx>
      <c:valAx>
        <c:axId val="62097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2097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 Core con IOP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Resumen!$Q$3</c:f>
              <c:strCache>
                <c:ptCount val="1"/>
                <c:pt idx="0">
                  <c:v>Total Solos con IOP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Resumen!$E$4:$E$7</c:f>
              <c:strCache>
                <c:ptCount val="4"/>
                <c:pt idx="0">
                  <c:v>1 Analisis y diseño funcional </c:v>
                </c:pt>
                <c:pt idx="1">
                  <c:v>2 Construcción</c:v>
                </c:pt>
                <c:pt idx="2">
                  <c:v>3 Certificación</c:v>
                </c:pt>
                <c:pt idx="3">
                  <c:v>4 Implementación</c:v>
                </c:pt>
              </c:strCache>
            </c:strRef>
          </c:cat>
          <c:val>
            <c:numRef>
              <c:f>Resumen!$Q$4:$Q$7</c:f>
              <c:numCache>
                <c:formatCode>#,##0.00</c:formatCode>
                <c:ptCount val="4"/>
                <c:pt idx="0">
                  <c:v>871684.5176470587</c:v>
                </c:pt>
                <c:pt idx="1">
                  <c:v>1857566.1176470588</c:v>
                </c:pt>
                <c:pt idx="2">
                  <c:v>478885.64705882361</c:v>
                </c:pt>
                <c:pt idx="3">
                  <c:v>41743.058823529405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6-454E-995C-2EBC76234E1E}"/>
            </c:ext>
          </c:extLst>
        </c:ser>
        <c:ser>
          <c:idx val="1"/>
          <c:order val="1"/>
          <c:tx>
            <c:strRef>
              <c:f>Resumen!$S$3</c:f>
              <c:strCache>
                <c:ptCount val="1"/>
                <c:pt idx="0">
                  <c:v>Total + Riesgo con IOP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Resumen!$E$4:$E$7</c:f>
              <c:strCache>
                <c:ptCount val="4"/>
                <c:pt idx="0">
                  <c:v>1 Analisis y diseño funcional </c:v>
                </c:pt>
                <c:pt idx="1">
                  <c:v>2 Construcción</c:v>
                </c:pt>
                <c:pt idx="2">
                  <c:v>3 Certificación</c:v>
                </c:pt>
                <c:pt idx="3">
                  <c:v>4 Implementación</c:v>
                </c:pt>
              </c:strCache>
            </c:strRef>
          </c:cat>
          <c:val>
            <c:numRef>
              <c:f>Resumen!$S$4:$S$7</c:f>
              <c:numCache>
                <c:formatCode>#,##0.00</c:formatCode>
                <c:ptCount val="4"/>
                <c:pt idx="0">
                  <c:v>1220358.3247058822</c:v>
                </c:pt>
                <c:pt idx="1">
                  <c:v>2043322.7294117648</c:v>
                </c:pt>
                <c:pt idx="2">
                  <c:v>574662.77647058829</c:v>
                </c:pt>
                <c:pt idx="3">
                  <c:v>41743.058823529405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6-454E-995C-2EBC76234E1E}"/>
            </c:ext>
          </c:extLst>
        </c:ser>
        <c:ser>
          <c:idx val="2"/>
          <c:order val="2"/>
          <c:tx>
            <c:strRef>
              <c:f>Resumen!$T$3</c:f>
              <c:strCache>
                <c:ptCount val="1"/>
                <c:pt idx="0">
                  <c:v>Total Juntos por AFP con IOP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Resumen!$E$4:$E$7</c:f>
              <c:strCache>
                <c:ptCount val="4"/>
                <c:pt idx="0">
                  <c:v>1 Analisis y diseño funcional </c:v>
                </c:pt>
                <c:pt idx="1">
                  <c:v>2 Construcción</c:v>
                </c:pt>
                <c:pt idx="2">
                  <c:v>3 Certificación</c:v>
                </c:pt>
                <c:pt idx="3">
                  <c:v>4 Implementación</c:v>
                </c:pt>
              </c:strCache>
            </c:strRef>
          </c:cat>
          <c:val>
            <c:numRef>
              <c:f>Resumen!$T$4:$T$7</c:f>
              <c:numCache>
                <c:formatCode>#,##0.00</c:formatCode>
                <c:ptCount val="4"/>
                <c:pt idx="0">
                  <c:v>610179.16235294112</c:v>
                </c:pt>
                <c:pt idx="1">
                  <c:v>1021661.3647058824</c:v>
                </c:pt>
                <c:pt idx="2">
                  <c:v>287331.38823529414</c:v>
                </c:pt>
                <c:pt idx="3">
                  <c:v>20871.529411764703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96-454E-995C-2EBC76234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865903"/>
        <c:axId val="1660009807"/>
      </c:barChart>
      <c:catAx>
        <c:axId val="17538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60009807"/>
        <c:crosses val="autoZero"/>
        <c:auto val="1"/>
        <c:lblAlgn val="ctr"/>
        <c:lblOffset val="100"/>
        <c:noMultiLvlLbl val="0"/>
      </c:catAx>
      <c:valAx>
        <c:axId val="16600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5386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890426</xdr:colOff>
      <xdr:row>12</xdr:row>
      <xdr:rowOff>144802</xdr:rowOff>
    </xdr:from>
    <xdr:to>
      <xdr:col>15</xdr:col>
      <xdr:colOff>625012</xdr:colOff>
      <xdr:row>30</xdr:row>
      <xdr:rowOff>25686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895349</xdr:colOff>
      <xdr:row>12</xdr:row>
      <xdr:rowOff>157162</xdr:rowOff>
    </xdr:from>
    <xdr:to>
      <xdr:col>31</xdr:col>
      <xdr:colOff>85725</xdr:colOff>
      <xdr:row>30</xdr:row>
      <xdr:rowOff>53512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FCFBC9-4AB4-4A63-B357-CCF450402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elo Meza Vargas" refreshedDate="43341.390598958336" createdVersion="6" refreshedVersion="6" minRefreshableVersion="3" recordCount="51">
  <cacheSource type="worksheet">
    <worksheetSource ref="B7:Q61" sheet="Anteproyecto"/>
  </cacheSource>
  <cacheFields count="16">
    <cacheField name="Etapa" numFmtId="0">
      <sharedItems containsBlank="1" count="9">
        <s v="1 Analisis y diseño funcional "/>
        <s v="2 Construcción"/>
        <s v="3 Certificación"/>
        <s v="4 Implementación"/>
        <m/>
        <s v="Construcción" u="1"/>
        <s v="Certificación" u="1"/>
        <s v="Implementación" u="1"/>
        <s v="Analisis y diseño funcional " u="1"/>
      </sharedItems>
    </cacheField>
    <cacheField name="Considera si/no" numFmtId="0">
      <sharedItems containsBlank="1" count="2">
        <s v="SI"/>
        <m/>
      </sharedItems>
    </cacheField>
    <cacheField name="Sub Etapa" numFmtId="0">
      <sharedItems containsBlank="1" count="13">
        <s v="Especificaciones funcionales"/>
        <s v="Modelo de Base de datos"/>
        <s v="Diccionario de datos "/>
        <s v="Especificaciones técnicas"/>
        <s v="Código fuente"/>
        <s v="Modelo de base de datos "/>
        <s v="Casos de prueba"/>
        <s v="Pase a producción"/>
        <s v="Soporte post producción"/>
        <m/>
        <s v="Material de capacitación " u="1"/>
        <s v="Manual usuario" u="1"/>
        <s v="Manuales de operación " u="1"/>
      </sharedItems>
    </cacheField>
    <cacheField name="Detalle" numFmtId="0">
      <sharedItems containsBlank="1"/>
    </cacheField>
    <cacheField name="Meses" numFmtId="0">
      <sharedItems containsString="0" containsBlank="1" containsNumber="1" containsInteger="1" minValue="3" maxValue="48"/>
    </cacheField>
    <cacheField name="Horas" numFmtId="4">
      <sharedItems containsString="0" containsBlank="1" containsNumber="1" containsInteger="1" minValue="528" maxValue="8448"/>
    </cacheField>
    <cacheField name="HH_x000a_Análisis" numFmtId="4">
      <sharedItems containsString="0" containsBlank="1" containsNumber="1" minValue="0" maxValue="950.4"/>
    </cacheField>
    <cacheField name="HH _x000a_Construcción" numFmtId="4">
      <sharedItems containsString="0" containsBlank="1" containsNumber="1" minValue="0" maxValue="6758.4000000000005"/>
    </cacheField>
    <cacheField name="HH _x000a_Certificación" numFmtId="4">
      <sharedItems containsString="0" containsBlank="1" containsNumber="1" minValue="0" maxValue="1689.6000000000001"/>
    </cacheField>
    <cacheField name="HH_x000a_Implementación" numFmtId="4">
      <sharedItems containsString="0" containsBlank="1" containsNumber="1" minValue="0" maxValue="211.20000000000002"/>
    </cacheField>
    <cacheField name="HH sin IOP" numFmtId="4">
      <sharedItems containsString="0" containsBlank="1" containsNumber="1" minValue="739.2" maxValue="15206.400000000001"/>
    </cacheField>
    <cacheField name="%_x000a_Acelerador _x000a_IOP" numFmtId="0">
      <sharedItems containsString="0" containsBlank="1" containsNumber="1" minValue="0.2" maxValue="0.3"/>
    </cacheField>
    <cacheField name="%_x000a_Aceleración" numFmtId="4">
      <sharedItems containsString="0" containsBlank="1" containsNumber="1" minValue="147.84" maxValue="3041.2800000000007"/>
    </cacheField>
    <cacheField name="HH con IOP" numFmtId="0">
      <sharedItems containsString="0" containsBlank="1" containsNumber="1" minValue="591.36" maxValue="12165.12"/>
    </cacheField>
    <cacheField name="Dolares sin  IOP" numFmtId="4">
      <sharedItems containsString="0" containsBlank="1" containsNumber="1" minValue="17392.941176470587" maxValue="357797.64705882355"/>
    </cacheField>
    <cacheField name="Dolares Con IOP" numFmtId="4">
      <sharedItems containsString="0" containsBlank="1" containsNumber="1" minValue="13914.352941176472" maxValue="286238.117647058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  <x v="0"/>
    <s v="Adm del Afiliado"/>
    <n v="18"/>
    <n v="3168"/>
    <n v="950.4"/>
    <n v="0"/>
    <n v="0"/>
    <n v="0"/>
    <n v="4118.3999999999996"/>
    <n v="0.3"/>
    <n v="1235.5199999999998"/>
    <n v="2882.88"/>
    <n v="96903.529411764714"/>
    <n v="67832.470588235301"/>
  </r>
  <r>
    <x v="0"/>
    <x v="0"/>
    <x v="0"/>
    <s v="Adm de Cuentas "/>
    <n v="18"/>
    <n v="3168"/>
    <n v="950.4"/>
    <n v="0"/>
    <n v="0"/>
    <n v="0"/>
    <n v="4118.3999999999996"/>
    <n v="0.3"/>
    <n v="1235.5199999999998"/>
    <n v="2882.88"/>
    <n v="96903.529411764714"/>
    <n v="67832.470588235301"/>
  </r>
  <r>
    <x v="0"/>
    <x v="0"/>
    <x v="0"/>
    <s v="Adm de Beneficios"/>
    <n v="18"/>
    <n v="3168"/>
    <n v="950.4"/>
    <n v="0"/>
    <n v="0"/>
    <n v="0"/>
    <n v="4118.3999999999996"/>
    <n v="0.3"/>
    <n v="1235.5199999999998"/>
    <n v="2882.88"/>
    <n v="96903.529411764714"/>
    <n v="67832.470588235301"/>
  </r>
  <r>
    <x v="0"/>
    <x v="0"/>
    <x v="0"/>
    <s v="Adm de Cobranza"/>
    <n v="18"/>
    <n v="3168"/>
    <n v="950.4"/>
    <n v="0"/>
    <n v="0"/>
    <n v="0"/>
    <n v="4118.3999999999996"/>
    <n v="0.3"/>
    <n v="1235.5199999999998"/>
    <n v="2882.88"/>
    <n v="96903.529411764714"/>
    <n v="67832.470588235301"/>
  </r>
  <r>
    <x v="0"/>
    <x v="0"/>
    <x v="1"/>
    <s v="Adm del Afiliado"/>
    <n v="15"/>
    <n v="2640"/>
    <n v="792"/>
    <n v="0"/>
    <n v="0"/>
    <n v="0"/>
    <n v="3432"/>
    <n v="0.3"/>
    <n v="1029.5999999999999"/>
    <n v="2402.4"/>
    <n v="80752.941176470587"/>
    <n v="56527.058823529413"/>
  </r>
  <r>
    <x v="0"/>
    <x v="0"/>
    <x v="1"/>
    <s v="Adm de Cuentas "/>
    <n v="15"/>
    <n v="2640"/>
    <n v="792"/>
    <n v="0"/>
    <n v="0"/>
    <n v="0"/>
    <n v="3432"/>
    <n v="0.3"/>
    <n v="1029.5999999999999"/>
    <n v="2402.4"/>
    <n v="80752.941176470587"/>
    <n v="56527.058823529413"/>
  </r>
  <r>
    <x v="0"/>
    <x v="0"/>
    <x v="1"/>
    <s v="Adm de Beneficios"/>
    <n v="15"/>
    <n v="2640"/>
    <n v="792"/>
    <n v="0"/>
    <n v="0"/>
    <n v="0"/>
    <n v="3432"/>
    <n v="0.3"/>
    <n v="1029.5999999999999"/>
    <n v="2402.4"/>
    <n v="80752.941176470587"/>
    <n v="56527.058823529413"/>
  </r>
  <r>
    <x v="0"/>
    <x v="0"/>
    <x v="1"/>
    <s v="Adm de Cobranza"/>
    <n v="15"/>
    <n v="2640"/>
    <n v="792"/>
    <n v="0"/>
    <n v="0"/>
    <n v="0"/>
    <n v="3432"/>
    <n v="0.3"/>
    <n v="1029.5999999999999"/>
    <n v="2402.4"/>
    <n v="80752.941176470587"/>
    <n v="56527.058823529413"/>
  </r>
  <r>
    <x v="0"/>
    <x v="0"/>
    <x v="2"/>
    <s v="Adm del Afiliado"/>
    <n v="12"/>
    <n v="2112"/>
    <n v="633.6"/>
    <n v="0"/>
    <n v="0"/>
    <n v="0"/>
    <n v="2745.6"/>
    <n v="0.3"/>
    <n v="823.68"/>
    <n v="1921.92"/>
    <n v="64602.352941176476"/>
    <n v="45221.647058823532"/>
  </r>
  <r>
    <x v="0"/>
    <x v="0"/>
    <x v="2"/>
    <s v="Adm de Cuentas "/>
    <n v="12"/>
    <n v="2112"/>
    <n v="633.6"/>
    <n v="0"/>
    <n v="0"/>
    <n v="0"/>
    <n v="2745.6"/>
    <n v="0.3"/>
    <n v="823.68"/>
    <n v="1921.92"/>
    <n v="64602.352941176476"/>
    <n v="45221.647058823532"/>
  </r>
  <r>
    <x v="0"/>
    <x v="0"/>
    <x v="2"/>
    <s v="Adm de Beneficios"/>
    <n v="12"/>
    <n v="2112"/>
    <n v="633.6"/>
    <n v="0"/>
    <n v="0"/>
    <n v="0"/>
    <n v="2745.6"/>
    <n v="0.3"/>
    <n v="823.68"/>
    <n v="1921.92"/>
    <n v="64602.352941176476"/>
    <n v="45221.647058823532"/>
  </r>
  <r>
    <x v="0"/>
    <x v="0"/>
    <x v="2"/>
    <s v="Adm de Cobranza"/>
    <n v="12"/>
    <n v="2112"/>
    <n v="633.6"/>
    <n v="0"/>
    <n v="0"/>
    <n v="0"/>
    <n v="2745.6"/>
    <n v="0.3"/>
    <n v="823.68"/>
    <n v="1921.92"/>
    <n v="64602.352941176476"/>
    <n v="45221.647058823532"/>
  </r>
  <r>
    <x v="1"/>
    <x v="0"/>
    <x v="0"/>
    <s v="Adm del Afiliado"/>
    <n v="8"/>
    <n v="1408"/>
    <n v="0"/>
    <n v="1126.4000000000001"/>
    <n v="0"/>
    <n v="0"/>
    <n v="2534.4"/>
    <n v="0.3"/>
    <n v="760.32"/>
    <n v="1774.08"/>
    <n v="59632.941176470587"/>
    <n v="41743.058823529413"/>
  </r>
  <r>
    <x v="1"/>
    <x v="0"/>
    <x v="0"/>
    <s v="Adm de Cuentas "/>
    <n v="8"/>
    <n v="1408"/>
    <n v="0"/>
    <n v="1126.4000000000001"/>
    <n v="0"/>
    <n v="0"/>
    <n v="2534.4"/>
    <n v="0.3"/>
    <n v="760.32"/>
    <n v="1774.08"/>
    <n v="59632.941176470587"/>
    <n v="41743.058823529413"/>
  </r>
  <r>
    <x v="1"/>
    <x v="0"/>
    <x v="0"/>
    <s v="Adm de Beneficios"/>
    <n v="8"/>
    <n v="1408"/>
    <n v="0"/>
    <n v="1126.4000000000001"/>
    <n v="0"/>
    <n v="0"/>
    <n v="2534.4"/>
    <n v="0.3"/>
    <n v="760.32"/>
    <n v="1774.08"/>
    <n v="59632.941176470587"/>
    <n v="41743.058823529413"/>
  </r>
  <r>
    <x v="1"/>
    <x v="0"/>
    <x v="0"/>
    <s v="Adm de Cobranzas"/>
    <n v="8"/>
    <n v="1408"/>
    <n v="0"/>
    <n v="1126.4000000000001"/>
    <n v="0"/>
    <n v="0"/>
    <n v="2534.4"/>
    <n v="0.3"/>
    <n v="760.32"/>
    <n v="1774.08"/>
    <n v="59632.941176470587"/>
    <n v="41743.058823529413"/>
  </r>
  <r>
    <x v="1"/>
    <x v="0"/>
    <x v="1"/>
    <s v="Adm del Afiliado"/>
    <n v="12"/>
    <n v="2112"/>
    <n v="0"/>
    <n v="1689.6000000000001"/>
    <n v="0"/>
    <n v="0"/>
    <n v="3801.6000000000004"/>
    <n v="0.3"/>
    <n v="1140.48"/>
    <n v="2661.1200000000003"/>
    <n v="89449.411764705888"/>
    <n v="62614.588235294126"/>
  </r>
  <r>
    <x v="1"/>
    <x v="0"/>
    <x v="1"/>
    <s v="Adm de Cuentas "/>
    <n v="12"/>
    <n v="2112"/>
    <n v="0"/>
    <n v="1689.6000000000001"/>
    <n v="0"/>
    <n v="0"/>
    <n v="3801.6000000000004"/>
    <n v="0.3"/>
    <n v="1140.48"/>
    <n v="2661.1200000000003"/>
    <n v="89449.411764705888"/>
    <n v="62614.588235294126"/>
  </r>
  <r>
    <x v="1"/>
    <x v="0"/>
    <x v="1"/>
    <s v="Adm de Beneficios"/>
    <n v="14"/>
    <n v="2464"/>
    <n v="0"/>
    <n v="1971.2"/>
    <n v="0"/>
    <n v="0"/>
    <n v="4435.2"/>
    <n v="0.3"/>
    <n v="1330.56"/>
    <n v="3104.64"/>
    <n v="104357.64705882354"/>
    <n v="73050.352941176461"/>
  </r>
  <r>
    <x v="1"/>
    <x v="0"/>
    <x v="1"/>
    <s v="Adm de Cobranzas"/>
    <n v="14"/>
    <n v="2464"/>
    <n v="0"/>
    <n v="1971.2"/>
    <n v="0"/>
    <n v="0"/>
    <n v="4435.2"/>
    <n v="0.3"/>
    <n v="1330.56"/>
    <n v="3104.64"/>
    <n v="104357.64705882354"/>
    <n v="73050.352941176461"/>
  </r>
  <r>
    <x v="1"/>
    <x v="0"/>
    <x v="2"/>
    <s v="Adm del Afiliado"/>
    <n v="8"/>
    <n v="1408"/>
    <n v="0"/>
    <n v="1126.4000000000001"/>
    <n v="0"/>
    <n v="0"/>
    <n v="2534.4"/>
    <n v="0.3"/>
    <n v="760.32"/>
    <n v="1774.08"/>
    <n v="59632.941176470587"/>
    <n v="41743.058823529413"/>
  </r>
  <r>
    <x v="1"/>
    <x v="0"/>
    <x v="2"/>
    <s v="Adm de Cuentas "/>
    <n v="8"/>
    <n v="1408"/>
    <n v="0"/>
    <n v="1126.4000000000001"/>
    <n v="0"/>
    <n v="0"/>
    <n v="2534.4"/>
    <n v="0.3"/>
    <n v="760.32"/>
    <n v="1774.08"/>
    <n v="59632.941176470587"/>
    <n v="41743.058823529413"/>
  </r>
  <r>
    <x v="1"/>
    <x v="0"/>
    <x v="2"/>
    <s v="Adm de Beneficios"/>
    <n v="10"/>
    <n v="1760"/>
    <n v="0"/>
    <n v="1408"/>
    <n v="0"/>
    <n v="0"/>
    <n v="3168"/>
    <n v="0.3"/>
    <n v="950.4"/>
    <n v="2217.6"/>
    <n v="74541.176470588238"/>
    <n v="52178.823529411769"/>
  </r>
  <r>
    <x v="1"/>
    <x v="0"/>
    <x v="2"/>
    <s v="Adm de Cobranzas"/>
    <n v="10"/>
    <n v="1760"/>
    <n v="0"/>
    <n v="1408"/>
    <n v="0"/>
    <n v="0"/>
    <n v="3168"/>
    <n v="0.3"/>
    <n v="950.4"/>
    <n v="2217.6"/>
    <n v="74541.176470588238"/>
    <n v="52178.823529411769"/>
  </r>
  <r>
    <x v="1"/>
    <x v="0"/>
    <x v="3"/>
    <s v="Adm del Afiliado"/>
    <n v="10"/>
    <n v="1760"/>
    <n v="0"/>
    <n v="1408"/>
    <n v="0"/>
    <n v="0"/>
    <n v="3168"/>
    <n v="0.3"/>
    <n v="950.4"/>
    <n v="2217.6"/>
    <n v="74541.176470588238"/>
    <n v="52178.823529411769"/>
  </r>
  <r>
    <x v="1"/>
    <x v="0"/>
    <x v="3"/>
    <s v="Adm de Cuentas "/>
    <n v="10"/>
    <n v="1760"/>
    <n v="0"/>
    <n v="1408"/>
    <n v="0"/>
    <n v="0"/>
    <n v="3168"/>
    <n v="0.3"/>
    <n v="950.4"/>
    <n v="2217.6"/>
    <n v="74541.176470588238"/>
    <n v="52178.823529411769"/>
  </r>
  <r>
    <x v="1"/>
    <x v="0"/>
    <x v="3"/>
    <s v="Adm de Beneficios"/>
    <n v="12"/>
    <n v="2112"/>
    <n v="0"/>
    <n v="1689.6000000000001"/>
    <n v="0"/>
    <n v="0"/>
    <n v="3801.6000000000004"/>
    <n v="0.3"/>
    <n v="1140.48"/>
    <n v="2661.1200000000003"/>
    <n v="89449.411764705888"/>
    <n v="62614.588235294126"/>
  </r>
  <r>
    <x v="1"/>
    <x v="0"/>
    <x v="3"/>
    <s v="Adm de Cobranzas"/>
    <n v="12"/>
    <n v="2112"/>
    <n v="0"/>
    <n v="1689.6000000000001"/>
    <n v="0"/>
    <n v="0"/>
    <n v="3801.6000000000004"/>
    <n v="0.3"/>
    <n v="1140.48"/>
    <n v="2661.1200000000003"/>
    <n v="89449.411764705888"/>
    <n v="62614.588235294126"/>
  </r>
  <r>
    <x v="1"/>
    <x v="0"/>
    <x v="4"/>
    <s v="Adm del Afiliado"/>
    <n v="48"/>
    <n v="8448"/>
    <n v="0"/>
    <n v="6758.4000000000005"/>
    <n v="0"/>
    <n v="0"/>
    <n v="15206.400000000001"/>
    <n v="0.2"/>
    <n v="3041.2800000000007"/>
    <n v="12165.12"/>
    <n v="357797.64705882355"/>
    <n v="286238.11764705885"/>
  </r>
  <r>
    <x v="1"/>
    <x v="0"/>
    <x v="4"/>
    <s v="Adm de Cuentas "/>
    <n v="48"/>
    <n v="8448"/>
    <n v="0"/>
    <n v="6758.4000000000005"/>
    <n v="0"/>
    <n v="0"/>
    <n v="15206.400000000001"/>
    <n v="0.2"/>
    <n v="3041.2800000000007"/>
    <n v="12165.12"/>
    <n v="357797.64705882355"/>
    <n v="286238.11764705885"/>
  </r>
  <r>
    <x v="1"/>
    <x v="0"/>
    <x v="4"/>
    <s v="Adm de Beneficios"/>
    <n v="48"/>
    <n v="8448"/>
    <n v="0"/>
    <n v="6758.4000000000005"/>
    <n v="0"/>
    <n v="0"/>
    <n v="15206.400000000001"/>
    <n v="0.2"/>
    <n v="3041.2800000000007"/>
    <n v="12165.12"/>
    <n v="357797.64705882355"/>
    <n v="286238.11764705885"/>
  </r>
  <r>
    <x v="1"/>
    <x v="0"/>
    <x v="4"/>
    <s v="Adm de Cobranzas"/>
    <n v="48"/>
    <n v="8448"/>
    <n v="0"/>
    <n v="6758.4000000000005"/>
    <n v="0"/>
    <n v="0"/>
    <n v="15206.400000000001"/>
    <n v="0.2"/>
    <n v="3041.2800000000007"/>
    <n v="12165.12"/>
    <n v="357797.64705882355"/>
    <n v="286238.11764705885"/>
  </r>
  <r>
    <x v="2"/>
    <x v="0"/>
    <x v="0"/>
    <s v="Adm del Afiliado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0"/>
    <s v="Adm de Cuentas 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0"/>
    <s v="Adm de Beneficios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0"/>
    <s v="Adm de Cobranza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5"/>
    <s v="Adm del Afiliado"/>
    <n v="4"/>
    <n v="704"/>
    <n v="0"/>
    <n v="0"/>
    <n v="281.60000000000002"/>
    <n v="0"/>
    <n v="985.6"/>
    <n v="0.2"/>
    <n v="197.12"/>
    <n v="788.48"/>
    <n v="23190.588235294119"/>
    <n v="18552.470588235294"/>
  </r>
  <r>
    <x v="2"/>
    <x v="0"/>
    <x v="5"/>
    <s v="Adm de Cuentas "/>
    <n v="4"/>
    <n v="704"/>
    <n v="0"/>
    <n v="0"/>
    <n v="281.60000000000002"/>
    <n v="0"/>
    <n v="985.6"/>
    <n v="0.2"/>
    <n v="197.12"/>
    <n v="788.48"/>
    <n v="23190.588235294119"/>
    <n v="18552.470588235294"/>
  </r>
  <r>
    <x v="2"/>
    <x v="0"/>
    <x v="5"/>
    <s v="Adm de Beneficios"/>
    <n v="4"/>
    <n v="704"/>
    <n v="0"/>
    <n v="0"/>
    <n v="281.60000000000002"/>
    <n v="0"/>
    <n v="985.6"/>
    <n v="0.2"/>
    <n v="197.12"/>
    <n v="788.48"/>
    <n v="23190.588235294119"/>
    <n v="18552.470588235294"/>
  </r>
  <r>
    <x v="2"/>
    <x v="0"/>
    <x v="5"/>
    <s v="Adm de Cobranza"/>
    <n v="4"/>
    <n v="704"/>
    <n v="0"/>
    <n v="0"/>
    <n v="281.60000000000002"/>
    <n v="0"/>
    <n v="985.6"/>
    <n v="0.2"/>
    <n v="197.12"/>
    <n v="788.48"/>
    <n v="23190.588235294119"/>
    <n v="18552.470588235294"/>
  </r>
  <r>
    <x v="2"/>
    <x v="0"/>
    <x v="2"/>
    <s v="Adm del Afiliado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2"/>
    <s v="Adm de Cuentas 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2"/>
    <s v="Adm de Beneficios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2"/>
    <s v="Adm de Cobranza"/>
    <n v="3"/>
    <n v="528"/>
    <n v="0"/>
    <n v="0"/>
    <n v="211.20000000000002"/>
    <n v="0"/>
    <n v="739.2"/>
    <n v="0.2"/>
    <n v="147.84"/>
    <n v="591.36"/>
    <n v="17392.941176470587"/>
    <n v="13914.352941176472"/>
  </r>
  <r>
    <x v="2"/>
    <x v="0"/>
    <x v="6"/>
    <s v="Adm del Afiliado"/>
    <n v="12"/>
    <n v="2112"/>
    <n v="0"/>
    <n v="0"/>
    <n v="844.80000000000007"/>
    <n v="0"/>
    <n v="2956.8"/>
    <n v="0.2"/>
    <n v="591.36"/>
    <n v="2365.44"/>
    <n v="69571.76470588235"/>
    <n v="55657.411764705888"/>
  </r>
  <r>
    <x v="2"/>
    <x v="0"/>
    <x v="6"/>
    <s v="Adm de Cuentas "/>
    <n v="18"/>
    <n v="3168"/>
    <n v="0"/>
    <n v="0"/>
    <n v="1267.2"/>
    <n v="0"/>
    <n v="4435.2"/>
    <n v="0.2"/>
    <n v="887.04"/>
    <n v="3548.16"/>
    <n v="104357.64705882354"/>
    <n v="83486.117647058825"/>
  </r>
  <r>
    <x v="2"/>
    <x v="0"/>
    <x v="6"/>
    <s v="Adm de Beneficios"/>
    <n v="24"/>
    <n v="4224"/>
    <n v="0"/>
    <n v="0"/>
    <n v="1689.6000000000001"/>
    <n v="0"/>
    <n v="5913.6"/>
    <n v="0.2"/>
    <n v="1182.72"/>
    <n v="4730.88"/>
    <n v="139143.5294117647"/>
    <n v="111314.82352941178"/>
  </r>
  <r>
    <x v="2"/>
    <x v="0"/>
    <x v="6"/>
    <s v="Adm de Cobranza"/>
    <n v="24"/>
    <n v="4224"/>
    <n v="0"/>
    <n v="0"/>
    <n v="1689.6000000000001"/>
    <n v="0"/>
    <n v="5913.6"/>
    <n v="0.2"/>
    <n v="1182.72"/>
    <n v="4730.88"/>
    <n v="139143.5294117647"/>
    <n v="111314.82352941178"/>
  </r>
  <r>
    <x v="3"/>
    <x v="0"/>
    <x v="7"/>
    <s v="Todos "/>
    <n v="6"/>
    <n v="1056"/>
    <n v="0"/>
    <n v="0"/>
    <n v="0"/>
    <n v="211.20000000000002"/>
    <n v="1267.2"/>
    <n v="0.2"/>
    <n v="253.44000000000003"/>
    <n v="1013.76"/>
    <n v="29816.470588235294"/>
    <n v="23853.176470588238"/>
  </r>
  <r>
    <x v="3"/>
    <x v="0"/>
    <x v="8"/>
    <s v="Todos "/>
    <n v="6"/>
    <n v="1056"/>
    <n v="0"/>
    <n v="0"/>
    <n v="0"/>
    <n v="211.20000000000002"/>
    <n v="1267.2"/>
    <n v="0.2"/>
    <n v="253.44000000000003"/>
    <n v="1013.76"/>
    <n v="29816.470588235294"/>
    <n v="23853.176470588238"/>
  </r>
  <r>
    <x v="4"/>
    <x v="1"/>
    <x v="9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6:C41" firstHeaderRow="0" firstDataRow="1" firstDataCol="1" rowPageCount="1" colPageCount="1"/>
  <pivotFields count="16">
    <pivotField axis="axisRow" showAll="0" sortType="ascending">
      <items count="10">
        <item sd="0" x="0"/>
        <item sd="0" x="1"/>
        <item sd="0" x="2"/>
        <item sd="0" x="3"/>
        <item sd="0" m="1" x="8"/>
        <item sd="0" m="1" x="6"/>
        <item sd="0" m="1" x="5"/>
        <item sd="0" m="1" x="7"/>
        <item h="1" sd="0" x="4"/>
        <item t="default"/>
      </items>
    </pivotField>
    <pivotField axis="axisPage" showAll="0" defaultSubtotal="0">
      <items count="2">
        <item x="0"/>
        <item x="1"/>
      </items>
    </pivotField>
    <pivotField axis="axisRow" showAll="0">
      <items count="14">
        <item x="2"/>
        <item x="0"/>
        <item x="1"/>
        <item x="3"/>
        <item x="4"/>
        <item x="9"/>
        <item x="5"/>
        <item x="6"/>
        <item m="1" x="11"/>
        <item m="1" x="10"/>
        <item m="1" x="12"/>
        <item x="7"/>
        <item x="8"/>
        <item t="default"/>
      </items>
    </pivotField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showAll="0" defaultSubtotal="0"/>
    <pivotField numFmtId="9" showAll="0"/>
    <pivotField showAll="0" defaultSubtotal="0"/>
    <pivotField showAll="0" defaultSubtotal="0"/>
    <pivotField dataField="1" showAll="0" defaultSubtotal="0"/>
    <pivotField dataField="1" showAll="0" defaultSubtotal="0"/>
  </pivotFields>
  <rowFields count="2">
    <field x="0"/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a de Dolares sin  IOP" fld="14" baseField="0" baseItem="1"/>
    <dataField name="Suma de Dolares Con IOP" fld="15" baseField="0" baseItem="1"/>
  </dataFields>
  <formats count="24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2">
          <reference field="0" count="0" selected="0"/>
          <reference field="2" count="0"/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4"/>
          </reference>
          <reference field="2" count="3">
            <x v="0"/>
            <x v="1"/>
            <x v="2"/>
          </reference>
        </references>
      </pivotArea>
    </format>
    <format dxfId="10">
      <pivotArea dataOnly="0" labelOnly="1" fieldPosition="0">
        <references count="2">
          <reference field="0" count="1" selected="0">
            <x v="6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2">
          <reference field="0" count="1" selected="0">
            <x v="4"/>
          </reference>
          <reference field="2" count="3">
            <x v="0"/>
            <x v="1"/>
            <x v="2"/>
          </reference>
        </references>
      </pivotArea>
    </format>
    <format dxfId="2">
      <pivotArea dataOnly="0" labelOnly="1" fieldPosition="0">
        <references count="2">
          <reference field="0" count="1" selected="0">
            <x v="6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1">
      <pivotArea dataOnly="0" labelOnly="1" fieldPosition="0">
        <references count="2">
          <reference field="0" count="1" selected="0">
            <x v="5"/>
          </reference>
          <reference field="2" count="4">
            <x v="0"/>
            <x v="1"/>
            <x v="6"/>
            <x v="7"/>
          </reference>
        </references>
      </pivotArea>
    </format>
    <format dxfId="0">
      <pivotArea dataOnly="0" labelOnly="1" fieldPosition="0">
        <references count="2">
          <reference field="0" count="1" selected="0">
            <x v="7"/>
          </reference>
          <reference field="2" count="3">
            <x v="8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C8" firstHeaderRow="0" firstDataRow="1" firstDataCol="1" rowPageCount="1" colPageCount="1"/>
  <pivotFields count="16">
    <pivotField axis="axisRow" showAll="0" sortType="ascending">
      <items count="10">
        <item sd="0" x="0"/>
        <item sd="0" x="1"/>
        <item sd="0" x="2"/>
        <item sd="0" x="3"/>
        <item h="1" sd="0" m="1" x="8"/>
        <item h="1" sd="0" m="1" x="6"/>
        <item h="1" sd="0" m="1" x="5"/>
        <item h="1" sd="0" m="1" x="7"/>
        <item h="1" x="4"/>
        <item t="default"/>
      </items>
    </pivotField>
    <pivotField axis="axisPage" showAll="0" defaultSubtotal="0">
      <items count="2">
        <item x="0"/>
        <item x="1"/>
      </items>
    </pivotField>
    <pivotField axis="axisRow" showAll="0" sortType="descending">
      <items count="14">
        <item x="2"/>
        <item sd="0" x="0"/>
        <item x="1"/>
        <item x="3"/>
        <item x="4"/>
        <item x="9"/>
        <item x="5"/>
        <item x="6"/>
        <item m="1" x="11"/>
        <item m="1" x="10"/>
        <item m="1" x="12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dataField="1" showAll="0" defaultSubtotal="0"/>
    <pivotField numFmtId="9" showAll="0"/>
    <pivotField showAll="0" defaultSubtotal="0"/>
    <pivotField dataField="1" showAll="0" defaultSubtotal="0"/>
    <pivotField showAll="0" defaultSubtotal="0"/>
    <pivotField showAll="0" defaultSubtotal="0"/>
  </pivotFields>
  <rowFields count="2">
    <field x="0"/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a de HH sin IOP" fld="10" baseField="1" baseItem="1"/>
    <dataField name="Suma de HH con IOP" fld="13" baseField="1" baseItem="1"/>
  </dataFields>
  <formats count="25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0" type="button" dataOnly="0" labelOnly="1" outline="0" axis="axisRow" fieldPosition="0"/>
    </format>
    <format dxfId="45">
      <pivotArea dataOnly="0" labelOnly="1" fieldPosition="0">
        <references count="1">
          <reference field="0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2">
          <reference field="0" count="0" selected="0"/>
          <reference field="2" count="0"/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0" type="button" dataOnly="0" labelOnly="1" outline="0" axis="axisRow" fieldPosition="0"/>
    </format>
    <format dxfId="39">
      <pivotArea dataOnly="0" labelOnly="1" outline="0" axis="axisValues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2">
          <reference field="0" count="1" selected="0">
            <x v="4"/>
          </reference>
          <reference field="2" count="3">
            <x v="0"/>
            <x v="1"/>
            <x v="2"/>
          </reference>
        </references>
      </pivotArea>
    </format>
    <format dxfId="35">
      <pivotArea dataOnly="0" labelOnly="1" fieldPosition="0">
        <references count="2">
          <reference field="0" count="1" selected="0">
            <x v="6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34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2">
          <reference field="0" count="1" selected="0">
            <x v="4"/>
          </reference>
          <reference field="2" count="3">
            <x v="0"/>
            <x v="1"/>
            <x v="2"/>
          </reference>
        </references>
      </pivotArea>
    </format>
    <format dxfId="27">
      <pivotArea dataOnly="0" labelOnly="1" fieldPosition="0">
        <references count="2">
          <reference field="0" count="1" selected="0">
            <x v="6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26">
      <pivotArea dataOnly="0" labelOnly="1" fieldPosition="0">
        <references count="2">
          <reference field="0" count="1" selected="0">
            <x v="5"/>
          </reference>
          <reference field="2" count="4">
            <x v="0"/>
            <x v="1"/>
            <x v="6"/>
            <x v="7"/>
          </reference>
        </references>
      </pivotArea>
    </format>
    <format dxfId="25">
      <pivotArea dataOnly="0" labelOnly="1" fieldPosition="0">
        <references count="2">
          <reference field="0" count="1" selected="0">
            <x v="7"/>
          </reference>
          <reference field="2" count="3">
            <x v="8"/>
            <x v="9"/>
            <x v="10"/>
          </reference>
        </references>
      </pivotArea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6"/>
  <sheetViews>
    <sheetView workbookViewId="0">
      <selection activeCell="B4" sqref="B4:B10"/>
    </sheetView>
  </sheetViews>
  <sheetFormatPr baseColWidth="10" defaultColWidth="11.44140625" defaultRowHeight="14.4" x14ac:dyDescent="0.3"/>
  <cols>
    <col min="2" max="2" width="27" bestFit="1" customWidth="1"/>
  </cols>
  <sheetData>
    <row r="3" spans="2:2" x14ac:dyDescent="0.3">
      <c r="B3" t="s">
        <v>0</v>
      </c>
    </row>
    <row r="4" spans="2:2" x14ac:dyDescent="0.3">
      <c r="B4" t="s">
        <v>1</v>
      </c>
    </row>
    <row r="5" spans="2:2" x14ac:dyDescent="0.3">
      <c r="B5" t="s">
        <v>2</v>
      </c>
    </row>
    <row r="6" spans="2:2" x14ac:dyDescent="0.3">
      <c r="B6" t="s">
        <v>3</v>
      </c>
    </row>
    <row r="7" spans="2:2" x14ac:dyDescent="0.3">
      <c r="B7" t="s">
        <v>4</v>
      </c>
    </row>
    <row r="8" spans="2:2" x14ac:dyDescent="0.3">
      <c r="B8" t="s">
        <v>5</v>
      </c>
    </row>
    <row r="9" spans="2:2" x14ac:dyDescent="0.3">
      <c r="B9" t="s">
        <v>6</v>
      </c>
    </row>
    <row r="10" spans="2:2" x14ac:dyDescent="0.3">
      <c r="B10" t="s">
        <v>7</v>
      </c>
    </row>
    <row r="12" spans="2:2" x14ac:dyDescent="0.3">
      <c r="B12" t="s">
        <v>8</v>
      </c>
    </row>
    <row r="13" spans="2:2" x14ac:dyDescent="0.3">
      <c r="B13" t="s">
        <v>2</v>
      </c>
    </row>
    <row r="14" spans="2:2" x14ac:dyDescent="0.3">
      <c r="B14" t="s">
        <v>3</v>
      </c>
    </row>
    <row r="15" spans="2:2" x14ac:dyDescent="0.3">
      <c r="B15" t="s">
        <v>9</v>
      </c>
    </row>
    <row r="16" spans="2:2" x14ac:dyDescent="0.3">
      <c r="B1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57"/>
  <sheetViews>
    <sheetView topLeftCell="D7" workbookViewId="0">
      <selection activeCell="F16" sqref="F16:F17"/>
    </sheetView>
  </sheetViews>
  <sheetFormatPr baseColWidth="10" defaultColWidth="11.44140625" defaultRowHeight="10.199999999999999" x14ac:dyDescent="0.3"/>
  <cols>
    <col min="1" max="1" width="3.88671875" style="6" customWidth="1"/>
    <col min="2" max="2" width="31.88671875" style="6" customWidth="1"/>
    <col min="3" max="3" width="16.109375" style="6" bestFit="1" customWidth="1"/>
    <col min="4" max="4" width="20.44140625" style="6" bestFit="1" customWidth="1"/>
    <col min="5" max="5" width="13.33203125" style="6" bestFit="1" customWidth="1"/>
    <col min="6" max="6" width="10" style="7" bestFit="1" customWidth="1"/>
    <col min="7" max="7" width="9.5546875" style="8" bestFit="1" customWidth="1"/>
    <col min="8" max="8" width="10.88671875" style="8" bestFit="1" customWidth="1"/>
    <col min="9" max="9" width="14.44140625" style="8" bestFit="1" customWidth="1"/>
    <col min="10" max="10" width="14.109375" style="8" bestFit="1" customWidth="1"/>
    <col min="11" max="11" width="16.6640625" style="8" bestFit="1" customWidth="1"/>
    <col min="12" max="12" width="12.44140625" style="9" bestFit="1" customWidth="1"/>
    <col min="13" max="13" width="13" style="7" bestFit="1" customWidth="1"/>
    <col min="14" max="14" width="13" style="8" customWidth="1"/>
    <col min="15" max="15" width="12.88671875" style="7" bestFit="1" customWidth="1"/>
    <col min="16" max="16" width="13.6640625" style="9" bestFit="1" customWidth="1"/>
    <col min="17" max="17" width="14" style="9" bestFit="1" customWidth="1"/>
    <col min="18" max="16384" width="11.44140625" style="6"/>
  </cols>
  <sheetData>
    <row r="2" spans="2:17" x14ac:dyDescent="0.3">
      <c r="D2" s="10" t="s">
        <v>48</v>
      </c>
      <c r="E2" s="11">
        <v>0.3</v>
      </c>
      <c r="O2" s="7" t="s">
        <v>43</v>
      </c>
      <c r="P2" s="9">
        <v>80</v>
      </c>
    </row>
    <row r="3" spans="2:17" x14ac:dyDescent="0.3">
      <c r="D3" s="10" t="s">
        <v>50</v>
      </c>
      <c r="E3" s="11">
        <v>0.8</v>
      </c>
      <c r="O3" s="7" t="s">
        <v>44</v>
      </c>
      <c r="P3" s="9">
        <v>3.4</v>
      </c>
    </row>
    <row r="4" spans="2:17" x14ac:dyDescent="0.3">
      <c r="D4" s="10" t="s">
        <v>49</v>
      </c>
      <c r="E4" s="11">
        <v>0.4</v>
      </c>
    </row>
    <row r="5" spans="2:17" x14ac:dyDescent="0.3">
      <c r="D5" s="10" t="s">
        <v>51</v>
      </c>
      <c r="E5" s="11">
        <v>0.2</v>
      </c>
    </row>
    <row r="6" spans="2:17" ht="10.5" customHeight="1" x14ac:dyDescent="0.3">
      <c r="F6" s="1"/>
      <c r="G6" s="3">
        <v>176</v>
      </c>
      <c r="H6" s="3"/>
      <c r="I6" s="3"/>
      <c r="J6" s="3"/>
      <c r="K6" s="3"/>
      <c r="L6" s="3"/>
    </row>
    <row r="7" spans="2:17" ht="30.6" x14ac:dyDescent="0.3">
      <c r="B7" s="4" t="s">
        <v>24</v>
      </c>
      <c r="C7" s="4" t="s">
        <v>36</v>
      </c>
      <c r="D7" s="4" t="s">
        <v>25</v>
      </c>
      <c r="E7" s="4" t="s">
        <v>19</v>
      </c>
      <c r="F7" s="4" t="s">
        <v>18</v>
      </c>
      <c r="G7" s="5" t="s">
        <v>17</v>
      </c>
      <c r="H7" s="5" t="s">
        <v>26</v>
      </c>
      <c r="I7" s="12" t="s">
        <v>21</v>
      </c>
      <c r="J7" s="12" t="s">
        <v>22</v>
      </c>
      <c r="K7" s="12" t="s">
        <v>23</v>
      </c>
      <c r="L7" s="5" t="s">
        <v>30</v>
      </c>
      <c r="M7" s="2" t="s">
        <v>20</v>
      </c>
      <c r="N7" s="12" t="s">
        <v>40</v>
      </c>
      <c r="O7" s="2" t="s">
        <v>31</v>
      </c>
      <c r="P7" s="19" t="s">
        <v>41</v>
      </c>
      <c r="Q7" s="19" t="s">
        <v>42</v>
      </c>
    </row>
    <row r="8" spans="2:17" x14ac:dyDescent="0.3">
      <c r="B8" s="13" t="s">
        <v>48</v>
      </c>
      <c r="C8" s="13" t="s">
        <v>37</v>
      </c>
      <c r="D8" s="13" t="s">
        <v>14</v>
      </c>
      <c r="E8" s="13" t="s">
        <v>11</v>
      </c>
      <c r="F8" s="7">
        <v>18</v>
      </c>
      <c r="G8" s="8">
        <f>+F8*$G$6</f>
        <v>3168</v>
      </c>
      <c r="H8" s="8">
        <f>G8*VLOOKUP(B8,$D$2:$E$5,2,FALSE)</f>
        <v>950.4</v>
      </c>
      <c r="I8" s="8">
        <v>0</v>
      </c>
      <c r="J8" s="8">
        <v>0</v>
      </c>
      <c r="K8" s="8">
        <v>0</v>
      </c>
      <c r="L8" s="9">
        <f>+G8+H8+I8+J8+K8</f>
        <v>4118.3999999999996</v>
      </c>
      <c r="M8" s="14">
        <v>0.3</v>
      </c>
      <c r="N8" s="18">
        <f>+L8*M8</f>
        <v>1235.5199999999998</v>
      </c>
      <c r="O8" s="7">
        <f>+L8-(L8*M8)</f>
        <v>2882.88</v>
      </c>
      <c r="P8" s="9">
        <f>+(L8*$P$2)/$P$3</f>
        <v>96903.529411764714</v>
      </c>
      <c r="Q8" s="9">
        <f>+(O8*$P$2)/$P$3</f>
        <v>67832.470588235301</v>
      </c>
    </row>
    <row r="9" spans="2:17" x14ac:dyDescent="0.3">
      <c r="B9" s="13" t="s">
        <v>48</v>
      </c>
      <c r="C9" s="13" t="s">
        <v>37</v>
      </c>
      <c r="D9" s="13" t="s">
        <v>14</v>
      </c>
      <c r="E9" s="13" t="s">
        <v>12</v>
      </c>
      <c r="F9" s="7">
        <v>18</v>
      </c>
      <c r="G9" s="8">
        <f t="shared" ref="G9:G57" si="0">+F9*$G$6</f>
        <v>3168</v>
      </c>
      <c r="H9" s="8">
        <f t="shared" ref="H9:H18" si="1">G9*VLOOKUP(B9,$D$2:$E$5,2,FALSE)</f>
        <v>950.4</v>
      </c>
      <c r="I9" s="8">
        <v>0</v>
      </c>
      <c r="J9" s="8">
        <v>0</v>
      </c>
      <c r="K9" s="8">
        <v>0</v>
      </c>
      <c r="L9" s="9">
        <f t="shared" ref="L9:L38" si="2">+G9+H9+I9+J9+K9</f>
        <v>4118.3999999999996</v>
      </c>
      <c r="M9" s="14">
        <v>0.3</v>
      </c>
      <c r="N9" s="18">
        <f t="shared" ref="N9:N57" si="3">+L9*M9</f>
        <v>1235.5199999999998</v>
      </c>
      <c r="O9" s="7">
        <f t="shared" ref="O9:O38" si="4">+L9-(L9*M9)</f>
        <v>2882.88</v>
      </c>
      <c r="P9" s="9">
        <f t="shared" ref="P9:P57" si="5">+(L9*$P$2)/$P$3</f>
        <v>96903.529411764714</v>
      </c>
      <c r="Q9" s="9">
        <f t="shared" ref="Q9:Q57" si="6">+(O9*$P$2)/$P$3</f>
        <v>67832.470588235301</v>
      </c>
    </row>
    <row r="10" spans="2:17" x14ac:dyDescent="0.3">
      <c r="B10" s="13" t="s">
        <v>48</v>
      </c>
      <c r="C10" s="13" t="s">
        <v>37</v>
      </c>
      <c r="D10" s="13" t="s">
        <v>14</v>
      </c>
      <c r="E10" s="13" t="s">
        <v>13</v>
      </c>
      <c r="F10" s="7">
        <v>18</v>
      </c>
      <c r="G10" s="8">
        <f t="shared" si="0"/>
        <v>3168</v>
      </c>
      <c r="H10" s="8">
        <f t="shared" si="1"/>
        <v>950.4</v>
      </c>
      <c r="I10" s="8">
        <v>0</v>
      </c>
      <c r="J10" s="8">
        <v>0</v>
      </c>
      <c r="K10" s="8">
        <v>0</v>
      </c>
      <c r="L10" s="9">
        <f t="shared" si="2"/>
        <v>4118.3999999999996</v>
      </c>
      <c r="M10" s="14">
        <v>0.3</v>
      </c>
      <c r="N10" s="18">
        <f t="shared" si="3"/>
        <v>1235.5199999999998</v>
      </c>
      <c r="O10" s="7">
        <f t="shared" si="4"/>
        <v>2882.88</v>
      </c>
      <c r="P10" s="9">
        <f t="shared" si="5"/>
        <v>96903.529411764714</v>
      </c>
      <c r="Q10" s="9">
        <f t="shared" si="6"/>
        <v>67832.470588235301</v>
      </c>
    </row>
    <row r="11" spans="2:17" x14ac:dyDescent="0.3">
      <c r="B11" s="13" t="s">
        <v>48</v>
      </c>
      <c r="C11" s="13" t="s">
        <v>37</v>
      </c>
      <c r="D11" s="13" t="s">
        <v>14</v>
      </c>
      <c r="E11" s="13" t="s">
        <v>54</v>
      </c>
      <c r="F11" s="7">
        <v>18</v>
      </c>
      <c r="G11" s="8">
        <f>+F11*$G$6</f>
        <v>3168</v>
      </c>
      <c r="H11" s="8">
        <f t="shared" ref="H11" si="7">G11*VLOOKUP(B11,$D$2:$E$5,2,FALSE)</f>
        <v>950.4</v>
      </c>
      <c r="I11" s="8">
        <v>0</v>
      </c>
      <c r="J11" s="8">
        <v>0</v>
      </c>
      <c r="K11" s="8">
        <v>0</v>
      </c>
      <c r="L11" s="9">
        <f t="shared" ref="L11" si="8">+G11+H11+I11+J11+K11</f>
        <v>4118.3999999999996</v>
      </c>
      <c r="M11" s="14">
        <v>0.3</v>
      </c>
      <c r="N11" s="18">
        <f t="shared" ref="N11" si="9">+L11*M11</f>
        <v>1235.5199999999998</v>
      </c>
      <c r="O11" s="7">
        <f t="shared" ref="O11" si="10">+L11-(L11*M11)</f>
        <v>2882.88</v>
      </c>
      <c r="P11" s="9">
        <f t="shared" ref="P11" si="11">+(L11*$P$2)/$P$3</f>
        <v>96903.529411764714</v>
      </c>
      <c r="Q11" s="9">
        <f t="shared" ref="Q11" si="12">+(O11*$P$2)/$P$3</f>
        <v>67832.470588235301</v>
      </c>
    </row>
    <row r="12" spans="2:17" x14ac:dyDescent="0.3">
      <c r="B12" s="13" t="s">
        <v>48</v>
      </c>
      <c r="C12" s="13" t="s">
        <v>37</v>
      </c>
      <c r="D12" s="13" t="s">
        <v>15</v>
      </c>
      <c r="E12" s="13" t="s">
        <v>11</v>
      </c>
      <c r="F12" s="7">
        <v>15</v>
      </c>
      <c r="G12" s="8">
        <f t="shared" si="0"/>
        <v>2640</v>
      </c>
      <c r="H12" s="8">
        <f t="shared" si="1"/>
        <v>792</v>
      </c>
      <c r="I12" s="8">
        <v>0</v>
      </c>
      <c r="J12" s="8">
        <v>0</v>
      </c>
      <c r="K12" s="8">
        <v>0</v>
      </c>
      <c r="L12" s="9">
        <f t="shared" si="2"/>
        <v>3432</v>
      </c>
      <c r="M12" s="14">
        <v>0.3</v>
      </c>
      <c r="N12" s="18">
        <f t="shared" si="3"/>
        <v>1029.5999999999999</v>
      </c>
      <c r="O12" s="7">
        <f t="shared" si="4"/>
        <v>2402.4</v>
      </c>
      <c r="P12" s="9">
        <f t="shared" si="5"/>
        <v>80752.941176470587</v>
      </c>
      <c r="Q12" s="9">
        <f t="shared" si="6"/>
        <v>56527.058823529413</v>
      </c>
    </row>
    <row r="13" spans="2:17" x14ac:dyDescent="0.3">
      <c r="B13" s="13" t="s">
        <v>48</v>
      </c>
      <c r="C13" s="13" t="s">
        <v>37</v>
      </c>
      <c r="D13" s="13" t="s">
        <v>15</v>
      </c>
      <c r="E13" s="13" t="s">
        <v>12</v>
      </c>
      <c r="F13" s="7">
        <v>15</v>
      </c>
      <c r="G13" s="8">
        <f t="shared" si="0"/>
        <v>2640</v>
      </c>
      <c r="H13" s="8">
        <f t="shared" si="1"/>
        <v>792</v>
      </c>
      <c r="I13" s="8">
        <v>0</v>
      </c>
      <c r="J13" s="8">
        <v>0</v>
      </c>
      <c r="K13" s="8">
        <v>0</v>
      </c>
      <c r="L13" s="9">
        <f t="shared" si="2"/>
        <v>3432</v>
      </c>
      <c r="M13" s="14">
        <v>0.3</v>
      </c>
      <c r="N13" s="18">
        <f t="shared" si="3"/>
        <v>1029.5999999999999</v>
      </c>
      <c r="O13" s="7">
        <f t="shared" si="4"/>
        <v>2402.4</v>
      </c>
      <c r="P13" s="9">
        <f t="shared" si="5"/>
        <v>80752.941176470587</v>
      </c>
      <c r="Q13" s="9">
        <f t="shared" si="6"/>
        <v>56527.058823529413</v>
      </c>
    </row>
    <row r="14" spans="2:17" x14ac:dyDescent="0.3">
      <c r="B14" s="13" t="s">
        <v>48</v>
      </c>
      <c r="C14" s="13" t="s">
        <v>37</v>
      </c>
      <c r="D14" s="13" t="s">
        <v>15</v>
      </c>
      <c r="E14" s="13" t="s">
        <v>13</v>
      </c>
      <c r="F14" s="7">
        <v>15</v>
      </c>
      <c r="G14" s="8">
        <f t="shared" si="0"/>
        <v>2640</v>
      </c>
      <c r="H14" s="8">
        <f t="shared" si="1"/>
        <v>792</v>
      </c>
      <c r="I14" s="8">
        <v>0</v>
      </c>
      <c r="J14" s="8">
        <v>0</v>
      </c>
      <c r="K14" s="8">
        <v>0</v>
      </c>
      <c r="L14" s="9">
        <f t="shared" si="2"/>
        <v>3432</v>
      </c>
      <c r="M14" s="14">
        <v>0.3</v>
      </c>
      <c r="N14" s="18">
        <f t="shared" si="3"/>
        <v>1029.5999999999999</v>
      </c>
      <c r="O14" s="7">
        <f t="shared" si="4"/>
        <v>2402.4</v>
      </c>
      <c r="P14" s="9">
        <f t="shared" si="5"/>
        <v>80752.941176470587</v>
      </c>
      <c r="Q14" s="9">
        <f t="shared" si="6"/>
        <v>56527.058823529413</v>
      </c>
    </row>
    <row r="15" spans="2:17" x14ac:dyDescent="0.3">
      <c r="B15" s="13" t="s">
        <v>48</v>
      </c>
      <c r="C15" s="13" t="s">
        <v>37</v>
      </c>
      <c r="D15" s="13" t="s">
        <v>15</v>
      </c>
      <c r="E15" s="13" t="s">
        <v>54</v>
      </c>
      <c r="F15" s="7">
        <v>15</v>
      </c>
      <c r="G15" s="8">
        <f t="shared" ref="G15" si="13">+F15*$G$6</f>
        <v>2640</v>
      </c>
      <c r="H15" s="8">
        <f t="shared" ref="H15" si="14">G15*VLOOKUP(B15,$D$2:$E$5,2,FALSE)</f>
        <v>792</v>
      </c>
      <c r="I15" s="8">
        <v>0</v>
      </c>
      <c r="J15" s="8">
        <v>0</v>
      </c>
      <c r="K15" s="8">
        <v>0</v>
      </c>
      <c r="L15" s="9">
        <f t="shared" ref="L15" si="15">+G15+H15+I15+J15+K15</f>
        <v>3432</v>
      </c>
      <c r="M15" s="14">
        <v>0.3</v>
      </c>
      <c r="N15" s="18">
        <f t="shared" ref="N15" si="16">+L15*M15</f>
        <v>1029.5999999999999</v>
      </c>
      <c r="O15" s="7">
        <f t="shared" ref="O15" si="17">+L15-(L15*M15)</f>
        <v>2402.4</v>
      </c>
      <c r="P15" s="9">
        <f t="shared" ref="P15" si="18">+(L15*$P$2)/$P$3</f>
        <v>80752.941176470587</v>
      </c>
      <c r="Q15" s="9">
        <f t="shared" ref="Q15" si="19">+(O15*$P$2)/$P$3</f>
        <v>56527.058823529413</v>
      </c>
    </row>
    <row r="16" spans="2:17" x14ac:dyDescent="0.3">
      <c r="B16" s="13" t="s">
        <v>48</v>
      </c>
      <c r="C16" s="13" t="s">
        <v>37</v>
      </c>
      <c r="D16" s="13" t="s">
        <v>16</v>
      </c>
      <c r="E16" s="13" t="s">
        <v>11</v>
      </c>
      <c r="F16" s="7">
        <v>12</v>
      </c>
      <c r="G16" s="8">
        <f t="shared" si="0"/>
        <v>2112</v>
      </c>
      <c r="H16" s="8">
        <f t="shared" si="1"/>
        <v>633.6</v>
      </c>
      <c r="I16" s="8">
        <v>0</v>
      </c>
      <c r="J16" s="8">
        <v>0</v>
      </c>
      <c r="K16" s="8">
        <v>0</v>
      </c>
      <c r="L16" s="9">
        <f t="shared" si="2"/>
        <v>2745.6</v>
      </c>
      <c r="M16" s="14">
        <v>0.3</v>
      </c>
      <c r="N16" s="18">
        <f t="shared" si="3"/>
        <v>823.68</v>
      </c>
      <c r="O16" s="7">
        <f t="shared" si="4"/>
        <v>1921.92</v>
      </c>
      <c r="P16" s="9">
        <f t="shared" si="5"/>
        <v>64602.352941176476</v>
      </c>
      <c r="Q16" s="9">
        <f t="shared" si="6"/>
        <v>45221.647058823532</v>
      </c>
    </row>
    <row r="17" spans="2:17" x14ac:dyDescent="0.3">
      <c r="B17" s="13" t="s">
        <v>48</v>
      </c>
      <c r="C17" s="13" t="s">
        <v>37</v>
      </c>
      <c r="D17" s="13" t="s">
        <v>16</v>
      </c>
      <c r="E17" s="13" t="s">
        <v>12</v>
      </c>
      <c r="F17" s="7">
        <v>12</v>
      </c>
      <c r="G17" s="8">
        <f t="shared" si="0"/>
        <v>2112</v>
      </c>
      <c r="H17" s="8">
        <f t="shared" si="1"/>
        <v>633.6</v>
      </c>
      <c r="I17" s="8">
        <v>0</v>
      </c>
      <c r="J17" s="8">
        <v>0</v>
      </c>
      <c r="K17" s="8">
        <v>0</v>
      </c>
      <c r="L17" s="9">
        <f t="shared" si="2"/>
        <v>2745.6</v>
      </c>
      <c r="M17" s="14">
        <v>0.3</v>
      </c>
      <c r="N17" s="18">
        <f t="shared" si="3"/>
        <v>823.68</v>
      </c>
      <c r="O17" s="7">
        <f t="shared" si="4"/>
        <v>1921.92</v>
      </c>
      <c r="P17" s="9">
        <f t="shared" si="5"/>
        <v>64602.352941176476</v>
      </c>
      <c r="Q17" s="9">
        <f t="shared" si="6"/>
        <v>45221.647058823532</v>
      </c>
    </row>
    <row r="18" spans="2:17" x14ac:dyDescent="0.3">
      <c r="B18" s="13" t="s">
        <v>48</v>
      </c>
      <c r="C18" s="13" t="s">
        <v>37</v>
      </c>
      <c r="D18" s="13" t="s">
        <v>16</v>
      </c>
      <c r="E18" s="13" t="s">
        <v>13</v>
      </c>
      <c r="F18" s="7">
        <v>12</v>
      </c>
      <c r="G18" s="8">
        <f t="shared" si="0"/>
        <v>2112</v>
      </c>
      <c r="H18" s="8">
        <f t="shared" si="1"/>
        <v>633.6</v>
      </c>
      <c r="I18" s="8">
        <v>0</v>
      </c>
      <c r="J18" s="8">
        <v>0</v>
      </c>
      <c r="K18" s="8">
        <v>0</v>
      </c>
      <c r="L18" s="9">
        <f t="shared" si="2"/>
        <v>2745.6</v>
      </c>
      <c r="M18" s="14">
        <v>0.3</v>
      </c>
      <c r="N18" s="18">
        <f t="shared" si="3"/>
        <v>823.68</v>
      </c>
      <c r="O18" s="7">
        <f t="shared" si="4"/>
        <v>1921.92</v>
      </c>
      <c r="P18" s="9">
        <f t="shared" si="5"/>
        <v>64602.352941176476</v>
      </c>
      <c r="Q18" s="9">
        <f t="shared" si="6"/>
        <v>45221.647058823532</v>
      </c>
    </row>
    <row r="19" spans="2:17" x14ac:dyDescent="0.3">
      <c r="B19" s="13" t="s">
        <v>48</v>
      </c>
      <c r="C19" s="13" t="s">
        <v>37</v>
      </c>
      <c r="D19" s="13" t="s">
        <v>16</v>
      </c>
      <c r="E19" s="13" t="s">
        <v>54</v>
      </c>
      <c r="F19" s="7">
        <v>12</v>
      </c>
      <c r="G19" s="8">
        <f t="shared" ref="G19" si="20">+F19*$G$6</f>
        <v>2112</v>
      </c>
      <c r="H19" s="8">
        <f t="shared" ref="H19" si="21">G19*VLOOKUP(B19,$D$2:$E$5,2,FALSE)</f>
        <v>633.6</v>
      </c>
      <c r="I19" s="8">
        <v>0</v>
      </c>
      <c r="J19" s="8">
        <v>0</v>
      </c>
      <c r="K19" s="8">
        <v>0</v>
      </c>
      <c r="L19" s="9">
        <f t="shared" ref="L19" si="22">+G19+H19+I19+J19+K19</f>
        <v>2745.6</v>
      </c>
      <c r="M19" s="14">
        <v>0.3</v>
      </c>
      <c r="N19" s="18">
        <f t="shared" ref="N19" si="23">+L19*M19</f>
        <v>823.68</v>
      </c>
      <c r="O19" s="7">
        <f t="shared" ref="O19" si="24">+L19-(L19*M19)</f>
        <v>1921.92</v>
      </c>
      <c r="P19" s="9">
        <f t="shared" ref="P19" si="25">+(L19*$P$2)/$P$3</f>
        <v>64602.352941176476</v>
      </c>
      <c r="Q19" s="9">
        <f t="shared" ref="Q19" si="26">+(O19*$P$2)/$P$3</f>
        <v>45221.647058823532</v>
      </c>
    </row>
    <row r="20" spans="2:17" x14ac:dyDescent="0.3">
      <c r="B20" s="13" t="s">
        <v>50</v>
      </c>
      <c r="C20" s="13" t="s">
        <v>37</v>
      </c>
      <c r="D20" s="13" t="s">
        <v>14</v>
      </c>
      <c r="E20" s="13" t="s">
        <v>11</v>
      </c>
      <c r="F20" s="7">
        <v>8</v>
      </c>
      <c r="G20" s="8">
        <f t="shared" si="0"/>
        <v>1408</v>
      </c>
      <c r="H20" s="8">
        <v>0</v>
      </c>
      <c r="I20" s="8">
        <f t="shared" ref="I20:I38" si="27">G20*VLOOKUP(B20,$D$2:$E$5,2,FALSE)</f>
        <v>1126.4000000000001</v>
      </c>
      <c r="J20" s="8">
        <v>0</v>
      </c>
      <c r="K20" s="8">
        <v>0</v>
      </c>
      <c r="L20" s="9">
        <f t="shared" si="2"/>
        <v>2534.4</v>
      </c>
      <c r="M20" s="14">
        <v>0.3</v>
      </c>
      <c r="N20" s="18">
        <f t="shared" si="3"/>
        <v>760.32</v>
      </c>
      <c r="O20" s="7">
        <f t="shared" si="4"/>
        <v>1774.08</v>
      </c>
      <c r="P20" s="9">
        <f t="shared" si="5"/>
        <v>59632.941176470587</v>
      </c>
      <c r="Q20" s="9">
        <f t="shared" si="6"/>
        <v>41743.058823529413</v>
      </c>
    </row>
    <row r="21" spans="2:17" x14ac:dyDescent="0.3">
      <c r="B21" s="13" t="s">
        <v>50</v>
      </c>
      <c r="C21" s="13" t="s">
        <v>37</v>
      </c>
      <c r="D21" s="13" t="s">
        <v>14</v>
      </c>
      <c r="E21" s="13" t="s">
        <v>12</v>
      </c>
      <c r="F21" s="7">
        <v>8</v>
      </c>
      <c r="G21" s="8">
        <f t="shared" si="0"/>
        <v>1408</v>
      </c>
      <c r="H21" s="8">
        <v>0</v>
      </c>
      <c r="I21" s="8">
        <f t="shared" si="27"/>
        <v>1126.4000000000001</v>
      </c>
      <c r="J21" s="8">
        <v>0</v>
      </c>
      <c r="K21" s="8">
        <v>0</v>
      </c>
      <c r="L21" s="9">
        <f t="shared" si="2"/>
        <v>2534.4</v>
      </c>
      <c r="M21" s="14">
        <v>0.3</v>
      </c>
      <c r="N21" s="18">
        <f t="shared" si="3"/>
        <v>760.32</v>
      </c>
      <c r="O21" s="7">
        <f t="shared" si="4"/>
        <v>1774.08</v>
      </c>
      <c r="P21" s="9">
        <f t="shared" si="5"/>
        <v>59632.941176470587</v>
      </c>
      <c r="Q21" s="9">
        <f t="shared" si="6"/>
        <v>41743.058823529413</v>
      </c>
    </row>
    <row r="22" spans="2:17" x14ac:dyDescent="0.3">
      <c r="B22" s="13" t="s">
        <v>50</v>
      </c>
      <c r="C22" s="13" t="s">
        <v>37</v>
      </c>
      <c r="D22" s="13" t="s">
        <v>14</v>
      </c>
      <c r="E22" s="13" t="s">
        <v>13</v>
      </c>
      <c r="F22" s="7">
        <v>8</v>
      </c>
      <c r="G22" s="8">
        <f t="shared" si="0"/>
        <v>1408</v>
      </c>
      <c r="H22" s="8">
        <v>0</v>
      </c>
      <c r="I22" s="8">
        <f t="shared" si="27"/>
        <v>1126.4000000000001</v>
      </c>
      <c r="J22" s="8">
        <v>0</v>
      </c>
      <c r="K22" s="8">
        <v>0</v>
      </c>
      <c r="L22" s="9">
        <f t="shared" si="2"/>
        <v>2534.4</v>
      </c>
      <c r="M22" s="14">
        <v>0.3</v>
      </c>
      <c r="N22" s="18">
        <f t="shared" si="3"/>
        <v>760.32</v>
      </c>
      <c r="O22" s="7">
        <f t="shared" si="4"/>
        <v>1774.08</v>
      </c>
      <c r="P22" s="9">
        <f t="shared" si="5"/>
        <v>59632.941176470587</v>
      </c>
      <c r="Q22" s="9">
        <f t="shared" si="6"/>
        <v>41743.058823529413</v>
      </c>
    </row>
    <row r="23" spans="2:17" x14ac:dyDescent="0.3">
      <c r="B23" s="13" t="s">
        <v>50</v>
      </c>
      <c r="C23" s="13" t="s">
        <v>37</v>
      </c>
      <c r="D23" s="13" t="s">
        <v>14</v>
      </c>
      <c r="E23" s="13" t="s">
        <v>55</v>
      </c>
      <c r="F23" s="7">
        <v>8</v>
      </c>
      <c r="G23" s="8">
        <f t="shared" ref="G23" si="28">+F23*$G$6</f>
        <v>1408</v>
      </c>
      <c r="H23" s="8">
        <v>0</v>
      </c>
      <c r="I23" s="8">
        <f t="shared" ref="I23" si="29">G23*VLOOKUP(B23,$D$2:$E$5,2,FALSE)</f>
        <v>1126.4000000000001</v>
      </c>
      <c r="J23" s="8">
        <v>0</v>
      </c>
      <c r="K23" s="8">
        <v>0</v>
      </c>
      <c r="L23" s="9">
        <f t="shared" ref="L23" si="30">+G23+H23+I23+J23+K23</f>
        <v>2534.4</v>
      </c>
      <c r="M23" s="14">
        <v>0.3</v>
      </c>
      <c r="N23" s="18">
        <f t="shared" ref="N23" si="31">+L23*M23</f>
        <v>760.32</v>
      </c>
      <c r="O23" s="7">
        <f t="shared" ref="O23" si="32">+L23-(L23*M23)</f>
        <v>1774.08</v>
      </c>
      <c r="P23" s="9">
        <f t="shared" ref="P23" si="33">+(L23*$P$2)/$P$3</f>
        <v>59632.941176470587</v>
      </c>
      <c r="Q23" s="9">
        <f t="shared" ref="Q23" si="34">+(O23*$P$2)/$P$3</f>
        <v>41743.058823529413</v>
      </c>
    </row>
    <row r="24" spans="2:17" x14ac:dyDescent="0.3">
      <c r="B24" s="13" t="s">
        <v>50</v>
      </c>
      <c r="C24" s="13" t="s">
        <v>37</v>
      </c>
      <c r="D24" s="13" t="s">
        <v>15</v>
      </c>
      <c r="E24" s="13" t="s">
        <v>11</v>
      </c>
      <c r="F24" s="7">
        <v>12</v>
      </c>
      <c r="G24" s="8">
        <f t="shared" si="0"/>
        <v>2112</v>
      </c>
      <c r="H24" s="8">
        <v>0</v>
      </c>
      <c r="I24" s="8">
        <f t="shared" si="27"/>
        <v>1689.6000000000001</v>
      </c>
      <c r="J24" s="8">
        <v>0</v>
      </c>
      <c r="K24" s="8">
        <v>0</v>
      </c>
      <c r="L24" s="9">
        <f t="shared" si="2"/>
        <v>3801.6000000000004</v>
      </c>
      <c r="M24" s="14">
        <v>0.3</v>
      </c>
      <c r="N24" s="18">
        <f t="shared" si="3"/>
        <v>1140.48</v>
      </c>
      <c r="O24" s="7">
        <f t="shared" si="4"/>
        <v>2661.1200000000003</v>
      </c>
      <c r="P24" s="9">
        <f t="shared" si="5"/>
        <v>89449.411764705888</v>
      </c>
      <c r="Q24" s="9">
        <f t="shared" si="6"/>
        <v>62614.588235294126</v>
      </c>
    </row>
    <row r="25" spans="2:17" x14ac:dyDescent="0.3">
      <c r="B25" s="13" t="s">
        <v>50</v>
      </c>
      <c r="C25" s="13" t="s">
        <v>37</v>
      </c>
      <c r="D25" s="13" t="s">
        <v>15</v>
      </c>
      <c r="E25" s="13" t="s">
        <v>12</v>
      </c>
      <c r="F25" s="7">
        <v>12</v>
      </c>
      <c r="G25" s="8">
        <f t="shared" si="0"/>
        <v>2112</v>
      </c>
      <c r="H25" s="8">
        <v>0</v>
      </c>
      <c r="I25" s="8">
        <f t="shared" si="27"/>
        <v>1689.6000000000001</v>
      </c>
      <c r="J25" s="8">
        <v>0</v>
      </c>
      <c r="K25" s="8">
        <v>0</v>
      </c>
      <c r="L25" s="9">
        <f t="shared" si="2"/>
        <v>3801.6000000000004</v>
      </c>
      <c r="M25" s="14">
        <v>0.3</v>
      </c>
      <c r="N25" s="18">
        <f t="shared" si="3"/>
        <v>1140.48</v>
      </c>
      <c r="O25" s="7">
        <f t="shared" si="4"/>
        <v>2661.1200000000003</v>
      </c>
      <c r="P25" s="9">
        <f t="shared" si="5"/>
        <v>89449.411764705888</v>
      </c>
      <c r="Q25" s="9">
        <f t="shared" si="6"/>
        <v>62614.588235294126</v>
      </c>
    </row>
    <row r="26" spans="2:17" x14ac:dyDescent="0.3">
      <c r="B26" s="13" t="s">
        <v>50</v>
      </c>
      <c r="C26" s="13" t="s">
        <v>37</v>
      </c>
      <c r="D26" s="13" t="s">
        <v>15</v>
      </c>
      <c r="E26" s="13" t="s">
        <v>13</v>
      </c>
      <c r="F26" s="7">
        <v>14</v>
      </c>
      <c r="G26" s="8">
        <f t="shared" si="0"/>
        <v>2464</v>
      </c>
      <c r="H26" s="8">
        <v>0</v>
      </c>
      <c r="I26" s="8">
        <f t="shared" si="27"/>
        <v>1971.2</v>
      </c>
      <c r="J26" s="8">
        <v>0</v>
      </c>
      <c r="K26" s="8">
        <v>0</v>
      </c>
      <c r="L26" s="9">
        <f t="shared" si="2"/>
        <v>4435.2</v>
      </c>
      <c r="M26" s="14">
        <v>0.3</v>
      </c>
      <c r="N26" s="18">
        <f t="shared" si="3"/>
        <v>1330.56</v>
      </c>
      <c r="O26" s="7">
        <f t="shared" si="4"/>
        <v>3104.64</v>
      </c>
      <c r="P26" s="9">
        <f t="shared" si="5"/>
        <v>104357.64705882354</v>
      </c>
      <c r="Q26" s="9">
        <f t="shared" si="6"/>
        <v>73050.352941176461</v>
      </c>
    </row>
    <row r="27" spans="2:17" x14ac:dyDescent="0.3">
      <c r="B27" s="13" t="s">
        <v>50</v>
      </c>
      <c r="C27" s="13" t="s">
        <v>37</v>
      </c>
      <c r="D27" s="13" t="s">
        <v>15</v>
      </c>
      <c r="E27" s="13" t="s">
        <v>55</v>
      </c>
      <c r="F27" s="7">
        <v>14</v>
      </c>
      <c r="G27" s="8">
        <f t="shared" ref="G27" si="35">+F27*$G$6</f>
        <v>2464</v>
      </c>
      <c r="H27" s="8">
        <v>0</v>
      </c>
      <c r="I27" s="8">
        <f t="shared" ref="I27" si="36">G27*VLOOKUP(B27,$D$2:$E$5,2,FALSE)</f>
        <v>1971.2</v>
      </c>
      <c r="J27" s="8">
        <v>0</v>
      </c>
      <c r="K27" s="8">
        <v>0</v>
      </c>
      <c r="L27" s="9">
        <f t="shared" ref="L27" si="37">+G27+H27+I27+J27+K27</f>
        <v>4435.2</v>
      </c>
      <c r="M27" s="14">
        <v>0.3</v>
      </c>
      <c r="N27" s="18">
        <f t="shared" ref="N27" si="38">+L27*M27</f>
        <v>1330.56</v>
      </c>
      <c r="O27" s="7">
        <f t="shared" ref="O27" si="39">+L27-(L27*M27)</f>
        <v>3104.64</v>
      </c>
      <c r="P27" s="9">
        <f t="shared" ref="P27" si="40">+(L27*$P$2)/$P$3</f>
        <v>104357.64705882354</v>
      </c>
      <c r="Q27" s="9">
        <f t="shared" ref="Q27" si="41">+(O27*$P$2)/$P$3</f>
        <v>73050.352941176461</v>
      </c>
    </row>
    <row r="28" spans="2:17" x14ac:dyDescent="0.3">
      <c r="B28" s="13" t="s">
        <v>50</v>
      </c>
      <c r="C28" s="13" t="s">
        <v>37</v>
      </c>
      <c r="D28" s="13" t="s">
        <v>16</v>
      </c>
      <c r="E28" s="13" t="s">
        <v>11</v>
      </c>
      <c r="F28" s="7">
        <v>8</v>
      </c>
      <c r="G28" s="8">
        <f t="shared" si="0"/>
        <v>1408</v>
      </c>
      <c r="H28" s="8">
        <v>0</v>
      </c>
      <c r="I28" s="8">
        <f t="shared" si="27"/>
        <v>1126.4000000000001</v>
      </c>
      <c r="J28" s="8">
        <v>0</v>
      </c>
      <c r="K28" s="8">
        <v>0</v>
      </c>
      <c r="L28" s="9">
        <f t="shared" si="2"/>
        <v>2534.4</v>
      </c>
      <c r="M28" s="14">
        <v>0.3</v>
      </c>
      <c r="N28" s="18">
        <f t="shared" si="3"/>
        <v>760.32</v>
      </c>
      <c r="O28" s="7">
        <f t="shared" si="4"/>
        <v>1774.08</v>
      </c>
      <c r="P28" s="9">
        <f t="shared" si="5"/>
        <v>59632.941176470587</v>
      </c>
      <c r="Q28" s="9">
        <f t="shared" si="6"/>
        <v>41743.058823529413</v>
      </c>
    </row>
    <row r="29" spans="2:17" x14ac:dyDescent="0.3">
      <c r="B29" s="13" t="s">
        <v>50</v>
      </c>
      <c r="C29" s="13" t="s">
        <v>37</v>
      </c>
      <c r="D29" s="13" t="s">
        <v>16</v>
      </c>
      <c r="E29" s="13" t="s">
        <v>12</v>
      </c>
      <c r="F29" s="7">
        <v>8</v>
      </c>
      <c r="G29" s="8">
        <f t="shared" si="0"/>
        <v>1408</v>
      </c>
      <c r="H29" s="8">
        <v>0</v>
      </c>
      <c r="I29" s="8">
        <f t="shared" si="27"/>
        <v>1126.4000000000001</v>
      </c>
      <c r="J29" s="8">
        <v>0</v>
      </c>
      <c r="K29" s="8">
        <v>0</v>
      </c>
      <c r="L29" s="9">
        <f t="shared" si="2"/>
        <v>2534.4</v>
      </c>
      <c r="M29" s="14">
        <v>0.3</v>
      </c>
      <c r="N29" s="18">
        <f t="shared" si="3"/>
        <v>760.32</v>
      </c>
      <c r="O29" s="7">
        <f t="shared" si="4"/>
        <v>1774.08</v>
      </c>
      <c r="P29" s="9">
        <f t="shared" si="5"/>
        <v>59632.941176470587</v>
      </c>
      <c r="Q29" s="9">
        <f t="shared" si="6"/>
        <v>41743.058823529413</v>
      </c>
    </row>
    <row r="30" spans="2:17" x14ac:dyDescent="0.3">
      <c r="B30" s="13" t="s">
        <v>50</v>
      </c>
      <c r="C30" s="13" t="s">
        <v>37</v>
      </c>
      <c r="D30" s="13" t="s">
        <v>16</v>
      </c>
      <c r="E30" s="13" t="s">
        <v>13</v>
      </c>
      <c r="F30" s="7">
        <v>10</v>
      </c>
      <c r="G30" s="8">
        <f t="shared" si="0"/>
        <v>1760</v>
      </c>
      <c r="H30" s="8">
        <v>0</v>
      </c>
      <c r="I30" s="8">
        <f t="shared" si="27"/>
        <v>1408</v>
      </c>
      <c r="J30" s="8">
        <v>0</v>
      </c>
      <c r="K30" s="8">
        <v>0</v>
      </c>
      <c r="L30" s="9">
        <f t="shared" si="2"/>
        <v>3168</v>
      </c>
      <c r="M30" s="14">
        <v>0.3</v>
      </c>
      <c r="N30" s="18">
        <f t="shared" si="3"/>
        <v>950.4</v>
      </c>
      <c r="O30" s="7">
        <f t="shared" si="4"/>
        <v>2217.6</v>
      </c>
      <c r="P30" s="9">
        <f t="shared" si="5"/>
        <v>74541.176470588238</v>
      </c>
      <c r="Q30" s="9">
        <f t="shared" si="6"/>
        <v>52178.823529411769</v>
      </c>
    </row>
    <row r="31" spans="2:17" x14ac:dyDescent="0.3">
      <c r="B31" s="13" t="s">
        <v>50</v>
      </c>
      <c r="C31" s="13" t="s">
        <v>37</v>
      </c>
      <c r="D31" s="13" t="s">
        <v>16</v>
      </c>
      <c r="E31" s="13" t="s">
        <v>55</v>
      </c>
      <c r="F31" s="7">
        <v>10</v>
      </c>
      <c r="G31" s="8">
        <f t="shared" ref="G31" si="42">+F31*$G$6</f>
        <v>1760</v>
      </c>
      <c r="H31" s="8">
        <v>0</v>
      </c>
      <c r="I31" s="8">
        <f t="shared" ref="I31" si="43">G31*VLOOKUP(B31,$D$2:$E$5,2,FALSE)</f>
        <v>1408</v>
      </c>
      <c r="J31" s="8">
        <v>0</v>
      </c>
      <c r="K31" s="8">
        <v>0</v>
      </c>
      <c r="L31" s="9">
        <f t="shared" ref="L31" si="44">+G31+H31+I31+J31+K31</f>
        <v>3168</v>
      </c>
      <c r="M31" s="14">
        <v>0.3</v>
      </c>
      <c r="N31" s="18">
        <f t="shared" ref="N31" si="45">+L31*M31</f>
        <v>950.4</v>
      </c>
      <c r="O31" s="7">
        <f t="shared" ref="O31" si="46">+L31-(L31*M31)</f>
        <v>2217.6</v>
      </c>
      <c r="P31" s="9">
        <f t="shared" ref="P31" si="47">+(L31*$P$2)/$P$3</f>
        <v>74541.176470588238</v>
      </c>
      <c r="Q31" s="9">
        <f t="shared" ref="Q31" si="48">+(O31*$P$2)/$P$3</f>
        <v>52178.823529411769</v>
      </c>
    </row>
    <row r="32" spans="2:17" x14ac:dyDescent="0.3">
      <c r="B32" s="13" t="s">
        <v>50</v>
      </c>
      <c r="C32" s="13" t="s">
        <v>37</v>
      </c>
      <c r="D32" s="13" t="s">
        <v>29</v>
      </c>
      <c r="E32" s="13" t="s">
        <v>11</v>
      </c>
      <c r="F32" s="7">
        <v>10</v>
      </c>
      <c r="G32" s="8">
        <f t="shared" si="0"/>
        <v>1760</v>
      </c>
      <c r="H32" s="8">
        <v>0</v>
      </c>
      <c r="I32" s="8">
        <f t="shared" si="27"/>
        <v>1408</v>
      </c>
      <c r="J32" s="8">
        <v>0</v>
      </c>
      <c r="K32" s="8">
        <v>0</v>
      </c>
      <c r="L32" s="9">
        <f t="shared" si="2"/>
        <v>3168</v>
      </c>
      <c r="M32" s="14">
        <v>0.3</v>
      </c>
      <c r="N32" s="18">
        <f t="shared" si="3"/>
        <v>950.4</v>
      </c>
      <c r="O32" s="7">
        <f t="shared" si="4"/>
        <v>2217.6</v>
      </c>
      <c r="P32" s="9">
        <f t="shared" si="5"/>
        <v>74541.176470588238</v>
      </c>
      <c r="Q32" s="9">
        <f t="shared" si="6"/>
        <v>52178.823529411769</v>
      </c>
    </row>
    <row r="33" spans="2:17" x14ac:dyDescent="0.3">
      <c r="B33" s="13" t="s">
        <v>50</v>
      </c>
      <c r="C33" s="13" t="s">
        <v>37</v>
      </c>
      <c r="D33" s="13" t="s">
        <v>29</v>
      </c>
      <c r="E33" s="13" t="s">
        <v>12</v>
      </c>
      <c r="F33" s="7">
        <v>10</v>
      </c>
      <c r="G33" s="8">
        <f t="shared" si="0"/>
        <v>1760</v>
      </c>
      <c r="H33" s="8">
        <v>0</v>
      </c>
      <c r="I33" s="8">
        <f t="shared" si="27"/>
        <v>1408</v>
      </c>
      <c r="J33" s="8">
        <v>0</v>
      </c>
      <c r="K33" s="8">
        <v>0</v>
      </c>
      <c r="L33" s="9">
        <f t="shared" si="2"/>
        <v>3168</v>
      </c>
      <c r="M33" s="14">
        <v>0.3</v>
      </c>
      <c r="N33" s="18">
        <f t="shared" si="3"/>
        <v>950.4</v>
      </c>
      <c r="O33" s="7">
        <f t="shared" si="4"/>
        <v>2217.6</v>
      </c>
      <c r="P33" s="9">
        <f t="shared" si="5"/>
        <v>74541.176470588238</v>
      </c>
      <c r="Q33" s="9">
        <f t="shared" si="6"/>
        <v>52178.823529411769</v>
      </c>
    </row>
    <row r="34" spans="2:17" x14ac:dyDescent="0.3">
      <c r="B34" s="13" t="s">
        <v>50</v>
      </c>
      <c r="C34" s="13" t="s">
        <v>37</v>
      </c>
      <c r="D34" s="13" t="s">
        <v>29</v>
      </c>
      <c r="E34" s="13" t="s">
        <v>13</v>
      </c>
      <c r="F34" s="7">
        <v>12</v>
      </c>
      <c r="G34" s="8">
        <f t="shared" si="0"/>
        <v>2112</v>
      </c>
      <c r="H34" s="8">
        <v>0</v>
      </c>
      <c r="I34" s="8">
        <f t="shared" si="27"/>
        <v>1689.6000000000001</v>
      </c>
      <c r="J34" s="8">
        <v>0</v>
      </c>
      <c r="K34" s="8">
        <v>0</v>
      </c>
      <c r="L34" s="9">
        <f t="shared" si="2"/>
        <v>3801.6000000000004</v>
      </c>
      <c r="M34" s="14">
        <v>0.3</v>
      </c>
      <c r="N34" s="18">
        <f t="shared" si="3"/>
        <v>1140.48</v>
      </c>
      <c r="O34" s="7">
        <f t="shared" si="4"/>
        <v>2661.1200000000003</v>
      </c>
      <c r="P34" s="9">
        <f t="shared" si="5"/>
        <v>89449.411764705888</v>
      </c>
      <c r="Q34" s="9">
        <f t="shared" si="6"/>
        <v>62614.588235294126</v>
      </c>
    </row>
    <row r="35" spans="2:17" x14ac:dyDescent="0.3">
      <c r="B35" s="13" t="s">
        <v>50</v>
      </c>
      <c r="C35" s="13" t="s">
        <v>37</v>
      </c>
      <c r="D35" s="13" t="s">
        <v>29</v>
      </c>
      <c r="E35" s="13" t="s">
        <v>55</v>
      </c>
      <c r="F35" s="7">
        <v>12</v>
      </c>
      <c r="G35" s="8">
        <f t="shared" ref="G35" si="49">+F35*$G$6</f>
        <v>2112</v>
      </c>
      <c r="H35" s="8">
        <v>0</v>
      </c>
      <c r="I35" s="8">
        <f t="shared" ref="I35" si="50">G35*VLOOKUP(B35,$D$2:$E$5,2,FALSE)</f>
        <v>1689.6000000000001</v>
      </c>
      <c r="J35" s="8">
        <v>0</v>
      </c>
      <c r="K35" s="8">
        <v>0</v>
      </c>
      <c r="L35" s="9">
        <f t="shared" ref="L35" si="51">+G35+H35+I35+J35+K35</f>
        <v>3801.6000000000004</v>
      </c>
      <c r="M35" s="14">
        <v>0.3</v>
      </c>
      <c r="N35" s="18">
        <f t="shared" ref="N35" si="52">+L35*M35</f>
        <v>1140.48</v>
      </c>
      <c r="O35" s="7">
        <f t="shared" ref="O35" si="53">+L35-(L35*M35)</f>
        <v>2661.1200000000003</v>
      </c>
      <c r="P35" s="9">
        <f t="shared" ref="P35" si="54">+(L35*$P$2)/$P$3</f>
        <v>89449.411764705888</v>
      </c>
      <c r="Q35" s="9">
        <f t="shared" ref="Q35" si="55">+(O35*$P$2)/$P$3</f>
        <v>62614.588235294126</v>
      </c>
    </row>
    <row r="36" spans="2:17" x14ac:dyDescent="0.3">
      <c r="B36" s="13" t="s">
        <v>50</v>
      </c>
      <c r="C36" s="13" t="s">
        <v>37</v>
      </c>
      <c r="D36" s="13" t="s">
        <v>10</v>
      </c>
      <c r="E36" s="13" t="s">
        <v>11</v>
      </c>
      <c r="F36" s="7">
        <v>48</v>
      </c>
      <c r="G36" s="8">
        <f t="shared" si="0"/>
        <v>8448</v>
      </c>
      <c r="H36" s="8">
        <v>0</v>
      </c>
      <c r="I36" s="8">
        <f t="shared" si="27"/>
        <v>6758.4000000000005</v>
      </c>
      <c r="J36" s="8">
        <v>0</v>
      </c>
      <c r="K36" s="8">
        <v>0</v>
      </c>
      <c r="L36" s="9">
        <f t="shared" si="2"/>
        <v>15206.400000000001</v>
      </c>
      <c r="M36" s="14">
        <v>0.2</v>
      </c>
      <c r="N36" s="18">
        <f t="shared" si="3"/>
        <v>3041.2800000000007</v>
      </c>
      <c r="O36" s="7">
        <f t="shared" si="4"/>
        <v>12165.12</v>
      </c>
      <c r="P36" s="9">
        <f t="shared" si="5"/>
        <v>357797.64705882355</v>
      </c>
      <c r="Q36" s="9">
        <f t="shared" si="6"/>
        <v>286238.11764705885</v>
      </c>
    </row>
    <row r="37" spans="2:17" x14ac:dyDescent="0.3">
      <c r="B37" s="13" t="s">
        <v>50</v>
      </c>
      <c r="C37" s="13" t="s">
        <v>37</v>
      </c>
      <c r="D37" s="13" t="s">
        <v>10</v>
      </c>
      <c r="E37" s="13" t="s">
        <v>12</v>
      </c>
      <c r="F37" s="7">
        <v>48</v>
      </c>
      <c r="G37" s="8">
        <f t="shared" si="0"/>
        <v>8448</v>
      </c>
      <c r="H37" s="8">
        <v>0</v>
      </c>
      <c r="I37" s="8">
        <f t="shared" si="27"/>
        <v>6758.4000000000005</v>
      </c>
      <c r="J37" s="8">
        <v>0</v>
      </c>
      <c r="K37" s="8">
        <v>0</v>
      </c>
      <c r="L37" s="9">
        <f t="shared" si="2"/>
        <v>15206.400000000001</v>
      </c>
      <c r="M37" s="14">
        <v>0.2</v>
      </c>
      <c r="N37" s="18">
        <f t="shared" si="3"/>
        <v>3041.2800000000007</v>
      </c>
      <c r="O37" s="7">
        <f t="shared" si="4"/>
        <v>12165.12</v>
      </c>
      <c r="P37" s="9">
        <f t="shared" si="5"/>
        <v>357797.64705882355</v>
      </c>
      <c r="Q37" s="9">
        <f t="shared" si="6"/>
        <v>286238.11764705885</v>
      </c>
    </row>
    <row r="38" spans="2:17" x14ac:dyDescent="0.3">
      <c r="B38" s="13" t="s">
        <v>50</v>
      </c>
      <c r="C38" s="13" t="s">
        <v>37</v>
      </c>
      <c r="D38" s="13" t="s">
        <v>10</v>
      </c>
      <c r="E38" s="13" t="s">
        <v>13</v>
      </c>
      <c r="F38" s="7">
        <v>48</v>
      </c>
      <c r="G38" s="8">
        <f t="shared" si="0"/>
        <v>8448</v>
      </c>
      <c r="H38" s="8">
        <v>0</v>
      </c>
      <c r="I38" s="8">
        <f t="shared" si="27"/>
        <v>6758.4000000000005</v>
      </c>
      <c r="J38" s="8">
        <v>0</v>
      </c>
      <c r="K38" s="8">
        <v>0</v>
      </c>
      <c r="L38" s="9">
        <f t="shared" si="2"/>
        <v>15206.400000000001</v>
      </c>
      <c r="M38" s="14">
        <v>0.2</v>
      </c>
      <c r="N38" s="18">
        <f t="shared" si="3"/>
        <v>3041.2800000000007</v>
      </c>
      <c r="O38" s="7">
        <f t="shared" si="4"/>
        <v>12165.12</v>
      </c>
      <c r="P38" s="9">
        <f t="shared" si="5"/>
        <v>357797.64705882355</v>
      </c>
      <c r="Q38" s="9">
        <f t="shared" si="6"/>
        <v>286238.11764705885</v>
      </c>
    </row>
    <row r="39" spans="2:17" x14ac:dyDescent="0.3">
      <c r="B39" s="13" t="s">
        <v>50</v>
      </c>
      <c r="C39" s="13" t="s">
        <v>37</v>
      </c>
      <c r="D39" s="13" t="s">
        <v>10</v>
      </c>
      <c r="E39" s="13" t="s">
        <v>55</v>
      </c>
      <c r="F39" s="7">
        <v>48</v>
      </c>
      <c r="G39" s="8">
        <f t="shared" ref="G39" si="56">+F39*$G$6</f>
        <v>8448</v>
      </c>
      <c r="H39" s="8">
        <v>0</v>
      </c>
      <c r="I39" s="8">
        <f t="shared" ref="I39" si="57">G39*VLOOKUP(B39,$D$2:$E$5,2,FALSE)</f>
        <v>6758.4000000000005</v>
      </c>
      <c r="J39" s="8">
        <v>0</v>
      </c>
      <c r="K39" s="8">
        <v>0</v>
      </c>
      <c r="L39" s="9">
        <f t="shared" ref="L39" si="58">+G39+H39+I39+J39+K39</f>
        <v>15206.400000000001</v>
      </c>
      <c r="M39" s="14">
        <v>0.2</v>
      </c>
      <c r="N39" s="18">
        <f t="shared" ref="N39" si="59">+L39*M39</f>
        <v>3041.2800000000007</v>
      </c>
      <c r="O39" s="7">
        <f t="shared" ref="O39" si="60">+L39-(L39*M39)</f>
        <v>12165.12</v>
      </c>
      <c r="P39" s="9">
        <f t="shared" ref="P39" si="61">+(L39*$P$2)/$P$3</f>
        <v>357797.64705882355</v>
      </c>
      <c r="Q39" s="9">
        <f t="shared" ref="Q39" si="62">+(O39*$P$2)/$P$3</f>
        <v>286238.11764705885</v>
      </c>
    </row>
    <row r="40" spans="2:17" x14ac:dyDescent="0.3">
      <c r="B40" s="6" t="s">
        <v>49</v>
      </c>
      <c r="C40" s="13" t="s">
        <v>37</v>
      </c>
      <c r="D40" s="6" t="s">
        <v>14</v>
      </c>
      <c r="E40" s="13" t="s">
        <v>11</v>
      </c>
      <c r="F40" s="7">
        <v>3</v>
      </c>
      <c r="G40" s="8">
        <f t="shared" si="0"/>
        <v>528</v>
      </c>
      <c r="H40" s="8">
        <v>0</v>
      </c>
      <c r="I40" s="8">
        <v>0</v>
      </c>
      <c r="J40" s="8">
        <f>G40*VLOOKUP(B40,$D$2:$E$5,2,FALSE)</f>
        <v>211.20000000000002</v>
      </c>
      <c r="K40" s="8">
        <v>0</v>
      </c>
      <c r="L40" s="9">
        <f t="shared" ref="L40:L42" si="63">+G40+H40+I40+J40+K40</f>
        <v>739.2</v>
      </c>
      <c r="M40" s="14">
        <v>0.2</v>
      </c>
      <c r="N40" s="18">
        <f t="shared" si="3"/>
        <v>147.84</v>
      </c>
      <c r="O40" s="7">
        <f t="shared" ref="O40:O42" si="64">+L40-(L40*M40)</f>
        <v>591.36</v>
      </c>
      <c r="P40" s="9">
        <f t="shared" si="5"/>
        <v>17392.941176470587</v>
      </c>
      <c r="Q40" s="9">
        <f t="shared" si="6"/>
        <v>13914.352941176472</v>
      </c>
    </row>
    <row r="41" spans="2:17" x14ac:dyDescent="0.3">
      <c r="B41" s="6" t="s">
        <v>49</v>
      </c>
      <c r="C41" s="13" t="s">
        <v>37</v>
      </c>
      <c r="D41" s="6" t="s">
        <v>14</v>
      </c>
      <c r="E41" s="13" t="s">
        <v>12</v>
      </c>
      <c r="F41" s="7">
        <v>3</v>
      </c>
      <c r="G41" s="8">
        <f t="shared" si="0"/>
        <v>528</v>
      </c>
      <c r="H41" s="8">
        <v>0</v>
      </c>
      <c r="I41" s="8">
        <v>0</v>
      </c>
      <c r="J41" s="8">
        <f t="shared" ref="J41:J46" si="65">G41*VLOOKUP(B41,$D$2:$E$5,2,FALSE)</f>
        <v>211.20000000000002</v>
      </c>
      <c r="K41" s="8">
        <v>0</v>
      </c>
      <c r="L41" s="9">
        <f t="shared" si="63"/>
        <v>739.2</v>
      </c>
      <c r="M41" s="14">
        <v>0.2</v>
      </c>
      <c r="N41" s="18">
        <f t="shared" si="3"/>
        <v>147.84</v>
      </c>
      <c r="O41" s="7">
        <f t="shared" si="64"/>
        <v>591.36</v>
      </c>
      <c r="P41" s="9">
        <f t="shared" si="5"/>
        <v>17392.941176470587</v>
      </c>
      <c r="Q41" s="9">
        <f t="shared" si="6"/>
        <v>13914.352941176472</v>
      </c>
    </row>
    <row r="42" spans="2:17" x14ac:dyDescent="0.3">
      <c r="B42" s="6" t="s">
        <v>49</v>
      </c>
      <c r="C42" s="13" t="s">
        <v>37</v>
      </c>
      <c r="D42" s="6" t="s">
        <v>14</v>
      </c>
      <c r="E42" s="13" t="s">
        <v>13</v>
      </c>
      <c r="F42" s="7">
        <v>3</v>
      </c>
      <c r="G42" s="8">
        <f t="shared" si="0"/>
        <v>528</v>
      </c>
      <c r="H42" s="8">
        <v>0</v>
      </c>
      <c r="I42" s="8">
        <v>0</v>
      </c>
      <c r="J42" s="8">
        <f t="shared" si="65"/>
        <v>211.20000000000002</v>
      </c>
      <c r="K42" s="8">
        <v>0</v>
      </c>
      <c r="L42" s="9">
        <f t="shared" si="63"/>
        <v>739.2</v>
      </c>
      <c r="M42" s="14">
        <v>0.2</v>
      </c>
      <c r="N42" s="18">
        <f t="shared" si="3"/>
        <v>147.84</v>
      </c>
      <c r="O42" s="7">
        <f t="shared" si="64"/>
        <v>591.36</v>
      </c>
      <c r="P42" s="9">
        <f t="shared" si="5"/>
        <v>17392.941176470587</v>
      </c>
      <c r="Q42" s="9">
        <f t="shared" si="6"/>
        <v>13914.352941176472</v>
      </c>
    </row>
    <row r="43" spans="2:17" x14ac:dyDescent="0.3">
      <c r="B43" s="6" t="s">
        <v>49</v>
      </c>
      <c r="C43" s="13" t="s">
        <v>37</v>
      </c>
      <c r="D43" s="6" t="s">
        <v>14</v>
      </c>
      <c r="E43" s="13" t="s">
        <v>54</v>
      </c>
      <c r="F43" s="7">
        <v>3</v>
      </c>
      <c r="G43" s="8">
        <f t="shared" ref="G43" si="66">+F43*$G$6</f>
        <v>528</v>
      </c>
      <c r="H43" s="8">
        <v>0</v>
      </c>
      <c r="I43" s="8">
        <v>0</v>
      </c>
      <c r="J43" s="8">
        <f t="shared" ref="J43" si="67">G43*VLOOKUP(B43,$D$2:$E$5,2,FALSE)</f>
        <v>211.20000000000002</v>
      </c>
      <c r="K43" s="8">
        <v>0</v>
      </c>
      <c r="L43" s="9">
        <f t="shared" ref="L43" si="68">+G43+H43+I43+J43+K43</f>
        <v>739.2</v>
      </c>
      <c r="M43" s="14">
        <v>0.2</v>
      </c>
      <c r="N43" s="18">
        <f t="shared" ref="N43" si="69">+L43*M43</f>
        <v>147.84</v>
      </c>
      <c r="O43" s="7">
        <f t="shared" ref="O43" si="70">+L43-(L43*M43)</f>
        <v>591.36</v>
      </c>
      <c r="P43" s="9">
        <f t="shared" ref="P43" si="71">+(L43*$P$2)/$P$3</f>
        <v>17392.941176470587</v>
      </c>
      <c r="Q43" s="9">
        <f t="shared" ref="Q43" si="72">+(O43*$P$2)/$P$3</f>
        <v>13914.352941176472</v>
      </c>
    </row>
    <row r="44" spans="2:17" x14ac:dyDescent="0.3">
      <c r="B44" s="6" t="s">
        <v>49</v>
      </c>
      <c r="C44" s="13" t="s">
        <v>37</v>
      </c>
      <c r="D44" s="6" t="s">
        <v>34</v>
      </c>
      <c r="E44" s="13" t="s">
        <v>11</v>
      </c>
      <c r="F44" s="7">
        <v>4</v>
      </c>
      <c r="G44" s="8">
        <f t="shared" si="0"/>
        <v>704</v>
      </c>
      <c r="H44" s="8">
        <v>0</v>
      </c>
      <c r="I44" s="8">
        <v>0</v>
      </c>
      <c r="J44" s="8">
        <f t="shared" si="65"/>
        <v>281.60000000000002</v>
      </c>
      <c r="K44" s="8">
        <v>0</v>
      </c>
      <c r="L44" s="9">
        <f t="shared" ref="L44:L46" si="73">+G44+H44+I44+J44+K44</f>
        <v>985.6</v>
      </c>
      <c r="M44" s="14">
        <v>0.2</v>
      </c>
      <c r="N44" s="18">
        <f t="shared" si="3"/>
        <v>197.12</v>
      </c>
      <c r="O44" s="7">
        <f t="shared" ref="O44:O46" si="74">+L44-(L44*M44)</f>
        <v>788.48</v>
      </c>
      <c r="P44" s="9">
        <f t="shared" si="5"/>
        <v>23190.588235294119</v>
      </c>
      <c r="Q44" s="9">
        <f t="shared" si="6"/>
        <v>18552.470588235294</v>
      </c>
    </row>
    <row r="45" spans="2:17" x14ac:dyDescent="0.3">
      <c r="B45" s="6" t="s">
        <v>49</v>
      </c>
      <c r="C45" s="13" t="s">
        <v>37</v>
      </c>
      <c r="D45" s="6" t="s">
        <v>34</v>
      </c>
      <c r="E45" s="13" t="s">
        <v>12</v>
      </c>
      <c r="F45" s="7">
        <v>4</v>
      </c>
      <c r="G45" s="8">
        <f t="shared" si="0"/>
        <v>704</v>
      </c>
      <c r="H45" s="8">
        <v>0</v>
      </c>
      <c r="I45" s="8">
        <v>0</v>
      </c>
      <c r="J45" s="8">
        <f t="shared" si="65"/>
        <v>281.60000000000002</v>
      </c>
      <c r="K45" s="8">
        <v>0</v>
      </c>
      <c r="L45" s="9">
        <f t="shared" si="73"/>
        <v>985.6</v>
      </c>
      <c r="M45" s="14">
        <v>0.2</v>
      </c>
      <c r="N45" s="18">
        <f t="shared" si="3"/>
        <v>197.12</v>
      </c>
      <c r="O45" s="7">
        <f t="shared" si="74"/>
        <v>788.48</v>
      </c>
      <c r="P45" s="9">
        <f t="shared" si="5"/>
        <v>23190.588235294119</v>
      </c>
      <c r="Q45" s="9">
        <f t="shared" si="6"/>
        <v>18552.470588235294</v>
      </c>
    </row>
    <row r="46" spans="2:17" x14ac:dyDescent="0.3">
      <c r="B46" s="6" t="s">
        <v>49</v>
      </c>
      <c r="C46" s="13" t="s">
        <v>37</v>
      </c>
      <c r="D46" s="6" t="s">
        <v>34</v>
      </c>
      <c r="E46" s="13" t="s">
        <v>13</v>
      </c>
      <c r="F46" s="7">
        <v>4</v>
      </c>
      <c r="G46" s="8">
        <f t="shared" si="0"/>
        <v>704</v>
      </c>
      <c r="H46" s="8">
        <v>0</v>
      </c>
      <c r="I46" s="8">
        <v>0</v>
      </c>
      <c r="J46" s="8">
        <f t="shared" si="65"/>
        <v>281.60000000000002</v>
      </c>
      <c r="K46" s="8">
        <v>0</v>
      </c>
      <c r="L46" s="9">
        <f t="shared" si="73"/>
        <v>985.6</v>
      </c>
      <c r="M46" s="14">
        <v>0.2</v>
      </c>
      <c r="N46" s="18">
        <f t="shared" si="3"/>
        <v>197.12</v>
      </c>
      <c r="O46" s="7">
        <f t="shared" si="74"/>
        <v>788.48</v>
      </c>
      <c r="P46" s="9">
        <f t="shared" si="5"/>
        <v>23190.588235294119</v>
      </c>
      <c r="Q46" s="9">
        <f t="shared" si="6"/>
        <v>18552.470588235294</v>
      </c>
    </row>
    <row r="47" spans="2:17" x14ac:dyDescent="0.3">
      <c r="B47" s="6" t="s">
        <v>49</v>
      </c>
      <c r="C47" s="13" t="s">
        <v>37</v>
      </c>
      <c r="D47" s="6" t="s">
        <v>34</v>
      </c>
      <c r="E47" s="13" t="s">
        <v>54</v>
      </c>
      <c r="F47" s="7">
        <v>4</v>
      </c>
      <c r="G47" s="8">
        <f t="shared" ref="G47" si="75">+F47*$G$6</f>
        <v>704</v>
      </c>
      <c r="H47" s="8">
        <v>0</v>
      </c>
      <c r="I47" s="8">
        <v>0</v>
      </c>
      <c r="J47" s="8">
        <f t="shared" ref="J47" si="76">G47*VLOOKUP(B47,$D$2:$E$5,2,FALSE)</f>
        <v>281.60000000000002</v>
      </c>
      <c r="K47" s="8">
        <v>0</v>
      </c>
      <c r="L47" s="9">
        <f t="shared" ref="L47" si="77">+G47+H47+I47+J47+K47</f>
        <v>985.6</v>
      </c>
      <c r="M47" s="14">
        <v>0.2</v>
      </c>
      <c r="N47" s="18">
        <f t="shared" ref="N47" si="78">+L47*M47</f>
        <v>197.12</v>
      </c>
      <c r="O47" s="7">
        <f t="shared" ref="O47" si="79">+L47-(L47*M47)</f>
        <v>788.48</v>
      </c>
      <c r="P47" s="9">
        <f t="shared" ref="P47" si="80">+(L47*$P$2)/$P$3</f>
        <v>23190.588235294119</v>
      </c>
      <c r="Q47" s="9">
        <f t="shared" ref="Q47" si="81">+(O47*$P$2)/$P$3</f>
        <v>18552.470588235294</v>
      </c>
    </row>
    <row r="48" spans="2:17" x14ac:dyDescent="0.3">
      <c r="B48" s="6" t="s">
        <v>49</v>
      </c>
      <c r="C48" s="13" t="s">
        <v>37</v>
      </c>
      <c r="D48" s="6" t="s">
        <v>16</v>
      </c>
      <c r="E48" s="13" t="s">
        <v>11</v>
      </c>
      <c r="F48" s="7">
        <v>3</v>
      </c>
      <c r="G48" s="8">
        <f t="shared" si="0"/>
        <v>528</v>
      </c>
      <c r="H48" s="8">
        <v>0</v>
      </c>
      <c r="I48" s="8">
        <v>0</v>
      </c>
      <c r="J48" s="8">
        <f t="shared" ref="J48:J50" si="82">G48*VLOOKUP(B48,$D$2:$E$5,2,FALSE)</f>
        <v>211.20000000000002</v>
      </c>
      <c r="K48" s="8">
        <v>0</v>
      </c>
      <c r="L48" s="9">
        <f t="shared" ref="L48:L50" si="83">+G48+H48+I48+J48+K48</f>
        <v>739.2</v>
      </c>
      <c r="M48" s="14">
        <v>0.2</v>
      </c>
      <c r="N48" s="18">
        <f t="shared" si="3"/>
        <v>147.84</v>
      </c>
      <c r="O48" s="7">
        <f t="shared" ref="O48:O50" si="84">+L48-(L48*M48)</f>
        <v>591.36</v>
      </c>
      <c r="P48" s="9">
        <f t="shared" si="5"/>
        <v>17392.941176470587</v>
      </c>
      <c r="Q48" s="9">
        <f t="shared" si="6"/>
        <v>13914.352941176472</v>
      </c>
    </row>
    <row r="49" spans="2:17" x14ac:dyDescent="0.3">
      <c r="B49" s="6" t="s">
        <v>49</v>
      </c>
      <c r="C49" s="13" t="s">
        <v>37</v>
      </c>
      <c r="D49" s="6" t="s">
        <v>16</v>
      </c>
      <c r="E49" s="13" t="s">
        <v>12</v>
      </c>
      <c r="F49" s="7">
        <v>3</v>
      </c>
      <c r="G49" s="8">
        <f t="shared" si="0"/>
        <v>528</v>
      </c>
      <c r="H49" s="8">
        <v>0</v>
      </c>
      <c r="I49" s="8">
        <v>0</v>
      </c>
      <c r="J49" s="8">
        <f t="shared" si="82"/>
        <v>211.20000000000002</v>
      </c>
      <c r="K49" s="8">
        <v>0</v>
      </c>
      <c r="L49" s="9">
        <f t="shared" si="83"/>
        <v>739.2</v>
      </c>
      <c r="M49" s="14">
        <v>0.2</v>
      </c>
      <c r="N49" s="18">
        <f t="shared" si="3"/>
        <v>147.84</v>
      </c>
      <c r="O49" s="7">
        <f t="shared" si="84"/>
        <v>591.36</v>
      </c>
      <c r="P49" s="9">
        <f t="shared" si="5"/>
        <v>17392.941176470587</v>
      </c>
      <c r="Q49" s="9">
        <f t="shared" si="6"/>
        <v>13914.352941176472</v>
      </c>
    </row>
    <row r="50" spans="2:17" x14ac:dyDescent="0.3">
      <c r="B50" s="6" t="s">
        <v>49</v>
      </c>
      <c r="C50" s="13" t="s">
        <v>37</v>
      </c>
      <c r="D50" s="6" t="s">
        <v>16</v>
      </c>
      <c r="E50" s="13" t="s">
        <v>13</v>
      </c>
      <c r="F50" s="7">
        <v>3</v>
      </c>
      <c r="G50" s="8">
        <f t="shared" si="0"/>
        <v>528</v>
      </c>
      <c r="H50" s="8">
        <v>0</v>
      </c>
      <c r="I50" s="8">
        <v>0</v>
      </c>
      <c r="J50" s="8">
        <f t="shared" si="82"/>
        <v>211.20000000000002</v>
      </c>
      <c r="K50" s="8">
        <v>0</v>
      </c>
      <c r="L50" s="9">
        <f t="shared" si="83"/>
        <v>739.2</v>
      </c>
      <c r="M50" s="14">
        <v>0.2</v>
      </c>
      <c r="N50" s="18">
        <f t="shared" si="3"/>
        <v>147.84</v>
      </c>
      <c r="O50" s="7">
        <f t="shared" si="84"/>
        <v>591.36</v>
      </c>
      <c r="P50" s="9">
        <f t="shared" si="5"/>
        <v>17392.941176470587</v>
      </c>
      <c r="Q50" s="9">
        <f t="shared" si="6"/>
        <v>13914.352941176472</v>
      </c>
    </row>
    <row r="51" spans="2:17" x14ac:dyDescent="0.3">
      <c r="B51" s="6" t="s">
        <v>49</v>
      </c>
      <c r="C51" s="13" t="s">
        <v>37</v>
      </c>
      <c r="D51" s="6" t="s">
        <v>16</v>
      </c>
      <c r="E51" s="13" t="s">
        <v>54</v>
      </c>
      <c r="F51" s="7">
        <v>3</v>
      </c>
      <c r="G51" s="8">
        <f t="shared" ref="G51" si="85">+F51*$G$6</f>
        <v>528</v>
      </c>
      <c r="H51" s="8">
        <v>0</v>
      </c>
      <c r="I51" s="8">
        <v>0</v>
      </c>
      <c r="J51" s="8">
        <f t="shared" ref="J51" si="86">G51*VLOOKUP(B51,$D$2:$E$5,2,FALSE)</f>
        <v>211.20000000000002</v>
      </c>
      <c r="K51" s="8">
        <v>0</v>
      </c>
      <c r="L51" s="9">
        <f t="shared" ref="L51" si="87">+G51+H51+I51+J51+K51</f>
        <v>739.2</v>
      </c>
      <c r="M51" s="14">
        <v>0.2</v>
      </c>
      <c r="N51" s="18">
        <f t="shared" ref="N51" si="88">+L51*M51</f>
        <v>147.84</v>
      </c>
      <c r="O51" s="7">
        <f t="shared" ref="O51" si="89">+L51-(L51*M51)</f>
        <v>591.36</v>
      </c>
      <c r="P51" s="9">
        <f t="shared" ref="P51" si="90">+(L51*$P$2)/$P$3</f>
        <v>17392.941176470587</v>
      </c>
      <c r="Q51" s="9">
        <f t="shared" ref="Q51" si="91">+(O51*$P$2)/$P$3</f>
        <v>13914.352941176472</v>
      </c>
    </row>
    <row r="52" spans="2:17" x14ac:dyDescent="0.3">
      <c r="B52" s="6" t="s">
        <v>49</v>
      </c>
      <c r="C52" s="13" t="s">
        <v>37</v>
      </c>
      <c r="D52" s="6" t="s">
        <v>35</v>
      </c>
      <c r="E52" s="13" t="s">
        <v>11</v>
      </c>
      <c r="F52" s="7">
        <v>12</v>
      </c>
      <c r="G52" s="8">
        <f t="shared" si="0"/>
        <v>2112</v>
      </c>
      <c r="H52" s="8">
        <v>0</v>
      </c>
      <c r="I52" s="8">
        <v>0</v>
      </c>
      <c r="J52" s="8">
        <f t="shared" ref="J52:J54" si="92">G52*VLOOKUP(B52,$D$2:$E$5,2,FALSE)</f>
        <v>844.80000000000007</v>
      </c>
      <c r="K52" s="8">
        <v>0</v>
      </c>
      <c r="L52" s="9">
        <f t="shared" ref="L52:L54" si="93">+G52+H52+I52+J52+K52</f>
        <v>2956.8</v>
      </c>
      <c r="M52" s="14">
        <v>0.2</v>
      </c>
      <c r="N52" s="18">
        <f t="shared" si="3"/>
        <v>591.36</v>
      </c>
      <c r="O52" s="7">
        <f t="shared" ref="O52:O54" si="94">+L52-(L52*M52)</f>
        <v>2365.44</v>
      </c>
      <c r="P52" s="9">
        <f t="shared" si="5"/>
        <v>69571.76470588235</v>
      </c>
      <c r="Q52" s="9">
        <f t="shared" si="6"/>
        <v>55657.411764705888</v>
      </c>
    </row>
    <row r="53" spans="2:17" x14ac:dyDescent="0.3">
      <c r="B53" s="6" t="s">
        <v>49</v>
      </c>
      <c r="C53" s="13" t="s">
        <v>37</v>
      </c>
      <c r="D53" s="6" t="s">
        <v>35</v>
      </c>
      <c r="E53" s="13" t="s">
        <v>12</v>
      </c>
      <c r="F53" s="7">
        <v>18</v>
      </c>
      <c r="G53" s="8">
        <f t="shared" si="0"/>
        <v>3168</v>
      </c>
      <c r="H53" s="8">
        <v>0</v>
      </c>
      <c r="I53" s="8">
        <v>0</v>
      </c>
      <c r="J53" s="8">
        <f t="shared" si="92"/>
        <v>1267.2</v>
      </c>
      <c r="K53" s="8">
        <v>0</v>
      </c>
      <c r="L53" s="9">
        <f t="shared" si="93"/>
        <v>4435.2</v>
      </c>
      <c r="M53" s="14">
        <v>0.2</v>
      </c>
      <c r="N53" s="18">
        <f t="shared" si="3"/>
        <v>887.04</v>
      </c>
      <c r="O53" s="7">
        <f t="shared" si="94"/>
        <v>3548.16</v>
      </c>
      <c r="P53" s="9">
        <f t="shared" si="5"/>
        <v>104357.64705882354</v>
      </c>
      <c r="Q53" s="9">
        <f t="shared" si="6"/>
        <v>83486.117647058825</v>
      </c>
    </row>
    <row r="54" spans="2:17" x14ac:dyDescent="0.3">
      <c r="B54" s="6" t="s">
        <v>49</v>
      </c>
      <c r="C54" s="13" t="s">
        <v>37</v>
      </c>
      <c r="D54" s="6" t="s">
        <v>35</v>
      </c>
      <c r="E54" s="13" t="s">
        <v>13</v>
      </c>
      <c r="F54" s="7">
        <v>24</v>
      </c>
      <c r="G54" s="8">
        <f t="shared" si="0"/>
        <v>4224</v>
      </c>
      <c r="H54" s="8">
        <v>0</v>
      </c>
      <c r="I54" s="8">
        <v>0</v>
      </c>
      <c r="J54" s="8">
        <f t="shared" si="92"/>
        <v>1689.6000000000001</v>
      </c>
      <c r="K54" s="8">
        <v>0</v>
      </c>
      <c r="L54" s="9">
        <f t="shared" si="93"/>
        <v>5913.6</v>
      </c>
      <c r="M54" s="14">
        <v>0.2</v>
      </c>
      <c r="N54" s="18">
        <f t="shared" si="3"/>
        <v>1182.72</v>
      </c>
      <c r="O54" s="7">
        <f t="shared" si="94"/>
        <v>4730.88</v>
      </c>
      <c r="P54" s="9">
        <f t="shared" si="5"/>
        <v>139143.5294117647</v>
      </c>
      <c r="Q54" s="9">
        <f t="shared" si="6"/>
        <v>111314.82352941178</v>
      </c>
    </row>
    <row r="55" spans="2:17" x14ac:dyDescent="0.3">
      <c r="B55" s="6" t="s">
        <v>49</v>
      </c>
      <c r="C55" s="13" t="s">
        <v>37</v>
      </c>
      <c r="D55" s="6" t="s">
        <v>35</v>
      </c>
      <c r="E55" s="13" t="s">
        <v>54</v>
      </c>
      <c r="F55" s="7">
        <v>24</v>
      </c>
      <c r="G55" s="8">
        <f t="shared" ref="G55" si="95">+F55*$G$6</f>
        <v>4224</v>
      </c>
      <c r="H55" s="8">
        <v>0</v>
      </c>
      <c r="I55" s="8">
        <v>0</v>
      </c>
      <c r="J55" s="8">
        <f t="shared" ref="J55" si="96">G55*VLOOKUP(B55,$D$2:$E$5,2,FALSE)</f>
        <v>1689.6000000000001</v>
      </c>
      <c r="K55" s="8">
        <v>0</v>
      </c>
      <c r="L55" s="9">
        <f t="shared" ref="L55" si="97">+G55+H55+I55+J55+K55</f>
        <v>5913.6</v>
      </c>
      <c r="M55" s="14">
        <v>0.2</v>
      </c>
      <c r="N55" s="18">
        <f t="shared" ref="N55" si="98">+L55*M55</f>
        <v>1182.72</v>
      </c>
      <c r="O55" s="7">
        <f t="shared" ref="O55" si="99">+L55-(L55*M55)</f>
        <v>4730.88</v>
      </c>
      <c r="P55" s="9">
        <f t="shared" ref="P55" si="100">+(L55*$P$2)/$P$3</f>
        <v>139143.5294117647</v>
      </c>
      <c r="Q55" s="9">
        <f t="shared" ref="Q55" si="101">+(O55*$P$2)/$P$3</f>
        <v>111314.82352941178</v>
      </c>
    </row>
    <row r="56" spans="2:17" x14ac:dyDescent="0.3">
      <c r="B56" s="6" t="s">
        <v>51</v>
      </c>
      <c r="C56" s="13" t="s">
        <v>37</v>
      </c>
      <c r="D56" s="6" t="s">
        <v>52</v>
      </c>
      <c r="E56" s="13" t="s">
        <v>38</v>
      </c>
      <c r="F56" s="7">
        <v>6</v>
      </c>
      <c r="G56" s="8">
        <f t="shared" si="0"/>
        <v>1056</v>
      </c>
      <c r="H56" s="8">
        <v>0</v>
      </c>
      <c r="I56" s="8">
        <v>0</v>
      </c>
      <c r="J56" s="8">
        <v>0</v>
      </c>
      <c r="K56" s="8">
        <f>G56*VLOOKUP(B56,$D$2:$E$5,2,FALSE)</f>
        <v>211.20000000000002</v>
      </c>
      <c r="L56" s="9">
        <f t="shared" ref="L56:L57" si="102">+G56+H56+I56+J56+K56</f>
        <v>1267.2</v>
      </c>
      <c r="M56" s="14">
        <v>0.2</v>
      </c>
      <c r="N56" s="18">
        <f t="shared" si="3"/>
        <v>253.44000000000003</v>
      </c>
      <c r="O56" s="7">
        <f t="shared" ref="O56:O57" si="103">+L56-(L56*M56)</f>
        <v>1013.76</v>
      </c>
      <c r="P56" s="9">
        <f t="shared" si="5"/>
        <v>29816.470588235294</v>
      </c>
      <c r="Q56" s="9">
        <f t="shared" si="6"/>
        <v>23853.176470588238</v>
      </c>
    </row>
    <row r="57" spans="2:17" x14ac:dyDescent="0.3">
      <c r="B57" s="6" t="s">
        <v>51</v>
      </c>
      <c r="C57" s="13" t="s">
        <v>37</v>
      </c>
      <c r="D57" s="6" t="s">
        <v>53</v>
      </c>
      <c r="E57" s="13" t="s">
        <v>38</v>
      </c>
      <c r="F57" s="7">
        <v>6</v>
      </c>
      <c r="G57" s="8">
        <f t="shared" si="0"/>
        <v>1056</v>
      </c>
      <c r="H57" s="8">
        <v>0</v>
      </c>
      <c r="I57" s="8">
        <v>0</v>
      </c>
      <c r="J57" s="8">
        <v>0</v>
      </c>
      <c r="K57" s="8">
        <f>G57*VLOOKUP(B57,$D$2:$E$5,2,FALSE)</f>
        <v>211.20000000000002</v>
      </c>
      <c r="L57" s="9">
        <f t="shared" si="102"/>
        <v>1267.2</v>
      </c>
      <c r="M57" s="14">
        <v>0.2</v>
      </c>
      <c r="N57" s="18">
        <f t="shared" si="3"/>
        <v>253.44000000000003</v>
      </c>
      <c r="O57" s="7">
        <f t="shared" si="103"/>
        <v>1013.76</v>
      </c>
      <c r="P57" s="9">
        <f t="shared" si="5"/>
        <v>29816.470588235294</v>
      </c>
      <c r="Q57" s="9">
        <f t="shared" si="6"/>
        <v>23853.176470588238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abSelected="1" topLeftCell="D1" zoomScale="89" zoomScaleNormal="89" workbookViewId="0">
      <selection activeCell="Q15" sqref="Q15"/>
    </sheetView>
  </sheetViews>
  <sheetFormatPr baseColWidth="10" defaultColWidth="11.44140625" defaultRowHeight="10.199999999999999" x14ac:dyDescent="0.2"/>
  <cols>
    <col min="1" max="1" width="26.88671875" style="16" bestFit="1" customWidth="1"/>
    <col min="2" max="2" width="22.44140625" style="16" bestFit="1" customWidth="1"/>
    <col min="3" max="3" width="23" style="16" bestFit="1" customWidth="1"/>
    <col min="4" max="4" width="8.44140625" style="20" customWidth="1"/>
    <col min="5" max="5" width="20.44140625" style="16" bestFit="1" customWidth="1"/>
    <col min="6" max="6" width="18" style="16" bestFit="1" customWidth="1"/>
    <col min="7" max="7" width="4.5546875" style="16" customWidth="1"/>
    <col min="8" max="8" width="6.88671875" style="16" customWidth="1"/>
    <col min="9" max="9" width="4.88671875" style="16" customWidth="1"/>
    <col min="10" max="10" width="9.44140625" style="16" customWidth="1"/>
    <col min="11" max="11" width="7.109375" style="20" bestFit="1" customWidth="1"/>
    <col min="12" max="12" width="12.33203125" style="16" bestFit="1" customWidth="1"/>
    <col min="13" max="13" width="13.6640625" style="16" customWidth="1"/>
    <col min="14" max="14" width="4.44140625" style="16" bestFit="1" customWidth="1"/>
    <col min="15" max="15" width="21.21875" style="16" bestFit="1" customWidth="1"/>
    <col min="16" max="16" width="18.5546875" style="16" bestFit="1" customWidth="1"/>
    <col min="17" max="18" width="13.5546875" style="16" customWidth="1"/>
    <col min="19" max="19" width="17.6640625" style="16" bestFit="1" customWidth="1"/>
    <col min="20" max="20" width="18.21875" style="16" customWidth="1"/>
    <col min="21" max="21" width="7.88671875" style="16" bestFit="1" customWidth="1"/>
    <col min="22" max="16384" width="11.44140625" style="16"/>
  </cols>
  <sheetData>
    <row r="1" spans="1:21" x14ac:dyDescent="0.2">
      <c r="A1" s="15" t="s">
        <v>36</v>
      </c>
      <c r="B1" s="16" t="s">
        <v>39</v>
      </c>
      <c r="L1" s="30" t="s">
        <v>71</v>
      </c>
      <c r="M1" s="25">
        <v>80</v>
      </c>
      <c r="O1" s="3"/>
      <c r="P1" s="3"/>
      <c r="S1" s="30" t="s">
        <v>71</v>
      </c>
      <c r="T1" s="25">
        <v>80</v>
      </c>
    </row>
    <row r="2" spans="1:21" x14ac:dyDescent="0.2">
      <c r="F2" s="29" t="s">
        <v>70</v>
      </c>
      <c r="G2" s="26">
        <v>40</v>
      </c>
      <c r="L2" s="30" t="s">
        <v>44</v>
      </c>
      <c r="M2" s="28">
        <v>3.4</v>
      </c>
      <c r="O2" s="3"/>
      <c r="P2" s="3"/>
      <c r="S2" s="30" t="s">
        <v>44</v>
      </c>
      <c r="T2" s="28">
        <v>3.4</v>
      </c>
    </row>
    <row r="3" spans="1:21" x14ac:dyDescent="0.2">
      <c r="A3" s="15" t="s">
        <v>27</v>
      </c>
      <c r="B3" s="16" t="s">
        <v>32</v>
      </c>
      <c r="C3" s="16" t="s">
        <v>33</v>
      </c>
      <c r="E3" s="29" t="s">
        <v>73</v>
      </c>
      <c r="F3" s="29" t="s">
        <v>32</v>
      </c>
      <c r="G3" s="29" t="s">
        <v>56</v>
      </c>
      <c r="H3" s="29" t="s">
        <v>57</v>
      </c>
      <c r="I3" s="29" t="s">
        <v>18</v>
      </c>
      <c r="J3" s="30" t="s">
        <v>59</v>
      </c>
      <c r="K3" s="34" t="s">
        <v>58</v>
      </c>
      <c r="L3" s="30" t="s">
        <v>60</v>
      </c>
      <c r="M3" s="31" t="s">
        <v>61</v>
      </c>
      <c r="N3" s="16" t="s">
        <v>66</v>
      </c>
      <c r="O3" s="29" t="s">
        <v>73</v>
      </c>
      <c r="P3" s="29" t="s">
        <v>33</v>
      </c>
      <c r="Q3" s="29" t="s">
        <v>63</v>
      </c>
      <c r="R3" s="34" t="s">
        <v>58</v>
      </c>
      <c r="S3" s="29" t="s">
        <v>64</v>
      </c>
      <c r="T3" s="29" t="s">
        <v>67</v>
      </c>
    </row>
    <row r="4" spans="1:21" x14ac:dyDescent="0.2">
      <c r="A4" s="17" t="s">
        <v>48</v>
      </c>
      <c r="B4" s="16">
        <v>41183.999999999993</v>
      </c>
      <c r="C4" s="16">
        <v>28828.799999999996</v>
      </c>
      <c r="E4" s="32" t="s">
        <v>48</v>
      </c>
      <c r="F4" s="26">
        <f>+B4</f>
        <v>41183.999999999993</v>
      </c>
      <c r="G4" s="33">
        <v>0.2</v>
      </c>
      <c r="H4" s="26">
        <f>+$G$2*G4</f>
        <v>8</v>
      </c>
      <c r="I4" s="26">
        <f>+F4/176/H4</f>
        <v>29.249999999999996</v>
      </c>
      <c r="J4" s="26">
        <f>+H4*176*I4*$M$1/$M$2</f>
        <v>969035.29411764699</v>
      </c>
      <c r="K4" s="35">
        <v>0.4</v>
      </c>
      <c r="L4" s="26">
        <f>+J4*K4+J4</f>
        <v>1356649.4117647058</v>
      </c>
      <c r="M4" s="26">
        <f>+L4/2</f>
        <v>678324.70588235289</v>
      </c>
      <c r="O4" s="32" t="s">
        <v>48</v>
      </c>
      <c r="P4" s="23">
        <f>C4</f>
        <v>28828.799999999996</v>
      </c>
      <c r="Q4" s="26">
        <f>0.7*J4+L11</f>
        <v>871684.5176470587</v>
      </c>
      <c r="R4" s="35">
        <v>0.4</v>
      </c>
      <c r="S4" s="26">
        <f>Q4*K4+Q4</f>
        <v>1220358.3247058822</v>
      </c>
      <c r="T4" s="26">
        <f>S4/2</f>
        <v>610179.16235294112</v>
      </c>
      <c r="U4" s="16">
        <f>+F4*(1-$M$9/100)</f>
        <v>16867.316540212443</v>
      </c>
    </row>
    <row r="5" spans="1:21" x14ac:dyDescent="0.2">
      <c r="A5" s="17" t="s">
        <v>50</v>
      </c>
      <c r="B5" s="16">
        <v>112780.79999999999</v>
      </c>
      <c r="C5" s="16">
        <v>85029.119999999995</v>
      </c>
      <c r="E5" s="32" t="s">
        <v>50</v>
      </c>
      <c r="F5" s="26">
        <f>+B5</f>
        <v>112780.79999999999</v>
      </c>
      <c r="G5" s="33">
        <v>0.5</v>
      </c>
      <c r="H5" s="26">
        <f t="shared" ref="H5:H7" si="0">+$G$2*G5</f>
        <v>20</v>
      </c>
      <c r="I5" s="26">
        <f>+F5/176/H5</f>
        <v>32.04</v>
      </c>
      <c r="J5" s="26">
        <f t="shared" ref="J5:J7" si="1">+H5*176*I5*$M$1/$M$2</f>
        <v>2653665.8823529412</v>
      </c>
      <c r="K5" s="35">
        <v>0.1</v>
      </c>
      <c r="L5" s="26">
        <f t="shared" ref="L5:L7" si="2">+J5*K5+J5</f>
        <v>2919032.4705882352</v>
      </c>
      <c r="M5" s="26">
        <f t="shared" ref="M5:M7" si="3">+L5/2</f>
        <v>1459516.2352941176</v>
      </c>
      <c r="O5" s="32" t="s">
        <v>50</v>
      </c>
      <c r="P5" s="23">
        <f t="shared" ref="P5:P7" si="4">C5</f>
        <v>85029.119999999995</v>
      </c>
      <c r="Q5" s="26">
        <f>0.7*J5+L12</f>
        <v>1857566.1176470588</v>
      </c>
      <c r="R5" s="35">
        <v>0.1</v>
      </c>
      <c r="S5" s="26">
        <f>Q5*K5+Q5</f>
        <v>2043322.7294117648</v>
      </c>
      <c r="T5" s="26">
        <f t="shared" ref="T5:T7" si="5">S5/2</f>
        <v>1021661.3647058824</v>
      </c>
      <c r="U5" s="16">
        <f>+F5*(1-$M$9/100)</f>
        <v>46190.497602427924</v>
      </c>
    </row>
    <row r="6" spans="1:21" x14ac:dyDescent="0.2">
      <c r="A6" s="17" t="s">
        <v>49</v>
      </c>
      <c r="B6" s="16">
        <v>29075.200000000004</v>
      </c>
      <c r="C6" s="16">
        <v>23260.16</v>
      </c>
      <c r="E6" s="32" t="s">
        <v>49</v>
      </c>
      <c r="F6" s="26">
        <f>+B6</f>
        <v>29075.200000000004</v>
      </c>
      <c r="G6" s="33">
        <v>0.2</v>
      </c>
      <c r="H6" s="26">
        <f t="shared" si="0"/>
        <v>8</v>
      </c>
      <c r="I6" s="26">
        <f t="shared" ref="I6:I7" si="6">+F6/176/H6</f>
        <v>20.650000000000002</v>
      </c>
      <c r="J6" s="26">
        <f t="shared" si="1"/>
        <v>684122.35294117662</v>
      </c>
      <c r="K6" s="35">
        <v>0.2</v>
      </c>
      <c r="L6" s="26">
        <f t="shared" si="2"/>
        <v>820946.82352941192</v>
      </c>
      <c r="M6" s="26">
        <f t="shared" si="3"/>
        <v>410473.41176470596</v>
      </c>
      <c r="O6" s="32" t="s">
        <v>49</v>
      </c>
      <c r="P6" s="23">
        <f t="shared" si="4"/>
        <v>23260.16</v>
      </c>
      <c r="Q6" s="26">
        <f>0.7*J6+L13</f>
        <v>478885.64705882361</v>
      </c>
      <c r="R6" s="35">
        <v>0.2</v>
      </c>
      <c r="S6" s="26">
        <f t="shared" ref="S6:S7" si="7">Q6*K6+Q6</f>
        <v>574662.77647058829</v>
      </c>
      <c r="T6" s="26">
        <f t="shared" si="5"/>
        <v>287331.38823529414</v>
      </c>
      <c r="U6" s="16">
        <f t="shared" ref="U6:U7" si="8">+F6*(1-$M$9/100)</f>
        <v>11908.037147192721</v>
      </c>
    </row>
    <row r="7" spans="1:21" x14ac:dyDescent="0.2">
      <c r="A7" s="17" t="s">
        <v>51</v>
      </c>
      <c r="B7" s="16">
        <v>2534.4</v>
      </c>
      <c r="C7" s="16">
        <v>2027.52</v>
      </c>
      <c r="E7" s="32" t="s">
        <v>51</v>
      </c>
      <c r="F7" s="26">
        <f>+B7</f>
        <v>2534.4</v>
      </c>
      <c r="G7" s="33">
        <v>0.1</v>
      </c>
      <c r="H7" s="26">
        <f t="shared" si="0"/>
        <v>4</v>
      </c>
      <c r="I7" s="26">
        <f t="shared" si="6"/>
        <v>3.6</v>
      </c>
      <c r="J7" s="26">
        <f t="shared" si="1"/>
        <v>59632.941176470587</v>
      </c>
      <c r="K7" s="35">
        <v>0</v>
      </c>
      <c r="L7" s="26">
        <f t="shared" si="2"/>
        <v>59632.941176470587</v>
      </c>
      <c r="M7" s="26">
        <f t="shared" si="3"/>
        <v>29816.470588235294</v>
      </c>
      <c r="O7" s="32" t="s">
        <v>51</v>
      </c>
      <c r="P7" s="23">
        <f t="shared" si="4"/>
        <v>2027.52</v>
      </c>
      <c r="Q7" s="26">
        <f>0.7*J7+L14</f>
        <v>41743.058823529405</v>
      </c>
      <c r="R7" s="35">
        <v>0</v>
      </c>
      <c r="S7" s="26">
        <f t="shared" si="7"/>
        <v>41743.058823529405</v>
      </c>
      <c r="T7" s="26">
        <f t="shared" si="5"/>
        <v>20871.529411764703</v>
      </c>
      <c r="U7" s="16">
        <f t="shared" si="8"/>
        <v>1037.9887101669199</v>
      </c>
    </row>
    <row r="8" spans="1:21" x14ac:dyDescent="0.2">
      <c r="A8" s="17" t="s">
        <v>28</v>
      </c>
      <c r="B8" s="16">
        <v>185574.39999999999</v>
      </c>
      <c r="C8" s="16">
        <v>139145.59999999998</v>
      </c>
      <c r="E8" s="39" t="s">
        <v>72</v>
      </c>
      <c r="F8" s="27">
        <f>SUM(F4:F7)</f>
        <v>185574.39999999999</v>
      </c>
      <c r="G8" s="21"/>
      <c r="H8" s="21"/>
      <c r="I8" s="21"/>
      <c r="J8" s="27">
        <f>SUM(J4:J7)</f>
        <v>4366456.4705882352</v>
      </c>
      <c r="K8" s="22"/>
      <c r="L8" s="27">
        <f>SUM(L4:L7)</f>
        <v>5156261.6470588231</v>
      </c>
      <c r="M8" s="27">
        <f>SUM(M4:M7)</f>
        <v>2578130.8235294116</v>
      </c>
      <c r="O8" s="39" t="s">
        <v>72</v>
      </c>
      <c r="P8" s="26"/>
      <c r="Q8" s="27">
        <f>SUM(Q4:Q7)</f>
        <v>3249879.3411764707</v>
      </c>
      <c r="S8" s="27">
        <f>SUM(S4:S7)</f>
        <v>3880086.8894117652</v>
      </c>
      <c r="T8" s="27">
        <f>SUM(T4:T7)</f>
        <v>1940043.4447058826</v>
      </c>
    </row>
    <row r="9" spans="1:21" ht="14.4" x14ac:dyDescent="0.3">
      <c r="A9"/>
      <c r="B9"/>
      <c r="C9"/>
      <c r="L9" s="16">
        <f>+L8*0.3</f>
        <v>1546878.4941176469</v>
      </c>
      <c r="M9" s="16">
        <f>+M8/J8*100</f>
        <v>59.044006069802727</v>
      </c>
    </row>
    <row r="10" spans="1:21" ht="14.4" x14ac:dyDescent="0.3">
      <c r="A10"/>
      <c r="B10"/>
      <c r="C10"/>
      <c r="F10" s="16">
        <f>40*176*36</f>
        <v>253440</v>
      </c>
      <c r="J10" s="36" t="s">
        <v>62</v>
      </c>
      <c r="K10" s="36"/>
      <c r="L10" s="26">
        <f>+L9/2</f>
        <v>773439.24705882347</v>
      </c>
    </row>
    <row r="11" spans="1:21" ht="14.4" x14ac:dyDescent="0.3">
      <c r="A11"/>
      <c r="B11"/>
      <c r="C11"/>
      <c r="J11" s="36" t="s">
        <v>65</v>
      </c>
      <c r="K11" s="36"/>
      <c r="L11" s="26">
        <f>L10/ROWS(E4:E7)</f>
        <v>193359.81176470587</v>
      </c>
    </row>
    <row r="12" spans="1:21" ht="14.4" x14ac:dyDescent="0.3">
      <c r="A12"/>
      <c r="B12"/>
      <c r="C12"/>
      <c r="F12" s="16">
        <f>+F8</f>
        <v>185574.39999999999</v>
      </c>
    </row>
    <row r="13" spans="1:21" ht="14.4" x14ac:dyDescent="0.3">
      <c r="A13"/>
      <c r="B13"/>
      <c r="C13"/>
    </row>
    <row r="14" spans="1:21" ht="14.4" x14ac:dyDescent="0.3">
      <c r="A14"/>
      <c r="B14"/>
      <c r="C14"/>
    </row>
    <row r="15" spans="1:21" ht="14.4" x14ac:dyDescent="0.3">
      <c r="A15"/>
      <c r="B15"/>
      <c r="C15"/>
    </row>
    <row r="16" spans="1:21" ht="14.4" x14ac:dyDescent="0.3">
      <c r="A16"/>
      <c r="B16"/>
      <c r="C16"/>
    </row>
    <row r="17" spans="1:3" ht="14.4" x14ac:dyDescent="0.3">
      <c r="A17"/>
      <c r="B17"/>
      <c r="C17"/>
    </row>
    <row r="18" spans="1:3" ht="14.4" x14ac:dyDescent="0.3">
      <c r="A18"/>
      <c r="B18"/>
      <c r="C18"/>
    </row>
    <row r="19" spans="1:3" ht="14.4" x14ac:dyDescent="0.3">
      <c r="A19"/>
      <c r="B19"/>
      <c r="C19"/>
    </row>
    <row r="20" spans="1:3" ht="14.4" x14ac:dyDescent="0.3">
      <c r="A20"/>
      <c r="B20"/>
      <c r="C20"/>
    </row>
    <row r="21" spans="1:3" ht="14.4" x14ac:dyDescent="0.3">
      <c r="A21"/>
      <c r="B21"/>
      <c r="C21"/>
    </row>
    <row r="22" spans="1:3" ht="14.4" x14ac:dyDescent="0.3">
      <c r="A22"/>
      <c r="B22"/>
      <c r="C22"/>
    </row>
    <row r="23" spans="1:3" ht="14.4" x14ac:dyDescent="0.3">
      <c r="A23"/>
      <c r="B23"/>
      <c r="C23"/>
    </row>
    <row r="24" spans="1:3" ht="14.4" x14ac:dyDescent="0.3">
      <c r="A24"/>
      <c r="B24"/>
      <c r="C24"/>
    </row>
    <row r="25" spans="1:3" ht="14.4" x14ac:dyDescent="0.3">
      <c r="A25"/>
      <c r="B25"/>
      <c r="C25"/>
    </row>
    <row r="26" spans="1:3" ht="14.4" x14ac:dyDescent="0.3">
      <c r="A26"/>
      <c r="B26"/>
      <c r="C26"/>
    </row>
    <row r="27" spans="1:3" ht="14.4" x14ac:dyDescent="0.3">
      <c r="A27"/>
      <c r="B27"/>
      <c r="C27"/>
    </row>
    <row r="28" spans="1:3" ht="14.4" x14ac:dyDescent="0.3">
      <c r="A28"/>
      <c r="B28"/>
      <c r="C28"/>
    </row>
    <row r="29" spans="1:3" ht="14.4" x14ac:dyDescent="0.3">
      <c r="A29"/>
      <c r="B29"/>
      <c r="C29"/>
    </row>
    <row r="30" spans="1:3" ht="14.4" x14ac:dyDescent="0.3">
      <c r="A30"/>
      <c r="B30"/>
      <c r="C30"/>
    </row>
    <row r="31" spans="1:3" ht="14.4" x14ac:dyDescent="0.3">
      <c r="A31"/>
      <c r="B31"/>
      <c r="C31"/>
    </row>
    <row r="32" spans="1:3" ht="14.4" x14ac:dyDescent="0.3">
      <c r="A32" s="24" t="s">
        <v>47</v>
      </c>
      <c r="B32"/>
      <c r="C32"/>
    </row>
    <row r="33" spans="1:19" ht="21" x14ac:dyDescent="0.4">
      <c r="A33"/>
      <c r="B33"/>
      <c r="C33"/>
      <c r="G33" s="37" t="s">
        <v>68</v>
      </c>
      <c r="H33" s="38">
        <f>+J8</f>
        <v>4366456.4705882352</v>
      </c>
      <c r="Q33" s="37" t="s">
        <v>68</v>
      </c>
      <c r="R33" s="37"/>
      <c r="S33" s="38">
        <f>+Q8</f>
        <v>3249879.3411764707</v>
      </c>
    </row>
    <row r="34" spans="1:19" ht="21" x14ac:dyDescent="0.4">
      <c r="A34" s="15" t="s">
        <v>36</v>
      </c>
      <c r="B34" s="16" t="s">
        <v>39</v>
      </c>
      <c r="G34" s="37" t="s">
        <v>69</v>
      </c>
      <c r="H34" s="38">
        <f>+M8</f>
        <v>2578130.8235294116</v>
      </c>
      <c r="Q34" s="37" t="s">
        <v>69</v>
      </c>
      <c r="R34" s="37"/>
      <c r="S34" s="38">
        <f>+T8</f>
        <v>1940043.4447058826</v>
      </c>
    </row>
    <row r="36" spans="1:19" x14ac:dyDescent="0.2">
      <c r="A36" s="15" t="s">
        <v>27</v>
      </c>
      <c r="B36" s="16" t="s">
        <v>45</v>
      </c>
      <c r="C36" s="16" t="s">
        <v>46</v>
      </c>
    </row>
    <row r="37" spans="1:19" x14ac:dyDescent="0.2">
      <c r="A37" s="17" t="s">
        <v>48</v>
      </c>
      <c r="B37" s="16">
        <v>969035.29411764722</v>
      </c>
      <c r="C37" s="16">
        <v>678324.70588235278</v>
      </c>
    </row>
    <row r="38" spans="1:19" x14ac:dyDescent="0.2">
      <c r="A38" s="17" t="s">
        <v>50</v>
      </c>
      <c r="B38" s="16">
        <v>2653665.8823529412</v>
      </c>
      <c r="C38" s="16">
        <v>2000685.1764705882</v>
      </c>
    </row>
    <row r="39" spans="1:19" x14ac:dyDescent="0.2">
      <c r="A39" s="17" t="s">
        <v>49</v>
      </c>
      <c r="B39" s="16">
        <v>684122.3529411765</v>
      </c>
      <c r="C39" s="16">
        <v>547297.88235294132</v>
      </c>
    </row>
    <row r="40" spans="1:19" x14ac:dyDescent="0.2">
      <c r="A40" s="17" t="s">
        <v>51</v>
      </c>
      <c r="B40" s="16">
        <v>59632.941176470587</v>
      </c>
      <c r="C40" s="16">
        <v>47706.352941176476</v>
      </c>
    </row>
    <row r="41" spans="1:19" x14ac:dyDescent="0.2">
      <c r="A41" s="17" t="s">
        <v>28</v>
      </c>
      <c r="B41" s="16">
        <v>4366456.4705882352</v>
      </c>
      <c r="C41" s="16">
        <v>3274014.1176470583</v>
      </c>
    </row>
    <row r="42" spans="1:19" ht="14.4" x14ac:dyDescent="0.3">
      <c r="A42"/>
      <c r="B42"/>
      <c r="C42"/>
    </row>
    <row r="43" spans="1:19" ht="14.4" x14ac:dyDescent="0.3">
      <c r="A43"/>
      <c r="B43"/>
      <c r="C43"/>
    </row>
    <row r="44" spans="1:19" ht="14.4" x14ac:dyDescent="0.3">
      <c r="A44"/>
      <c r="B44"/>
      <c r="C44"/>
    </row>
    <row r="45" spans="1:19" ht="14.4" x14ac:dyDescent="0.3">
      <c r="A45"/>
      <c r="B45"/>
      <c r="C45"/>
    </row>
    <row r="46" spans="1:19" ht="14.4" x14ac:dyDescent="0.3">
      <c r="A46"/>
      <c r="B46"/>
      <c r="C46"/>
    </row>
    <row r="47" spans="1:19" ht="14.4" x14ac:dyDescent="0.3">
      <c r="A47"/>
      <c r="B47"/>
      <c r="C47"/>
    </row>
    <row r="48" spans="1:19" ht="14.4" x14ac:dyDescent="0.3">
      <c r="A48"/>
      <c r="B48"/>
      <c r="C48"/>
    </row>
    <row r="49" spans="1:3" ht="14.4" x14ac:dyDescent="0.3">
      <c r="A49"/>
      <c r="B49"/>
      <c r="C49"/>
    </row>
    <row r="50" spans="1:3" ht="14.4" x14ac:dyDescent="0.3">
      <c r="A50"/>
      <c r="B50"/>
      <c r="C50"/>
    </row>
    <row r="51" spans="1:3" ht="14.4" x14ac:dyDescent="0.3">
      <c r="A51"/>
      <c r="B51"/>
      <c r="C51"/>
    </row>
    <row r="52" spans="1:3" ht="14.4" x14ac:dyDescent="0.3">
      <c r="A52"/>
      <c r="B52"/>
      <c r="C52"/>
    </row>
    <row r="53" spans="1:3" ht="14.4" x14ac:dyDescent="0.3">
      <c r="A53"/>
      <c r="B53"/>
      <c r="C53"/>
    </row>
    <row r="54" spans="1:3" ht="14.4" x14ac:dyDescent="0.3">
      <c r="A54"/>
      <c r="B54"/>
      <c r="C54"/>
    </row>
    <row r="55" spans="1:3" ht="14.4" x14ac:dyDescent="0.3">
      <c r="A55"/>
      <c r="B55"/>
      <c r="C55"/>
    </row>
    <row r="56" spans="1:3" ht="14.4" x14ac:dyDescent="0.3">
      <c r="A56"/>
      <c r="B56"/>
      <c r="C56"/>
    </row>
    <row r="57" spans="1:3" ht="14.4" x14ac:dyDescent="0.3">
      <c r="A57"/>
      <c r="B57"/>
      <c r="C57"/>
    </row>
    <row r="58" spans="1:3" ht="14.4" x14ac:dyDescent="0.3">
      <c r="A58"/>
      <c r="B58"/>
      <c r="C58"/>
    </row>
  </sheetData>
  <mergeCells count="2">
    <mergeCell ref="J10:K10"/>
    <mergeCell ref="J11:K11"/>
  </mergeCells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Artefactos IOP</vt:lpstr>
      <vt:lpstr>Anteproyecto</vt:lpstr>
      <vt:lpstr>Resumen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Meza Vargas</dc:creator>
  <cp:lastModifiedBy>Usuario de Windows</cp:lastModifiedBy>
  <dcterms:created xsi:type="dcterms:W3CDTF">2018-08-19T00:06:46Z</dcterms:created>
  <dcterms:modified xsi:type="dcterms:W3CDTF">2018-08-31T04:31:18Z</dcterms:modified>
</cp:coreProperties>
</file>