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Git\School\Other\Seventh Semester\Proyectos de Inversion\"/>
    </mc:Choice>
  </mc:AlternateContent>
  <xr:revisionPtr revIDLastSave="0" documentId="13_ncr:1_{AB2CE652-BBE1-4D34-9D04-59EE24A18D1F}" xr6:coauthVersionLast="47" xr6:coauthVersionMax="47" xr10:uidLastSave="{00000000-0000-0000-0000-000000000000}"/>
  <bookViews>
    <workbookView xWindow="28680" yWindow="-120" windowWidth="29040" windowHeight="15720" activeTab="1" xr2:uid="{DF7EAB89-8D33-4DCA-878B-1977CA593F3E}"/>
  </bookViews>
  <sheets>
    <sheet name="1. Fresadora" sheetId="1" r:id="rId1"/>
    <sheet name="3. TVEO" sheetId="2" r:id="rId2"/>
    <sheet name="4. Cementera" sheetId="3" r:id="rId3"/>
    <sheet name="5. Mina" sheetId="4" r:id="rId4"/>
    <sheet name="6. Camión de Volteo" sheetId="5" r:id="rId5"/>
    <sheet name="7. Teslaa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8" l="1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L6" i="1"/>
  <c r="Q6" i="1" s="1"/>
  <c r="J6" i="8"/>
  <c r="M8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G7" i="8"/>
  <c r="M6" i="8" s="1"/>
  <c r="I6" i="8" s="1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6" i="8"/>
  <c r="C10" i="8"/>
  <c r="Q16" i="4"/>
  <c r="J11" i="4"/>
  <c r="K11" i="4"/>
  <c r="K10" i="4"/>
  <c r="K9" i="4"/>
  <c r="K8" i="4"/>
  <c r="K7" i="4"/>
  <c r="M11" i="4"/>
  <c r="M10" i="4"/>
  <c r="Q10" i="4" s="1"/>
  <c r="M9" i="4"/>
  <c r="M8" i="4"/>
  <c r="Q8" i="4" s="1"/>
  <c r="M7" i="4"/>
  <c r="Q7" i="4"/>
  <c r="Q9" i="4"/>
  <c r="Q6" i="4"/>
  <c r="N8" i="4"/>
  <c r="N9" i="4"/>
  <c r="N10" i="4"/>
  <c r="N11" i="4"/>
  <c r="N7" i="4"/>
  <c r="P8" i="4"/>
  <c r="P9" i="4"/>
  <c r="P10" i="4"/>
  <c r="P11" i="4"/>
  <c r="P7" i="4"/>
  <c r="O11" i="4"/>
  <c r="O6" i="4"/>
  <c r="L8" i="4"/>
  <c r="L9" i="4"/>
  <c r="L10" i="4"/>
  <c r="L11" i="4"/>
  <c r="L7" i="4"/>
  <c r="I6" i="4"/>
  <c r="C17" i="4"/>
  <c r="E18" i="2"/>
  <c r="E13" i="2"/>
  <c r="H4" i="5"/>
  <c r="J4" i="5" s="1"/>
  <c r="J28" i="3"/>
  <c r="J23" i="3"/>
  <c r="J18" i="3"/>
  <c r="J13" i="3"/>
  <c r="I13" i="2"/>
  <c r="J13" i="2" s="1"/>
  <c r="G24" i="2"/>
  <c r="E27" i="2"/>
  <c r="G13" i="2"/>
  <c r="K12" i="2"/>
  <c r="G9" i="5"/>
  <c r="G6" i="5" s="1"/>
  <c r="H6" i="5" s="1"/>
  <c r="I6" i="5" s="1"/>
  <c r="J6" i="5" s="1"/>
  <c r="G13" i="3"/>
  <c r="G14" i="3"/>
  <c r="G15" i="3"/>
  <c r="G17" i="3"/>
  <c r="G22" i="3"/>
  <c r="G23" i="3"/>
  <c r="G25" i="3"/>
  <c r="G29" i="3"/>
  <c r="G30" i="3"/>
  <c r="G10" i="3"/>
  <c r="F27" i="3"/>
  <c r="F28" i="3"/>
  <c r="F29" i="3"/>
  <c r="F30" i="3"/>
  <c r="F26" i="3"/>
  <c r="F22" i="3"/>
  <c r="F23" i="3"/>
  <c r="F24" i="3"/>
  <c r="F25" i="3"/>
  <c r="F21" i="3"/>
  <c r="G21" i="3" s="1"/>
  <c r="F17" i="3"/>
  <c r="F18" i="3"/>
  <c r="F19" i="3"/>
  <c r="F20" i="3"/>
  <c r="F16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D12" i="3"/>
  <c r="G12" i="3" s="1"/>
  <c r="D13" i="3"/>
  <c r="D14" i="3"/>
  <c r="D15" i="3"/>
  <c r="D16" i="3"/>
  <c r="G16" i="3" s="1"/>
  <c r="D17" i="3"/>
  <c r="D18" i="3"/>
  <c r="G18" i="3" s="1"/>
  <c r="D19" i="3"/>
  <c r="G19" i="3" s="1"/>
  <c r="D20" i="3"/>
  <c r="G20" i="3" s="1"/>
  <c r="D21" i="3"/>
  <c r="D22" i="3"/>
  <c r="D23" i="3"/>
  <c r="D24" i="3"/>
  <c r="G24" i="3" s="1"/>
  <c r="D25" i="3"/>
  <c r="D26" i="3"/>
  <c r="G26" i="3" s="1"/>
  <c r="D27" i="3"/>
  <c r="G27" i="3" s="1"/>
  <c r="D28" i="3"/>
  <c r="G28" i="3" s="1"/>
  <c r="D29" i="3"/>
  <c r="D30" i="3"/>
  <c r="D11" i="3"/>
  <c r="G11" i="3" s="1"/>
  <c r="F12" i="3"/>
  <c r="F13" i="3"/>
  <c r="F14" i="3"/>
  <c r="F15" i="3"/>
  <c r="F11" i="3"/>
  <c r="C10" i="3"/>
  <c r="E29" i="2"/>
  <c r="E28" i="2"/>
  <c r="I27" i="2"/>
  <c r="J27" i="2" s="1"/>
  <c r="K27" i="2" s="1"/>
  <c r="I12" i="2"/>
  <c r="G29" i="2"/>
  <c r="E15" i="2"/>
  <c r="E17" i="2"/>
  <c r="I17" i="2" s="1"/>
  <c r="J17" i="2" s="1"/>
  <c r="H25" i="2"/>
  <c r="G25" i="2" s="1"/>
  <c r="H26" i="2"/>
  <c r="G26" i="2" s="1"/>
  <c r="H27" i="2"/>
  <c r="G27" i="2" s="1"/>
  <c r="H28" i="2"/>
  <c r="G28" i="2" s="1"/>
  <c r="I28" i="2" s="1"/>
  <c r="J28" i="2" s="1"/>
  <c r="K28" i="2" s="1"/>
  <c r="H29" i="2"/>
  <c r="H24" i="2"/>
  <c r="F25" i="2"/>
  <c r="F26" i="2"/>
  <c r="F27" i="2"/>
  <c r="F28" i="2"/>
  <c r="F29" i="2"/>
  <c r="F24" i="2"/>
  <c r="D26" i="2"/>
  <c r="D23" i="2"/>
  <c r="I23" i="2" s="1"/>
  <c r="K23" i="2" s="1"/>
  <c r="C28" i="2"/>
  <c r="C29" i="2"/>
  <c r="C27" i="2"/>
  <c r="C25" i="2"/>
  <c r="C26" i="2"/>
  <c r="C24" i="2"/>
  <c r="G18" i="2"/>
  <c r="G17" i="2"/>
  <c r="H14" i="2"/>
  <c r="G14" i="2" s="1"/>
  <c r="H15" i="2"/>
  <c r="G15" i="2" s="1"/>
  <c r="H16" i="2"/>
  <c r="E16" i="2" s="1"/>
  <c r="H17" i="2"/>
  <c r="H18" i="2"/>
  <c r="H13" i="2"/>
  <c r="F18" i="2"/>
  <c r="C14" i="2"/>
  <c r="C15" i="2"/>
  <c r="C16" i="2"/>
  <c r="C17" i="2"/>
  <c r="C18" i="2"/>
  <c r="C13" i="2"/>
  <c r="D12" i="2"/>
  <c r="Q12" i="1"/>
  <c r="K6" i="1"/>
  <c r="Q7" i="1"/>
  <c r="Q8" i="1"/>
  <c r="Q9" i="1"/>
  <c r="Q10" i="1"/>
  <c r="K7" i="1"/>
  <c r="K8" i="1"/>
  <c r="K9" i="1"/>
  <c r="K10" i="1"/>
  <c r="K11" i="1"/>
  <c r="K12" i="1"/>
  <c r="I18" i="2" l="1"/>
  <c r="J18" i="2" s="1"/>
  <c r="K18" i="2" s="1"/>
  <c r="H6" i="8"/>
  <c r="M7" i="8"/>
  <c r="Q11" i="4"/>
  <c r="Q13" i="4" s="1"/>
  <c r="Q14" i="4" s="1"/>
  <c r="Q13" i="1"/>
  <c r="K14" i="1"/>
  <c r="K15" i="1" s="1"/>
  <c r="K16" i="1" s="1"/>
  <c r="J26" i="3"/>
  <c r="J27" i="3" s="1"/>
  <c r="J16" i="3"/>
  <c r="J17" i="3" s="1"/>
  <c r="J21" i="3"/>
  <c r="J22" i="3" s="1"/>
  <c r="J11" i="3"/>
  <c r="J12" i="3" s="1"/>
  <c r="I26" i="2"/>
  <c r="J26" i="2" s="1"/>
  <c r="K26" i="2" s="1"/>
  <c r="I16" i="2"/>
  <c r="J16" i="2" s="1"/>
  <c r="K16" i="2" s="1"/>
  <c r="I15" i="2"/>
  <c r="G16" i="2"/>
  <c r="E14" i="2"/>
  <c r="I14" i="2" s="1"/>
  <c r="I29" i="2"/>
  <c r="J29" i="2" s="1"/>
  <c r="K29" i="2" s="1"/>
  <c r="E24" i="2"/>
  <c r="I24" i="2" s="1"/>
  <c r="J24" i="2" s="1"/>
  <c r="K24" i="2" s="1"/>
  <c r="M22" i="2" s="1"/>
  <c r="M23" i="2" s="1"/>
  <c r="E26" i="2"/>
  <c r="E25" i="2"/>
  <c r="I25" i="2" s="1"/>
  <c r="J25" i="2" s="1"/>
  <c r="K25" i="2" s="1"/>
  <c r="G5" i="5"/>
  <c r="H5" i="5" s="1"/>
  <c r="I5" i="5" s="1"/>
  <c r="J5" i="5" s="1"/>
  <c r="G11" i="5" s="1"/>
  <c r="K13" i="2"/>
  <c r="K17" i="2"/>
  <c r="Q14" i="1" l="1"/>
  <c r="J14" i="2"/>
  <c r="K14" i="2"/>
  <c r="J15" i="2"/>
  <c r="K15" i="2" s="1"/>
  <c r="M11" i="2" l="1"/>
  <c r="M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31" authorId="0" shapeId="0" xr:uid="{0FF0F118-6829-4545-8FDF-332650B7E8E9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La peque conviene más porque gana más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3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1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sharedStrings.xml><?xml version="1.0" encoding="utf-8"?>
<sst xmlns="http://schemas.openxmlformats.org/spreadsheetml/2006/main" count="197" uniqueCount="115">
  <si>
    <t xml:space="preserve">Reemplazo vieja maquinaria fresadora </t>
  </si>
  <si>
    <t>TREMA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</si>
  <si>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</si>
  <si>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</si>
  <si>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</si>
  <si>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</si>
  <si>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</si>
  <si>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</si>
  <si>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</si>
  <si>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</si>
  <si>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</si>
  <si>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</si>
  <si>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</si>
  <si>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</si>
  <si>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</si>
  <si>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</si>
  <si>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</si>
  <si>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</si>
  <si>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</si>
  <si>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</si>
  <si>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</si>
  <si>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</si>
  <si>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</si>
  <si>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</si>
  <si>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</si>
  <si>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</si>
  <si>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</si>
  <si>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</si>
  <si>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</si>
  <si>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</si>
  <si>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</si>
  <si>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</si>
  <si>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</si>
  <si>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Reporte financiero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</si>
  <si>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</si>
  <si>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</si>
  <si>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</si>
  <si>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</si>
  <si>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</si>
  <si>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</si>
  <si>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</si>
  <si>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</si>
  <si>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</si>
  <si>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</si>
  <si>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</si>
  <si>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</si>
  <si>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</si>
  <si>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</si>
  <si>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</si>
  <si>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</si>
  <si>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</si>
  <si>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</si>
  <si>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</si>
  <si>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</si>
  <si>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</si>
  <si>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</si>
  <si>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</si>
  <si>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</si>
  <si>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</si>
  <si>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>Pago capital</t>
  </si>
  <si>
    <t>Pago intereses</t>
  </si>
  <si>
    <t>Respuesta 2:</t>
  </si>
  <si>
    <t>Te vas por el gas, dependiendo de si te conviene</t>
  </si>
  <si>
    <t>Opción nueva</t>
  </si>
  <si>
    <t>Opción vieja</t>
  </si>
  <si>
    <t>Proyecto cuprífero mina "El ojo dorado"</t>
  </si>
  <si>
    <t>Codelco</t>
  </si>
  <si>
    <t>Oferta</t>
  </si>
  <si>
    <t>Estudios geológicos</t>
  </si>
  <si>
    <t>Densidad</t>
  </si>
  <si>
    <t>Primera capa</t>
  </si>
  <si>
    <t>Segunda capa</t>
  </si>
  <si>
    <t>Tercera capa</t>
  </si>
  <si>
    <t>Años explotacion</t>
  </si>
  <si>
    <t>Precio tonelada</t>
  </si>
  <si>
    <t>Traslados e instalaciones</t>
  </si>
  <si>
    <t>2 camiones</t>
  </si>
  <si>
    <t>Maquinaria pesada</t>
  </si>
  <si>
    <t>Inversiones</t>
  </si>
  <si>
    <t>2 edificios</t>
  </si>
  <si>
    <t>CAO y CAM</t>
  </si>
  <si>
    <t>Administracion</t>
  </si>
  <si>
    <t>Costo tonelada</t>
  </si>
  <si>
    <t>Banco</t>
  </si>
  <si>
    <t xml:space="preserve">Tasa de interes </t>
  </si>
  <si>
    <t>Alternativas</t>
  </si>
  <si>
    <t>Valor de rescate</t>
  </si>
  <si>
    <t>Extras</t>
  </si>
  <si>
    <t>Inversion banco</t>
  </si>
  <si>
    <t>Capital de trabajo</t>
  </si>
  <si>
    <t>Se regresa al final del proyecto</t>
  </si>
  <si>
    <t>Tasa de interes</t>
  </si>
  <si>
    <t>Analisis de flujos</t>
  </si>
  <si>
    <t xml:space="preserve">Inversión </t>
  </si>
  <si>
    <t>Toneladas extraidas dia</t>
  </si>
  <si>
    <t xml:space="preserve">Tesla </t>
  </si>
  <si>
    <t>Datos</t>
  </si>
  <si>
    <t>Pago</t>
  </si>
  <si>
    <t>Enganche</t>
  </si>
  <si>
    <t xml:space="preserve">CAT </t>
  </si>
  <si>
    <t xml:space="preserve">Tasa </t>
  </si>
  <si>
    <t>mensual</t>
  </si>
  <si>
    <t>m</t>
  </si>
  <si>
    <t>Tasa del periodo</t>
  </si>
  <si>
    <t>IVA</t>
  </si>
  <si>
    <t>Tabla de amortización</t>
  </si>
  <si>
    <t>Pago con impuestos</t>
  </si>
  <si>
    <t>nPer</t>
  </si>
  <si>
    <t xml:space="preserve">VNA </t>
  </si>
  <si>
    <t>Representa el 50% del valor del carro</t>
  </si>
  <si>
    <t>Valor total del carro</t>
  </si>
  <si>
    <t>Representa el 100% del valor del carro</t>
  </si>
  <si>
    <t>Intereses</t>
  </si>
  <si>
    <t>Valor total de los intereses</t>
  </si>
  <si>
    <t>q`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</si>
</sst>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0.0%"/>
    <numFmt numFmtId="166" formatCode="_-&quot;$&quot;* #,##0.0_-;\-&quot;$&quot;* #,##0.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2" xfId="0" applyFill="1" applyBorder="1"/>
    <xf numFmtId="0" fontId="0" fillId="0" borderId="0" xfId="0" applyAlignment="1">
      <alignment horizontal="left" vertical="center"/>
    </xf>
    <xf numFmtId="44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1" applyNumberFormat="1" applyFon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0" fontId="0" fillId="0" borderId="1" xfId="0" applyNumberFormat="1" applyBorder="1"/>
    <xf numFmtId="164" fontId="0" fillId="0" borderId="0" xfId="1" applyNumberFormat="1" applyFont="1" applyBorder="1"/>
    <xf numFmtId="10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0" fontId="0" fillId="0" borderId="1" xfId="2" applyNumberFormat="1" applyFont="1" applyBorder="1"/>
    <xf numFmtId="0" fontId="0" fillId="0" borderId="0" xfId="0" applyBorder="1"/>
    <xf numFmtId="1" fontId="0" fillId="0" borderId="0" xfId="0" applyNumberFormat="1" applyBorder="1"/>
    <xf numFmtId="8" fontId="0" fillId="0" borderId="0" xfId="0" applyNumberFormat="1" applyBorder="1"/>
    <xf numFmtId="44" fontId="0" fillId="0" borderId="0" xfId="0" applyNumberFormat="1" applyBorder="1"/>
    <xf numFmtId="10" fontId="0" fillId="0" borderId="1" xfId="0" applyNumberFormat="1" applyBorder="1" applyAlignment="1">
      <alignment horizontal="left" indent="6"/>
    </xf>
    <xf numFmtId="0" fontId="0" fillId="0" borderId="0" xfId="0" applyFill="1" applyAlignment="1">
      <alignment horizontal="left" vertical="center"/>
    </xf>
    <xf numFmtId="44" fontId="0" fillId="0" borderId="0" xfId="1" applyFont="1"/>
    <xf numFmtId="166" fontId="0" fillId="0" borderId="0" xfId="1" applyNumberFormat="1" applyFont="1"/>
    <xf numFmtId="9" fontId="0" fillId="0" borderId="0" xfId="0" applyNumberFormat="1"/>
    <xf numFmtId="9" fontId="0" fillId="0" borderId="0" xfId="2" applyFont="1"/>
    <xf numFmtId="165" fontId="0" fillId="0" borderId="1" xfId="0" applyNumberFormat="1" applyBorder="1"/>
    <xf numFmtId="166" fontId="0" fillId="0" borderId="1" xfId="1" applyNumberFormat="1" applyFont="1" applyBorder="1"/>
    <xf numFmtId="0" fontId="0" fillId="0" borderId="1" xfId="1" applyNumberFormat="1" applyFont="1" applyBorder="1"/>
    <xf numFmtId="10" fontId="0" fillId="0" borderId="0" xfId="0" applyNumberFormat="1" applyBorder="1"/>
    <xf numFmtId="164" fontId="0" fillId="0" borderId="0" xfId="0" applyNumberFormat="1" applyBorder="1"/>
    <xf numFmtId="0" fontId="2" fillId="0" borderId="0" xfId="0" applyFont="1" applyBorder="1"/>
    <xf numFmtId="0" fontId="0" fillId="0" borderId="1" xfId="0" applyNumberFormat="1" applyFill="1" applyBorder="1"/>
    <xf numFmtId="9" fontId="0" fillId="0" borderId="1" xfId="2" applyFont="1" applyBorder="1"/>
    <xf numFmtId="0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20"/>
  <sheetViews>
    <sheetView workbookViewId="0">
      <selection activeCell="F6" sqref="F6"/>
    </sheetView>
  </sheetViews>
  <sheetFormatPr defaultColWidth="11.5546875" defaultRowHeight="14.4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2" t="s">
        <v>1</v>
      </c>
      <c r="C4" s="8">
        <v>0.1</v>
      </c>
      <c r="F4" s="10" t="s">
        <v>64</v>
      </c>
      <c r="L4" s="10" t="s">
        <v>63</v>
      </c>
    </row>
    <row r="5" spans="2:18" x14ac:dyDescent="0.3">
      <c r="E5" s="11" t="s">
        <v>6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7</v>
      </c>
      <c r="K5" s="4" t="s">
        <v>8</v>
      </c>
      <c r="L5" s="5" t="s">
        <v>2</v>
      </c>
      <c r="M5" s="5" t="s">
        <v>3</v>
      </c>
      <c r="N5" s="5" t="s">
        <v>4</v>
      </c>
      <c r="O5" s="5" t="s">
        <v>5</v>
      </c>
      <c r="P5" s="5" t="s">
        <v>7</v>
      </c>
      <c r="Q5" s="5" t="s">
        <v>8</v>
      </c>
    </row>
    <row r="6" spans="2:18" ht="15" x14ac:dyDescent="0.3">
      <c r="E6" s="12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f>-40000-40000+8000</f>
        <v>-72000</v>
      </c>
      <c r="M6" s="7"/>
      <c r="N6" s="7"/>
      <c r="O6" s="7"/>
      <c r="P6" s="7"/>
      <c r="Q6" s="7">
        <f>SUM(L6:P6)</f>
        <v>-72000</v>
      </c>
    </row>
    <row r="7" spans="2:18" ht="15" x14ac:dyDescent="0.3">
      <c r="E7" s="12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ht="15" x14ac:dyDescent="0.3">
      <c r="E8" s="12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ht="15" x14ac:dyDescent="0.3">
      <c r="E9" s="12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ht="15" x14ac:dyDescent="0.3">
      <c r="E10" s="12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7">
        <f t="shared" si="1"/>
        <v>290000</v>
      </c>
    </row>
    <row r="11" spans="2:18" ht="15" x14ac:dyDescent="0.3">
      <c r="E11" s="12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ht="15" x14ac:dyDescent="0.3">
      <c r="E12" s="12">
        <v>6</v>
      </c>
      <c r="F12" s="6"/>
      <c r="G12" s="6">
        <v>0</v>
      </c>
      <c r="H12" s="6">
        <v>-142000</v>
      </c>
      <c r="I12" s="6"/>
      <c r="J12" s="6">
        <v>400000</v>
      </c>
      <c r="K12" s="6">
        <f t="shared" si="0"/>
        <v>258000</v>
      </c>
      <c r="P12" s="2" t="s">
        <v>9</v>
      </c>
      <c r="Q12" s="9">
        <f>NPV(C4,Q7:Q10)</f>
        <v>910658.42497097177</v>
      </c>
    </row>
    <row r="13" spans="2:18" ht="15" x14ac:dyDescent="0.3">
      <c r="P13" s="2" t="s">
        <v>10</v>
      </c>
      <c r="Q13" s="9">
        <f>Q12+Q6</f>
        <v>838658.42497097177</v>
      </c>
    </row>
    <row r="14" spans="2:18" ht="15" x14ac:dyDescent="0.3">
      <c r="J14" s="2" t="s">
        <v>9</v>
      </c>
      <c r="K14" s="9">
        <f>NPV(C4,K7:K12)</f>
        <v>1123657.260461254</v>
      </c>
      <c r="P14" s="2" t="s">
        <v>11</v>
      </c>
      <c r="Q14" s="9">
        <f>-PMT(C4,E10,Q13)</f>
        <v>264572.24736048258</v>
      </c>
      <c r="R14" t="s">
        <v>12</v>
      </c>
    </row>
    <row r="15" spans="2:18" ht="15" x14ac:dyDescent="0.3">
      <c r="J15" s="2" t="s">
        <v>10</v>
      </c>
      <c r="K15" s="9">
        <f>K14+K6</f>
        <v>1075657.260461254</v>
      </c>
    </row>
    <row r="16" spans="2:18" ht="15" x14ac:dyDescent="0.3">
      <c r="J16" s="2" t="s">
        <v>11</v>
      </c>
      <c r="K16" s="9">
        <f>-PMT(C4,E12,K15)</f>
        <v>246978.84574259201</v>
      </c>
      <c r="L16" t="s">
        <v>12</v>
      </c>
    </row>
    <row r="19" spans="8:10" x14ac:dyDescent="0.3">
      <c r="J19" s="28"/>
    </row>
    <row r="20" spans="8:10" x14ac:dyDescent="0.3">
      <c r="H20" s="2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7"/>
  <sheetViews>
    <sheetView tabSelected="1" zoomScale="85" zoomScaleNormal="85" workbookViewId="0">
      <selection activeCell="F4" sqref="F4"/>
    </sheetView>
  </sheetViews>
  <sheetFormatPr defaultColWidth="11.5546875" defaultRowHeight="14.4" x14ac:dyDescent="0.3"/>
  <cols>
    <col min="3" max="3" width="16.21875" bestFit="1" customWidth="1"/>
    <col min="4" max="4" width="14.33203125" bestFit="1" customWidth="1"/>
    <col min="5" max="6" width="14.6640625" bestFit="1" customWidth="1"/>
    <col min="7" max="7" width="14.33203125" bestFit="1" customWidth="1"/>
    <col min="8" max="8" width="16.44140625" bestFit="1" customWidth="1"/>
    <col min="9" max="9" width="27.88671875" bestFit="1" customWidth="1"/>
    <col min="10" max="10" width="15.6640625" bestFit="1" customWidth="1"/>
    <col min="11" max="11" width="28.109375" bestFit="1" customWidth="1"/>
    <col min="13" max="13" width="13.109375" bestFit="1" customWidth="1"/>
  </cols>
  <sheetData>
    <row r="2" spans="2:13" x14ac:dyDescent="0.3">
      <c r="B2" s="22" t="s">
        <v>15</v>
      </c>
      <c r="C2" s="23" t="s">
        <v>14</v>
      </c>
      <c r="E2" s="17"/>
      <c r="F2" s="24" t="s">
        <v>16</v>
      </c>
      <c r="G2" s="24" t="s">
        <v>17</v>
      </c>
    </row>
    <row r="3" spans="2:13" x14ac:dyDescent="0.3">
      <c r="B3" s="12">
        <v>1</v>
      </c>
      <c r="C3" s="14">
        <v>20000</v>
      </c>
      <c r="E3" s="24" t="s">
        <v>5</v>
      </c>
      <c r="F3" s="18">
        <v>-2000000</v>
      </c>
      <c r="G3" s="18">
        <v>-1200000</v>
      </c>
      <c r="I3" s="23" t="s">
        <v>27</v>
      </c>
      <c r="J3" s="20">
        <v>90</v>
      </c>
    </row>
    <row r="4" spans="2:13" x14ac:dyDescent="0.3">
      <c r="B4" s="12">
        <v>2</v>
      </c>
      <c r="C4" s="14">
        <v>30000</v>
      </c>
      <c r="E4" s="24" t="s">
        <v>18</v>
      </c>
      <c r="F4" s="18">
        <v>-30</v>
      </c>
      <c r="G4" s="18">
        <v>-31</v>
      </c>
      <c r="I4" s="23" t="s">
        <v>28</v>
      </c>
      <c r="J4" s="8">
        <v>0.2</v>
      </c>
    </row>
    <row r="5" spans="2:13" x14ac:dyDescent="0.3">
      <c r="B5" s="12">
        <v>3</v>
      </c>
      <c r="C5" s="14">
        <v>50000</v>
      </c>
      <c r="E5" s="24" t="s">
        <v>19</v>
      </c>
      <c r="F5" s="18">
        <v>40000</v>
      </c>
      <c r="G5" s="18">
        <v>0</v>
      </c>
      <c r="I5" s="23" t="s">
        <v>29</v>
      </c>
      <c r="J5" s="21" t="s">
        <v>22</v>
      </c>
    </row>
    <row r="6" spans="2:13" x14ac:dyDescent="0.3">
      <c r="B6" s="12">
        <v>4</v>
      </c>
      <c r="C6" s="14">
        <v>80000</v>
      </c>
      <c r="E6" s="24" t="s">
        <v>20</v>
      </c>
      <c r="F6" s="17" t="s">
        <v>22</v>
      </c>
      <c r="G6" s="17" t="s">
        <v>23</v>
      </c>
      <c r="I6" s="23" t="s">
        <v>1</v>
      </c>
      <c r="J6" s="8">
        <v>0.12</v>
      </c>
    </row>
    <row r="7" spans="2:13" x14ac:dyDescent="0.3">
      <c r="B7" s="12">
        <v>5</v>
      </c>
      <c r="C7" s="14">
        <v>80000</v>
      </c>
      <c r="E7" s="24" t="s">
        <v>21</v>
      </c>
      <c r="F7" s="19">
        <v>-2500000</v>
      </c>
      <c r="G7" s="18">
        <v>-1200000</v>
      </c>
    </row>
    <row r="8" spans="2:13" x14ac:dyDescent="0.3">
      <c r="B8" s="12">
        <v>6</v>
      </c>
      <c r="C8" s="14">
        <v>80000</v>
      </c>
      <c r="E8" s="24" t="s">
        <v>24</v>
      </c>
      <c r="F8" s="17" t="s">
        <v>25</v>
      </c>
      <c r="G8" s="17" t="s">
        <v>26</v>
      </c>
    </row>
    <row r="9" spans="2:13" x14ac:dyDescent="0.3">
      <c r="B9" s="13"/>
      <c r="C9" s="3"/>
      <c r="E9" s="26"/>
      <c r="F9" s="26"/>
      <c r="G9" s="26"/>
    </row>
    <row r="10" spans="2:13" x14ac:dyDescent="0.3">
      <c r="B10" s="10" t="s">
        <v>16</v>
      </c>
      <c r="E10" s="47"/>
    </row>
    <row r="11" spans="2:13" x14ac:dyDescent="0.3">
      <c r="B11" s="2"/>
      <c r="C11" s="23" t="s">
        <v>5</v>
      </c>
      <c r="D11" s="23" t="s">
        <v>30</v>
      </c>
      <c r="E11" s="24" t="s">
        <v>18</v>
      </c>
      <c r="F11" s="23" t="s">
        <v>19</v>
      </c>
      <c r="G11" s="23" t="s">
        <v>31</v>
      </c>
      <c r="H11" s="23" t="s">
        <v>32</v>
      </c>
      <c r="I11" s="23" t="s">
        <v>36</v>
      </c>
      <c r="J11" s="23" t="s">
        <v>34</v>
      </c>
      <c r="K11" s="23" t="s">
        <v>35</v>
      </c>
      <c r="L11" s="25" t="s">
        <v>9</v>
      </c>
      <c r="M11" s="28">
        <f>NPV(J6,K13:K18)</f>
        <v>3541362.2682061666</v>
      </c>
    </row>
    <row r="12" spans="2:13" x14ac:dyDescent="0.3">
      <c r="B12" s="12">
        <v>0</v>
      </c>
      <c r="C12" s="2"/>
      <c r="D12" s="27">
        <f>F7</f>
        <v>-2500000</v>
      </c>
      <c r="E12" s="2"/>
      <c r="F12" s="2"/>
      <c r="G12" s="2"/>
      <c r="H12" s="2"/>
      <c r="I12" s="15">
        <f>SUM(C12:G12)</f>
        <v>-2500000</v>
      </c>
      <c r="J12" s="15"/>
      <c r="K12" s="15">
        <f>I12+J12</f>
        <v>-2500000</v>
      </c>
      <c r="L12" t="s">
        <v>10</v>
      </c>
      <c r="M12" s="28">
        <f>M11+K12</f>
        <v>1041362.2682061666</v>
      </c>
    </row>
    <row r="13" spans="2:13" x14ac:dyDescent="0.3">
      <c r="B13" s="12">
        <v>1</v>
      </c>
      <c r="C13" s="27">
        <f>$F$3</f>
        <v>-2000000</v>
      </c>
      <c r="D13" s="2"/>
      <c r="E13" s="27">
        <f>$F$4*H13</f>
        <v>-600000</v>
      </c>
      <c r="F13" s="2"/>
      <c r="G13" s="20">
        <f>H13*$J$3</f>
        <v>1800000</v>
      </c>
      <c r="H13" s="14">
        <f>C3</f>
        <v>20000</v>
      </c>
      <c r="I13" s="15">
        <f>SUM(C13:G13)</f>
        <v>-800000</v>
      </c>
      <c r="J13" s="15">
        <f>MIN(0,I13*$J$4*-1)</f>
        <v>0</v>
      </c>
      <c r="K13" s="15">
        <f>I13+J13</f>
        <v>-800000</v>
      </c>
    </row>
    <row r="14" spans="2:13" x14ac:dyDescent="0.3">
      <c r="B14" s="12">
        <v>2</v>
      </c>
      <c r="C14" s="27">
        <f t="shared" ref="C14:C18" si="0">$F$3</f>
        <v>-2000000</v>
      </c>
      <c r="D14" s="2"/>
      <c r="E14" s="27">
        <f>$F$4*H14</f>
        <v>-900000</v>
      </c>
      <c r="F14" s="2"/>
      <c r="G14" s="20">
        <f t="shared" ref="G14:G17" si="1">H14*$J$3</f>
        <v>2700000</v>
      </c>
      <c r="H14" s="14">
        <f t="shared" ref="H14:H18" si="2">C4</f>
        <v>30000</v>
      </c>
      <c r="I14" s="15">
        <f t="shared" ref="I14:I18" si="3">SUM(C14:G14)</f>
        <v>-200000</v>
      </c>
      <c r="J14" s="15">
        <f t="shared" ref="J14:J17" si="4">MIN(0,I14*$J$4*-1)</f>
        <v>0</v>
      </c>
      <c r="K14" s="15">
        <f t="shared" ref="K14:K16" si="5">I14+J14</f>
        <v>-200000</v>
      </c>
    </row>
    <row r="15" spans="2:13" x14ac:dyDescent="0.3">
      <c r="B15" s="12">
        <v>3</v>
      </c>
      <c r="C15" s="27">
        <f t="shared" si="0"/>
        <v>-2000000</v>
      </c>
      <c r="D15" s="2"/>
      <c r="E15" s="27">
        <f>$F$4*H15</f>
        <v>-1500000</v>
      </c>
      <c r="F15" s="2"/>
      <c r="G15" s="20">
        <f t="shared" si="1"/>
        <v>4500000</v>
      </c>
      <c r="H15" s="14">
        <f t="shared" si="2"/>
        <v>50000</v>
      </c>
      <c r="I15" s="15">
        <f t="shared" si="3"/>
        <v>1000000</v>
      </c>
      <c r="J15" s="15">
        <f t="shared" si="4"/>
        <v>-200000</v>
      </c>
      <c r="K15" s="15">
        <f t="shared" si="5"/>
        <v>800000</v>
      </c>
    </row>
    <row r="16" spans="2:13" x14ac:dyDescent="0.3">
      <c r="B16" s="12">
        <v>4</v>
      </c>
      <c r="C16" s="27">
        <f t="shared" si="0"/>
        <v>-2000000</v>
      </c>
      <c r="D16" s="2"/>
      <c r="E16" s="27">
        <f>$F$4*H16</f>
        <v>-2400000</v>
      </c>
      <c r="F16" s="2"/>
      <c r="G16" s="20">
        <f t="shared" si="1"/>
        <v>7200000</v>
      </c>
      <c r="H16" s="14">
        <f t="shared" si="2"/>
        <v>80000</v>
      </c>
      <c r="I16" s="15">
        <f t="shared" si="3"/>
        <v>2800000</v>
      </c>
      <c r="J16" s="15">
        <f t="shared" si="4"/>
        <v>-560000</v>
      </c>
      <c r="K16" s="15">
        <f t="shared" si="5"/>
        <v>2240000</v>
      </c>
    </row>
    <row r="17" spans="2:13" x14ac:dyDescent="0.3">
      <c r="B17" s="12">
        <v>5</v>
      </c>
      <c r="C17" s="27">
        <f t="shared" si="0"/>
        <v>-2000000</v>
      </c>
      <c r="D17" s="2"/>
      <c r="E17" s="27">
        <f t="shared" ref="E17" si="6">$F$4*H17</f>
        <v>-2400000</v>
      </c>
      <c r="F17" s="2"/>
      <c r="G17" s="20">
        <f t="shared" si="1"/>
        <v>7200000</v>
      </c>
      <c r="H17" s="14">
        <f t="shared" si="2"/>
        <v>80000</v>
      </c>
      <c r="I17" s="15">
        <f t="shared" si="3"/>
        <v>2800000</v>
      </c>
      <c r="J17" s="15">
        <f t="shared" si="4"/>
        <v>-560000</v>
      </c>
      <c r="K17" s="15">
        <f>I17+J17</f>
        <v>2240000</v>
      </c>
    </row>
    <row r="18" spans="2:13" x14ac:dyDescent="0.3">
      <c r="B18" s="12">
        <v>6</v>
      </c>
      <c r="C18" s="27">
        <f t="shared" si="0"/>
        <v>-2000000</v>
      </c>
      <c r="D18" s="2"/>
      <c r="E18" s="27">
        <f>$F$4*H18</f>
        <v>-2400000</v>
      </c>
      <c r="F18" s="27">
        <f>F5</f>
        <v>40000</v>
      </c>
      <c r="G18" s="20">
        <f>H18*$J$3</f>
        <v>7200000</v>
      </c>
      <c r="H18" s="14">
        <f t="shared" si="2"/>
        <v>80000</v>
      </c>
      <c r="I18" s="15">
        <f t="shared" si="3"/>
        <v>2840000</v>
      </c>
      <c r="J18" s="15">
        <f>MIN(0,I18*$J$4*-1)</f>
        <v>-568000</v>
      </c>
      <c r="K18" s="15">
        <f>I18+J18</f>
        <v>2272000</v>
      </c>
    </row>
    <row r="21" spans="2:13" x14ac:dyDescent="0.3">
      <c r="B21" s="10" t="s">
        <v>17</v>
      </c>
    </row>
    <row r="22" spans="2:13" x14ac:dyDescent="0.3">
      <c r="B22" s="2"/>
      <c r="C22" s="23" t="s">
        <v>5</v>
      </c>
      <c r="D22" s="23" t="s">
        <v>30</v>
      </c>
      <c r="E22" s="24" t="s">
        <v>18</v>
      </c>
      <c r="F22" s="23" t="s">
        <v>19</v>
      </c>
      <c r="G22" s="23" t="s">
        <v>31</v>
      </c>
      <c r="H22" s="23" t="s">
        <v>32</v>
      </c>
      <c r="I22" s="23" t="s">
        <v>36</v>
      </c>
      <c r="J22" s="23" t="s">
        <v>34</v>
      </c>
      <c r="K22" s="23" t="s">
        <v>35</v>
      </c>
      <c r="L22" s="25" t="s">
        <v>9</v>
      </c>
      <c r="M22" s="28">
        <f>NPV(J6,K24:K29)</f>
        <v>3055979.2628655988</v>
      </c>
    </row>
    <row r="23" spans="2:13" x14ac:dyDescent="0.3">
      <c r="B23" s="12">
        <v>0</v>
      </c>
      <c r="C23" s="2"/>
      <c r="D23" s="27">
        <f>$G$7</f>
        <v>-1200000</v>
      </c>
      <c r="E23" s="2"/>
      <c r="F23" s="2"/>
      <c r="G23" s="2"/>
      <c r="H23" s="2"/>
      <c r="I23" s="15">
        <f>SUM(C23:G23)</f>
        <v>-1200000</v>
      </c>
      <c r="J23" s="15"/>
      <c r="K23" s="15">
        <f>I23</f>
        <v>-1200000</v>
      </c>
      <c r="L23" t="s">
        <v>10</v>
      </c>
      <c r="M23" s="28">
        <f>M22+K23</f>
        <v>1855979.2628655988</v>
      </c>
    </row>
    <row r="24" spans="2:13" x14ac:dyDescent="0.3">
      <c r="B24" s="12">
        <v>1</v>
      </c>
      <c r="C24" s="27">
        <f>$G$3</f>
        <v>-1200000</v>
      </c>
      <c r="D24" s="2"/>
      <c r="E24" s="27">
        <f>$G$4*H24</f>
        <v>-620000</v>
      </c>
      <c r="F24" s="27">
        <f>$G$5</f>
        <v>0</v>
      </c>
      <c r="G24" s="20">
        <f>H24*$J$3</f>
        <v>1800000</v>
      </c>
      <c r="H24" s="14">
        <f>C3</f>
        <v>20000</v>
      </c>
      <c r="I24" s="15">
        <f t="shared" ref="I24:I29" si="7">SUM(C24:G24)</f>
        <v>-20000</v>
      </c>
      <c r="J24" s="15">
        <f>MIN(0,I24*$J$4*-1)</f>
        <v>0</v>
      </c>
      <c r="K24" s="15">
        <f>J24+I24</f>
        <v>-20000</v>
      </c>
    </row>
    <row r="25" spans="2:13" x14ac:dyDescent="0.3">
      <c r="B25" s="12">
        <v>2</v>
      </c>
      <c r="C25" s="27">
        <f t="shared" ref="C25:C26" si="8">$G$3</f>
        <v>-1200000</v>
      </c>
      <c r="D25" s="2"/>
      <c r="E25" s="27">
        <f t="shared" ref="E25:E26" si="9">$G$4*H25</f>
        <v>-930000</v>
      </c>
      <c r="F25" s="27">
        <f t="shared" ref="F25:F29" si="10">$G$5</f>
        <v>0</v>
      </c>
      <c r="G25" s="20">
        <f t="shared" ref="G25:G28" si="11">H25*$J$3</f>
        <v>2700000</v>
      </c>
      <c r="H25" s="14">
        <f t="shared" ref="H25:H29" si="12">C4</f>
        <v>30000</v>
      </c>
      <c r="I25" s="15">
        <f t="shared" si="7"/>
        <v>570000</v>
      </c>
      <c r="J25" s="15">
        <f>MIN(0,I25*$J$4*-1)</f>
        <v>-114000</v>
      </c>
      <c r="K25" s="15">
        <f>J25+I25</f>
        <v>456000</v>
      </c>
    </row>
    <row r="26" spans="2:13" x14ac:dyDescent="0.3">
      <c r="B26" s="12">
        <v>3</v>
      </c>
      <c r="C26" s="27">
        <f t="shared" si="8"/>
        <v>-1200000</v>
      </c>
      <c r="D26" s="27">
        <f>$G$7*2</f>
        <v>-2400000</v>
      </c>
      <c r="E26" s="27">
        <f t="shared" si="9"/>
        <v>-1550000</v>
      </c>
      <c r="F26" s="27">
        <f t="shared" si="10"/>
        <v>0</v>
      </c>
      <c r="G26" s="20">
        <f t="shared" si="11"/>
        <v>4500000</v>
      </c>
      <c r="H26" s="14">
        <f t="shared" si="12"/>
        <v>50000</v>
      </c>
      <c r="I26" s="15">
        <f t="shared" si="7"/>
        <v>-650000</v>
      </c>
      <c r="J26" s="15">
        <f>MIN(0,I26*$J$4*-1)</f>
        <v>0</v>
      </c>
      <c r="K26" s="15">
        <f t="shared" ref="K26:K29" si="13">J26+I26</f>
        <v>-650000</v>
      </c>
    </row>
    <row r="27" spans="2:13" x14ac:dyDescent="0.3">
      <c r="B27" s="12">
        <v>4</v>
      </c>
      <c r="C27" s="27">
        <f>$G$3*2</f>
        <v>-2400000</v>
      </c>
      <c r="E27" s="27">
        <f>$G$4*H27</f>
        <v>-2480000</v>
      </c>
      <c r="F27" s="27">
        <f t="shared" si="10"/>
        <v>0</v>
      </c>
      <c r="G27" s="20">
        <f t="shared" si="11"/>
        <v>7200000</v>
      </c>
      <c r="H27" s="14">
        <f t="shared" si="12"/>
        <v>80000</v>
      </c>
      <c r="I27" s="15">
        <f t="shared" si="7"/>
        <v>2320000</v>
      </c>
      <c r="J27" s="15">
        <f t="shared" ref="J27:J29" si="14">MIN(0,I27*$J$4*-1)</f>
        <v>-464000</v>
      </c>
      <c r="K27" s="15">
        <f t="shared" si="13"/>
        <v>1856000</v>
      </c>
    </row>
    <row r="28" spans="2:13" x14ac:dyDescent="0.3">
      <c r="B28" s="12">
        <v>5</v>
      </c>
      <c r="C28" s="27">
        <f t="shared" ref="C28:C29" si="15">$G$3*2</f>
        <v>-2400000</v>
      </c>
      <c r="D28" s="2"/>
      <c r="E28" s="27">
        <f>$G$4*H28</f>
        <v>-2480000</v>
      </c>
      <c r="F28" s="27">
        <f t="shared" si="10"/>
        <v>0</v>
      </c>
      <c r="G28" s="20">
        <f t="shared" si="11"/>
        <v>7200000</v>
      </c>
      <c r="H28" s="14">
        <f t="shared" si="12"/>
        <v>80000</v>
      </c>
      <c r="I28" s="15">
        <f t="shared" si="7"/>
        <v>2320000</v>
      </c>
      <c r="J28" s="15">
        <f t="shared" si="14"/>
        <v>-464000</v>
      </c>
      <c r="K28" s="15">
        <f t="shared" si="13"/>
        <v>1856000</v>
      </c>
    </row>
    <row r="29" spans="2:13" x14ac:dyDescent="0.3">
      <c r="B29" s="12">
        <v>6</v>
      </c>
      <c r="C29" s="27">
        <f t="shared" si="15"/>
        <v>-2400000</v>
      </c>
      <c r="D29" s="2"/>
      <c r="E29" s="27">
        <f>$G$4*H29</f>
        <v>-2480000</v>
      </c>
      <c r="F29" s="27">
        <f t="shared" si="10"/>
        <v>0</v>
      </c>
      <c r="G29" s="20">
        <f>H29*$J$3</f>
        <v>7200000</v>
      </c>
      <c r="H29" s="14">
        <f t="shared" si="12"/>
        <v>80000</v>
      </c>
      <c r="I29" s="15">
        <f t="shared" si="7"/>
        <v>2320000</v>
      </c>
      <c r="J29" s="15">
        <f t="shared" si="14"/>
        <v>-464000</v>
      </c>
      <c r="K29" s="15">
        <f t="shared" si="13"/>
        <v>1856000</v>
      </c>
    </row>
    <row r="31" spans="2:13" x14ac:dyDescent="0.3">
      <c r="B31" t="s">
        <v>33</v>
      </c>
    </row>
    <row r="37" spans="4:4" x14ac:dyDescent="0.3">
      <c r="D37" t="s">
        <v>114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N30"/>
  <sheetViews>
    <sheetView zoomScale="85" zoomScaleNormal="85" workbookViewId="0">
      <selection activeCell="K23" sqref="K23"/>
    </sheetView>
  </sheetViews>
  <sheetFormatPr defaultColWidth="11.5546875" defaultRowHeight="14.4" x14ac:dyDescent="0.3"/>
  <cols>
    <col min="1" max="1" width="3.33203125" customWidth="1"/>
    <col min="2" max="3" width="17.77734375" bestFit="1" customWidth="1"/>
    <col min="4" max="4" width="16.5546875" bestFit="1" customWidth="1"/>
    <col min="8" max="8" width="2.21875" customWidth="1"/>
    <col min="10" max="10" width="12" bestFit="1" customWidth="1"/>
  </cols>
  <sheetData>
    <row r="2" spans="2:11" x14ac:dyDescent="0.3">
      <c r="B2" s="4" t="s">
        <v>37</v>
      </c>
      <c r="C2" s="15">
        <v>-12000</v>
      </c>
      <c r="E2" s="31" t="s">
        <v>42</v>
      </c>
      <c r="F2" s="31" t="s">
        <v>43</v>
      </c>
      <c r="G2" s="31" t="s">
        <v>44</v>
      </c>
    </row>
    <row r="3" spans="2:11" x14ac:dyDescent="0.3">
      <c r="B3" s="4" t="s">
        <v>20</v>
      </c>
      <c r="C3" s="2">
        <v>20</v>
      </c>
      <c r="D3" t="s">
        <v>40</v>
      </c>
      <c r="E3" s="30">
        <v>-550</v>
      </c>
      <c r="F3" s="11">
        <v>0</v>
      </c>
      <c r="G3" s="11">
        <v>5</v>
      </c>
    </row>
    <row r="4" spans="2:11" x14ac:dyDescent="0.3">
      <c r="B4" s="4" t="s">
        <v>38</v>
      </c>
      <c r="C4" s="15">
        <v>-20000</v>
      </c>
      <c r="D4" t="s">
        <v>41</v>
      </c>
      <c r="E4" s="30">
        <v>-800</v>
      </c>
      <c r="F4" s="11">
        <v>6</v>
      </c>
      <c r="G4" s="11">
        <v>10</v>
      </c>
    </row>
    <row r="5" spans="2:11" x14ac:dyDescent="0.3">
      <c r="B5" s="4" t="s">
        <v>39</v>
      </c>
      <c r="C5" s="15">
        <v>-450</v>
      </c>
      <c r="D5" t="s">
        <v>41</v>
      </c>
      <c r="E5" s="30">
        <v>-1500</v>
      </c>
      <c r="F5" s="11">
        <v>11</v>
      </c>
      <c r="G5" s="11">
        <v>15</v>
      </c>
    </row>
    <row r="6" spans="2:11" x14ac:dyDescent="0.3">
      <c r="B6" s="4" t="s">
        <v>1</v>
      </c>
      <c r="C6" s="8">
        <v>7.0000000000000007E-2</v>
      </c>
      <c r="D6" t="s">
        <v>45</v>
      </c>
      <c r="E6" s="30">
        <v>-2500</v>
      </c>
      <c r="F6" s="11">
        <v>16</v>
      </c>
      <c r="G6" s="11">
        <v>20</v>
      </c>
    </row>
    <row r="7" spans="2:11" x14ac:dyDescent="0.3">
      <c r="B7" s="4" t="s">
        <v>46</v>
      </c>
      <c r="C7" s="2"/>
    </row>
    <row r="9" spans="2:11" x14ac:dyDescent="0.3">
      <c r="B9" s="2"/>
      <c r="C9" s="4" t="s">
        <v>37</v>
      </c>
      <c r="D9" s="4" t="s">
        <v>38</v>
      </c>
      <c r="E9" s="4" t="s">
        <v>39</v>
      </c>
      <c r="F9" s="4" t="s">
        <v>42</v>
      </c>
      <c r="G9" s="4" t="s">
        <v>8</v>
      </c>
    </row>
    <row r="10" spans="2:11" x14ac:dyDescent="0.3">
      <c r="B10" s="2">
        <v>0</v>
      </c>
      <c r="C10" s="27">
        <f>C2</f>
        <v>-12000</v>
      </c>
      <c r="E10" s="2"/>
      <c r="F10" s="2"/>
      <c r="G10" s="27">
        <f>SUM(C10:F10)</f>
        <v>-12000</v>
      </c>
      <c r="I10" s="2" t="s">
        <v>47</v>
      </c>
    </row>
    <row r="11" spans="2:11" x14ac:dyDescent="0.3">
      <c r="B11" s="2">
        <v>1</v>
      </c>
      <c r="C11" s="2"/>
      <c r="D11" s="27">
        <f>$C$4</f>
        <v>-20000</v>
      </c>
      <c r="E11" s="27">
        <f>$C$5</f>
        <v>-450</v>
      </c>
      <c r="F11" s="27">
        <f>$E$3</f>
        <v>-550</v>
      </c>
      <c r="G11" s="27">
        <f t="shared" ref="G11:G30" si="0">SUM(C11:F11)</f>
        <v>-21000</v>
      </c>
      <c r="I11" s="4" t="s">
        <v>9</v>
      </c>
      <c r="J11" s="9">
        <f>NPV(C6,G11:G15)</f>
        <v>-86104.146154899456</v>
      </c>
    </row>
    <row r="12" spans="2:11" x14ac:dyDescent="0.3">
      <c r="B12" s="2">
        <v>2</v>
      </c>
      <c r="C12" s="2"/>
      <c r="D12" s="27">
        <f t="shared" ref="D12:D30" si="1">$C$4</f>
        <v>-20000</v>
      </c>
      <c r="E12" s="27">
        <f t="shared" ref="E12:E30" si="2">$C$5</f>
        <v>-450</v>
      </c>
      <c r="F12" s="27">
        <f t="shared" ref="F12:F15" si="3">$E$3</f>
        <v>-550</v>
      </c>
      <c r="G12" s="27">
        <f t="shared" si="0"/>
        <v>-21000</v>
      </c>
      <c r="I12" s="4" t="s">
        <v>10</v>
      </c>
      <c r="J12" s="9">
        <f>J11+G10</f>
        <v>-98104.146154899456</v>
      </c>
    </row>
    <row r="13" spans="2:11" x14ac:dyDescent="0.3">
      <c r="B13" s="2">
        <v>3</v>
      </c>
      <c r="C13" s="2"/>
      <c r="D13" s="27">
        <f t="shared" si="1"/>
        <v>-20000</v>
      </c>
      <c r="E13" s="27">
        <f t="shared" si="2"/>
        <v>-450</v>
      </c>
      <c r="F13" s="27">
        <f t="shared" si="3"/>
        <v>-550</v>
      </c>
      <c r="G13" s="27">
        <f t="shared" si="0"/>
        <v>-21000</v>
      </c>
      <c r="I13" s="4" t="s">
        <v>11</v>
      </c>
      <c r="J13" s="9">
        <f>-PMT(C6,B15,J12)</f>
        <v>-23926.68833329649</v>
      </c>
      <c r="K13" t="s">
        <v>12</v>
      </c>
    </row>
    <row r="14" spans="2:11" x14ac:dyDescent="0.3">
      <c r="B14" s="2">
        <v>4</v>
      </c>
      <c r="C14" s="2"/>
      <c r="D14" s="27">
        <f t="shared" si="1"/>
        <v>-20000</v>
      </c>
      <c r="E14" s="27">
        <f t="shared" si="2"/>
        <v>-450</v>
      </c>
      <c r="F14" s="27">
        <f t="shared" si="3"/>
        <v>-550</v>
      </c>
      <c r="G14" s="27">
        <f t="shared" si="0"/>
        <v>-21000</v>
      </c>
    </row>
    <row r="15" spans="2:11" x14ac:dyDescent="0.3">
      <c r="B15" s="2">
        <v>5</v>
      </c>
      <c r="C15" s="2"/>
      <c r="D15" s="27">
        <f t="shared" si="1"/>
        <v>-20000</v>
      </c>
      <c r="E15" s="27">
        <f t="shared" si="2"/>
        <v>-450</v>
      </c>
      <c r="F15" s="27">
        <f t="shared" si="3"/>
        <v>-550</v>
      </c>
      <c r="G15" s="27">
        <f t="shared" si="0"/>
        <v>-21000</v>
      </c>
      <c r="I15" s="2" t="s">
        <v>48</v>
      </c>
    </row>
    <row r="16" spans="2:11" x14ac:dyDescent="0.3">
      <c r="B16" s="2">
        <v>6</v>
      </c>
      <c r="C16" s="2"/>
      <c r="D16" s="27">
        <f t="shared" si="1"/>
        <v>-20000</v>
      </c>
      <c r="E16" s="27">
        <f t="shared" si="2"/>
        <v>-450</v>
      </c>
      <c r="F16" s="27">
        <f>$E$4</f>
        <v>-800</v>
      </c>
      <c r="G16" s="27">
        <f t="shared" si="0"/>
        <v>-21250</v>
      </c>
      <c r="I16" s="4" t="s">
        <v>9</v>
      </c>
      <c r="J16" s="9">
        <f>NPV(C6,G11:G20)</f>
        <v>-148226.05838583087</v>
      </c>
    </row>
    <row r="17" spans="2:14" x14ac:dyDescent="0.3">
      <c r="B17" s="2">
        <v>7</v>
      </c>
      <c r="C17" s="2"/>
      <c r="D17" s="27">
        <f t="shared" si="1"/>
        <v>-20000</v>
      </c>
      <c r="E17" s="27">
        <f t="shared" si="2"/>
        <v>-450</v>
      </c>
      <c r="F17" s="27">
        <f t="shared" ref="F17:F20" si="4">$E$4</f>
        <v>-800</v>
      </c>
      <c r="G17" s="27">
        <f t="shared" si="0"/>
        <v>-21250</v>
      </c>
      <c r="I17" s="4" t="s">
        <v>10</v>
      </c>
      <c r="J17" s="9">
        <f>J16+G10</f>
        <v>-160226.05838583087</v>
      </c>
    </row>
    <row r="18" spans="2:14" x14ac:dyDescent="0.3">
      <c r="B18" s="2">
        <v>8</v>
      </c>
      <c r="C18" s="2"/>
      <c r="D18" s="27">
        <f t="shared" si="1"/>
        <v>-20000</v>
      </c>
      <c r="E18" s="27">
        <f t="shared" si="2"/>
        <v>-450</v>
      </c>
      <c r="F18" s="27">
        <f t="shared" si="4"/>
        <v>-800</v>
      </c>
      <c r="G18" s="27">
        <f t="shared" si="0"/>
        <v>-21250</v>
      </c>
      <c r="I18" s="4" t="s">
        <v>11</v>
      </c>
      <c r="J18" s="9">
        <f>-PMT(C6,B20,J17)</f>
        <v>-22812.586064823532</v>
      </c>
      <c r="K18" t="s">
        <v>12</v>
      </c>
    </row>
    <row r="19" spans="2:14" x14ac:dyDescent="0.3">
      <c r="B19" s="2">
        <v>9</v>
      </c>
      <c r="C19" s="2"/>
      <c r="D19" s="27">
        <f t="shared" si="1"/>
        <v>-20000</v>
      </c>
      <c r="E19" s="27">
        <f t="shared" si="2"/>
        <v>-450</v>
      </c>
      <c r="F19" s="27">
        <f t="shared" si="4"/>
        <v>-800</v>
      </c>
      <c r="G19" s="27">
        <f t="shared" si="0"/>
        <v>-21250</v>
      </c>
      <c r="M19" t="s">
        <v>61</v>
      </c>
      <c r="N19" t="s">
        <v>62</v>
      </c>
    </row>
    <row r="20" spans="2:14" x14ac:dyDescent="0.3">
      <c r="B20" s="2">
        <v>10</v>
      </c>
      <c r="C20" s="2"/>
      <c r="D20" s="27">
        <f t="shared" si="1"/>
        <v>-20000</v>
      </c>
      <c r="E20" s="27">
        <f t="shared" si="2"/>
        <v>-450</v>
      </c>
      <c r="F20" s="27">
        <f t="shared" si="4"/>
        <v>-800</v>
      </c>
      <c r="G20" s="27">
        <f t="shared" si="0"/>
        <v>-21250</v>
      </c>
      <c r="I20" s="2" t="s">
        <v>49</v>
      </c>
    </row>
    <row r="21" spans="2:14" x14ac:dyDescent="0.3">
      <c r="B21" s="2">
        <v>11</v>
      </c>
      <c r="C21" s="2"/>
      <c r="D21" s="27">
        <f t="shared" si="1"/>
        <v>-20000</v>
      </c>
      <c r="E21" s="27">
        <f t="shared" si="2"/>
        <v>-450</v>
      </c>
      <c r="F21" s="27">
        <f>$E$5</f>
        <v>-1500</v>
      </c>
      <c r="G21" s="27">
        <f t="shared" si="0"/>
        <v>-21950</v>
      </c>
      <c r="I21" s="4" t="s">
        <v>9</v>
      </c>
      <c r="J21" s="9">
        <f>NPV(C6,G11:G25)</f>
        <v>-193977.15597450593</v>
      </c>
    </row>
    <row r="22" spans="2:14" x14ac:dyDescent="0.3">
      <c r="B22" s="2">
        <v>12</v>
      </c>
      <c r="C22" s="2"/>
      <c r="D22" s="27">
        <f t="shared" si="1"/>
        <v>-20000</v>
      </c>
      <c r="E22" s="27">
        <f t="shared" si="2"/>
        <v>-450</v>
      </c>
      <c r="F22" s="27">
        <f t="shared" ref="F22:F25" si="5">$E$5</f>
        <v>-1500</v>
      </c>
      <c r="G22" s="27">
        <f t="shared" si="0"/>
        <v>-21950</v>
      </c>
      <c r="I22" s="4" t="s">
        <v>10</v>
      </c>
      <c r="J22" s="9">
        <f>J21+G10</f>
        <v>-205977.15597450593</v>
      </c>
    </row>
    <row r="23" spans="2:14" x14ac:dyDescent="0.3">
      <c r="B23" s="2">
        <v>13</v>
      </c>
      <c r="C23" s="2"/>
      <c r="D23" s="27">
        <f t="shared" si="1"/>
        <v>-20000</v>
      </c>
      <c r="E23" s="27">
        <f t="shared" si="2"/>
        <v>-450</v>
      </c>
      <c r="F23" s="27">
        <f t="shared" si="5"/>
        <v>-1500</v>
      </c>
      <c r="G23" s="27">
        <f t="shared" si="0"/>
        <v>-21950</v>
      </c>
      <c r="I23" s="4" t="s">
        <v>11</v>
      </c>
      <c r="J23" s="9">
        <f>-PMT(C6,B25,J22)</f>
        <v>-22615.184537201567</v>
      </c>
      <c r="K23" t="s">
        <v>12</v>
      </c>
    </row>
    <row r="24" spans="2:14" x14ac:dyDescent="0.3">
      <c r="B24" s="2">
        <v>14</v>
      </c>
      <c r="C24" s="2"/>
      <c r="D24" s="27">
        <f t="shared" si="1"/>
        <v>-20000</v>
      </c>
      <c r="E24" s="27">
        <f t="shared" si="2"/>
        <v>-450</v>
      </c>
      <c r="F24" s="27">
        <f t="shared" si="5"/>
        <v>-1500</v>
      </c>
      <c r="G24" s="27">
        <f t="shared" si="0"/>
        <v>-21950</v>
      </c>
    </row>
    <row r="25" spans="2:14" x14ac:dyDescent="0.3">
      <c r="B25" s="2">
        <v>15</v>
      </c>
      <c r="C25" s="2"/>
      <c r="D25" s="27">
        <f t="shared" si="1"/>
        <v>-20000</v>
      </c>
      <c r="E25" s="27">
        <f t="shared" si="2"/>
        <v>-450</v>
      </c>
      <c r="F25" s="27">
        <f t="shared" si="5"/>
        <v>-1500</v>
      </c>
      <c r="G25" s="27">
        <f t="shared" si="0"/>
        <v>-21950</v>
      </c>
      <c r="I25" s="2" t="s">
        <v>50</v>
      </c>
    </row>
    <row r="26" spans="2:14" x14ac:dyDescent="0.3">
      <c r="B26" s="2">
        <v>16</v>
      </c>
      <c r="C26" s="2"/>
      <c r="D26" s="27">
        <f t="shared" si="1"/>
        <v>-20000</v>
      </c>
      <c r="E26" s="27">
        <f t="shared" si="2"/>
        <v>-450</v>
      </c>
      <c r="F26" s="27">
        <f>$E$6</f>
        <v>-2500</v>
      </c>
      <c r="G26" s="27">
        <f t="shared" si="0"/>
        <v>-22950</v>
      </c>
      <c r="I26" s="4" t="s">
        <v>9</v>
      </c>
      <c r="J26" s="9">
        <f>NPV(C6,G11:G30)</f>
        <v>-228083.15649184689</v>
      </c>
    </row>
    <row r="27" spans="2:14" x14ac:dyDescent="0.3">
      <c r="B27" s="2">
        <v>17</v>
      </c>
      <c r="C27" s="2"/>
      <c r="D27" s="27">
        <f t="shared" si="1"/>
        <v>-20000</v>
      </c>
      <c r="E27" s="27">
        <f t="shared" si="2"/>
        <v>-450</v>
      </c>
      <c r="F27" s="27">
        <f t="shared" ref="F27:F30" si="6">$E$6</f>
        <v>-2500</v>
      </c>
      <c r="G27" s="27">
        <f t="shared" si="0"/>
        <v>-22950</v>
      </c>
      <c r="I27" s="4" t="s">
        <v>10</v>
      </c>
      <c r="J27" s="9">
        <f>J26+G10</f>
        <v>-240083.15649184689</v>
      </c>
    </row>
    <row r="28" spans="2:14" x14ac:dyDescent="0.3">
      <c r="B28" s="2">
        <v>18</v>
      </c>
      <c r="C28" s="2"/>
      <c r="D28" s="27">
        <f t="shared" si="1"/>
        <v>-20000</v>
      </c>
      <c r="E28" s="27">
        <f t="shared" si="2"/>
        <v>-450</v>
      </c>
      <c r="F28" s="27">
        <f t="shared" si="6"/>
        <v>-2500</v>
      </c>
      <c r="G28" s="27">
        <f t="shared" si="0"/>
        <v>-22950</v>
      </c>
      <c r="I28" s="4" t="s">
        <v>11</v>
      </c>
      <c r="J28" s="9">
        <f>-PMT(C6,B30,J27)</f>
        <v>-22662.151562941341</v>
      </c>
      <c r="K28" t="s">
        <v>12</v>
      </c>
    </row>
    <row r="29" spans="2:14" x14ac:dyDescent="0.3">
      <c r="B29" s="2">
        <v>19</v>
      </c>
      <c r="C29" s="2"/>
      <c r="D29" s="27">
        <f t="shared" si="1"/>
        <v>-20000</v>
      </c>
      <c r="E29" s="27">
        <f t="shared" si="2"/>
        <v>-450</v>
      </c>
      <c r="F29" s="27">
        <f t="shared" si="6"/>
        <v>-2500</v>
      </c>
      <c r="G29" s="27">
        <f t="shared" si="0"/>
        <v>-22950</v>
      </c>
    </row>
    <row r="30" spans="2:14" x14ac:dyDescent="0.3">
      <c r="B30" s="2">
        <v>20</v>
      </c>
      <c r="C30" s="2"/>
      <c r="D30" s="27">
        <f t="shared" si="1"/>
        <v>-20000</v>
      </c>
      <c r="E30" s="27">
        <f t="shared" si="2"/>
        <v>-450</v>
      </c>
      <c r="F30" s="27">
        <f t="shared" si="6"/>
        <v>-2500</v>
      </c>
      <c r="G30" s="27">
        <f t="shared" si="0"/>
        <v>-22950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B2:Q50"/>
  <sheetViews>
    <sheetView workbookViewId="0">
      <selection activeCell="Q14" sqref="Q14"/>
    </sheetView>
  </sheetViews>
  <sheetFormatPr defaultColWidth="11.5546875" defaultRowHeight="14.4" x14ac:dyDescent="0.3"/>
  <cols>
    <col min="2" max="2" width="22" customWidth="1"/>
    <col min="3" max="3" width="15.44140625" bestFit="1" customWidth="1"/>
    <col min="4" max="4" width="27.88671875" bestFit="1" customWidth="1"/>
    <col min="5" max="5" width="16" bestFit="1" customWidth="1"/>
    <col min="6" max="6" width="14.5546875" bestFit="1" customWidth="1"/>
    <col min="8" max="8" width="15.6640625" bestFit="1" customWidth="1"/>
    <col min="9" max="9" width="12.33203125" bestFit="1" customWidth="1"/>
    <col min="10" max="10" width="15.21875" bestFit="1" customWidth="1"/>
    <col min="14" max="14" width="12.33203125" bestFit="1" customWidth="1"/>
    <col min="15" max="15" width="16.21875" bestFit="1" customWidth="1"/>
  </cols>
  <sheetData>
    <row r="2" spans="2:17" ht="28.8" x14ac:dyDescent="0.55000000000000004">
      <c r="B2" s="1" t="s">
        <v>65</v>
      </c>
    </row>
    <row r="4" spans="2:17" x14ac:dyDescent="0.3">
      <c r="B4" s="10" t="s">
        <v>66</v>
      </c>
      <c r="H4" s="10" t="s">
        <v>92</v>
      </c>
    </row>
    <row r="5" spans="2:17" x14ac:dyDescent="0.3">
      <c r="B5" t="s">
        <v>67</v>
      </c>
      <c r="C5" s="48">
        <v>125000</v>
      </c>
      <c r="H5" s="2" t="s">
        <v>15</v>
      </c>
      <c r="I5" s="2" t="s">
        <v>93</v>
      </c>
      <c r="J5" s="2" t="s">
        <v>52</v>
      </c>
      <c r="K5" s="2" t="s">
        <v>4</v>
      </c>
      <c r="L5" s="2" t="s">
        <v>5</v>
      </c>
      <c r="M5" s="2" t="s">
        <v>31</v>
      </c>
      <c r="N5" s="2" t="s">
        <v>83</v>
      </c>
      <c r="O5" s="2" t="s">
        <v>89</v>
      </c>
      <c r="P5" s="2" t="s">
        <v>34</v>
      </c>
      <c r="Q5" s="2" t="s">
        <v>8</v>
      </c>
    </row>
    <row r="6" spans="2:17" x14ac:dyDescent="0.3">
      <c r="H6" s="2">
        <v>0</v>
      </c>
      <c r="I6" s="9">
        <f>SUM(C15:C18)</f>
        <v>-565000</v>
      </c>
      <c r="J6" s="9"/>
      <c r="K6" s="9"/>
      <c r="L6" s="9"/>
      <c r="M6" s="9"/>
      <c r="N6" s="9">
        <v>300000</v>
      </c>
      <c r="O6" s="9">
        <f>C36</f>
        <v>15000</v>
      </c>
      <c r="P6" s="9"/>
      <c r="Q6" s="9">
        <f>SUM(I6:P6)</f>
        <v>-250000</v>
      </c>
    </row>
    <row r="7" spans="2:17" x14ac:dyDescent="0.3">
      <c r="B7" s="10" t="s">
        <v>68</v>
      </c>
      <c r="H7" s="2">
        <v>1</v>
      </c>
      <c r="I7" s="9"/>
      <c r="J7" s="9"/>
      <c r="K7" s="9">
        <f>D9*C25*365</f>
        <v>-131400</v>
      </c>
      <c r="L7" s="9">
        <f>$C$23</f>
        <v>-20000</v>
      </c>
      <c r="M7" s="9">
        <f>D9*F9*365</f>
        <v>328500</v>
      </c>
      <c r="N7" s="9">
        <f>PMT($C$34,$H$11,$N$6)</f>
        <v>-95933.352538436055</v>
      </c>
      <c r="O7" s="9"/>
      <c r="P7" s="9">
        <f>C46</f>
        <v>-3108</v>
      </c>
      <c r="Q7" s="9">
        <f t="shared" ref="Q7:Q11" si="0">SUM(I7:P7)</f>
        <v>78058.647461563945</v>
      </c>
    </row>
    <row r="8" spans="2:17" x14ac:dyDescent="0.3">
      <c r="B8" s="2"/>
      <c r="C8" s="2" t="s">
        <v>69</v>
      </c>
      <c r="D8" s="2" t="s">
        <v>94</v>
      </c>
      <c r="E8" s="2" t="s">
        <v>73</v>
      </c>
      <c r="F8" s="2" t="s">
        <v>74</v>
      </c>
      <c r="H8" s="2">
        <v>2</v>
      </c>
      <c r="I8" s="9"/>
      <c r="J8" s="9"/>
      <c r="K8" s="9">
        <f>D9*C26*365</f>
        <v>-131400</v>
      </c>
      <c r="L8" s="9">
        <f t="shared" ref="L8:L11" si="1">$C$23</f>
        <v>-20000</v>
      </c>
      <c r="M8" s="9">
        <f>F9*D9*365</f>
        <v>328500</v>
      </c>
      <c r="N8" s="9">
        <f t="shared" ref="N8:N11" si="2">PMT($C$34,$H$11,$N$6)</f>
        <v>-95933.352538436055</v>
      </c>
      <c r="O8" s="9"/>
      <c r="P8" s="9">
        <f t="shared" ref="P8:P11" si="3">C47</f>
        <v>-4014</v>
      </c>
      <c r="Q8" s="9">
        <f t="shared" si="0"/>
        <v>77152.647461563945</v>
      </c>
    </row>
    <row r="9" spans="2:17" x14ac:dyDescent="0.3">
      <c r="B9" s="2" t="s">
        <v>70</v>
      </c>
      <c r="C9" s="52">
        <v>3.2000000000000001E-2</v>
      </c>
      <c r="D9" s="54">
        <v>30</v>
      </c>
      <c r="E9" s="2">
        <v>2</v>
      </c>
      <c r="F9" s="15">
        <v>30</v>
      </c>
      <c r="H9" s="2">
        <v>3</v>
      </c>
      <c r="I9" s="9"/>
      <c r="J9" s="9"/>
      <c r="K9" s="9">
        <f>D10*C27*365</f>
        <v>-109500</v>
      </c>
      <c r="L9" s="9">
        <f t="shared" si="1"/>
        <v>-20000</v>
      </c>
      <c r="M9" s="9">
        <f>D10*F10*365</f>
        <v>456250</v>
      </c>
      <c r="N9" s="9">
        <f t="shared" si="2"/>
        <v>-95933.352538436055</v>
      </c>
      <c r="O9" s="9"/>
      <c r="P9" s="9">
        <f t="shared" si="3"/>
        <v>-23041</v>
      </c>
      <c r="Q9" s="9">
        <f t="shared" si="0"/>
        <v>207775.64746156393</v>
      </c>
    </row>
    <row r="10" spans="2:17" x14ac:dyDescent="0.3">
      <c r="B10" s="2" t="s">
        <v>71</v>
      </c>
      <c r="C10" s="52">
        <v>3.7999999999999999E-2</v>
      </c>
      <c r="D10" s="54">
        <v>25</v>
      </c>
      <c r="E10" s="2">
        <v>2</v>
      </c>
      <c r="F10" s="15">
        <v>50</v>
      </c>
      <c r="H10" s="2">
        <v>4</v>
      </c>
      <c r="I10" s="9"/>
      <c r="J10" s="9"/>
      <c r="K10" s="9">
        <f>D10*C28*365</f>
        <v>-91250</v>
      </c>
      <c r="L10" s="9">
        <f t="shared" si="1"/>
        <v>-20000</v>
      </c>
      <c r="M10" s="9">
        <f>D10*F10*365</f>
        <v>456250</v>
      </c>
      <c r="N10" s="9">
        <f t="shared" si="2"/>
        <v>-95933.352538436055</v>
      </c>
      <c r="O10" s="9"/>
      <c r="P10" s="9">
        <f t="shared" si="3"/>
        <v>-26492</v>
      </c>
      <c r="Q10" s="9">
        <f t="shared" si="0"/>
        <v>222574.64746156393</v>
      </c>
    </row>
    <row r="11" spans="2:17" x14ac:dyDescent="0.3">
      <c r="B11" s="2" t="s">
        <v>72</v>
      </c>
      <c r="C11" s="52">
        <v>2.5000000000000001E-2</v>
      </c>
      <c r="D11" s="54">
        <v>35</v>
      </c>
      <c r="E11" s="2">
        <v>1</v>
      </c>
      <c r="F11" s="15">
        <v>20</v>
      </c>
      <c r="H11" s="2">
        <v>5</v>
      </c>
      <c r="I11" s="9"/>
      <c r="J11" s="9">
        <f>-0.1*(C15+C17+C18)</f>
        <v>54000</v>
      </c>
      <c r="K11" s="9">
        <f>D11*C29*365</f>
        <v>-102200</v>
      </c>
      <c r="L11" s="9">
        <f t="shared" si="1"/>
        <v>-20000</v>
      </c>
      <c r="M11" s="9">
        <f>D11*F11*365</f>
        <v>255500</v>
      </c>
      <c r="N11" s="9">
        <f t="shared" si="2"/>
        <v>-95933.352538436055</v>
      </c>
      <c r="O11" s="9">
        <f>-C36</f>
        <v>-15000</v>
      </c>
      <c r="P11" s="9">
        <f t="shared" si="3"/>
        <v>-2577</v>
      </c>
      <c r="Q11" s="9">
        <f t="shared" si="0"/>
        <v>73789.647461563945</v>
      </c>
    </row>
    <row r="13" spans="2:17" x14ac:dyDescent="0.3">
      <c r="P13" t="s">
        <v>9</v>
      </c>
      <c r="Q13" s="28">
        <f>NPV(C41,Q7:Q11)</f>
        <v>426775.70454910013</v>
      </c>
    </row>
    <row r="14" spans="2:17" x14ac:dyDescent="0.3">
      <c r="B14" s="10" t="s">
        <v>78</v>
      </c>
      <c r="P14" t="s">
        <v>10</v>
      </c>
      <c r="Q14" s="28">
        <f>Q13+Q6</f>
        <v>176775.70454910013</v>
      </c>
    </row>
    <row r="15" spans="2:17" x14ac:dyDescent="0.3">
      <c r="B15" t="s">
        <v>77</v>
      </c>
      <c r="C15" s="48">
        <v>-300000</v>
      </c>
    </row>
    <row r="16" spans="2:17" x14ac:dyDescent="0.3">
      <c r="B16" t="s">
        <v>75</v>
      </c>
      <c r="C16" s="48">
        <v>-25000</v>
      </c>
      <c r="P16" t="s">
        <v>58</v>
      </c>
      <c r="Q16" s="38">
        <f>IRR(Q6:Q11)</f>
        <v>0.38450784697364293</v>
      </c>
    </row>
    <row r="17" spans="2:4" x14ac:dyDescent="0.3">
      <c r="B17" t="s">
        <v>76</v>
      </c>
      <c r="C17" s="49">
        <f>-45000*2</f>
        <v>-90000</v>
      </c>
    </row>
    <row r="18" spans="2:4" x14ac:dyDescent="0.3">
      <c r="B18" t="s">
        <v>79</v>
      </c>
      <c r="C18" s="49">
        <v>-150000</v>
      </c>
    </row>
    <row r="19" spans="2:4" x14ac:dyDescent="0.3">
      <c r="B19" t="s">
        <v>86</v>
      </c>
      <c r="C19" s="51">
        <v>0.1</v>
      </c>
    </row>
    <row r="21" spans="2:4" x14ac:dyDescent="0.3">
      <c r="C21" s="49"/>
    </row>
    <row r="22" spans="2:4" x14ac:dyDescent="0.3">
      <c r="B22" s="10" t="s">
        <v>80</v>
      </c>
      <c r="C22" s="49"/>
    </row>
    <row r="23" spans="2:4" x14ac:dyDescent="0.3">
      <c r="B23" t="s">
        <v>81</v>
      </c>
      <c r="C23" s="49">
        <v>-20000</v>
      </c>
      <c r="D23" t="s">
        <v>41</v>
      </c>
    </row>
    <row r="24" spans="2:4" x14ac:dyDescent="0.3">
      <c r="B24" s="2" t="s">
        <v>15</v>
      </c>
      <c r="C24" s="53" t="s">
        <v>82</v>
      </c>
    </row>
    <row r="25" spans="2:4" x14ac:dyDescent="0.3">
      <c r="B25" s="2">
        <v>1</v>
      </c>
      <c r="C25" s="53">
        <v>-12</v>
      </c>
    </row>
    <row r="26" spans="2:4" x14ac:dyDescent="0.3">
      <c r="B26" s="2">
        <v>2</v>
      </c>
      <c r="C26" s="53">
        <v>-12</v>
      </c>
    </row>
    <row r="27" spans="2:4" x14ac:dyDescent="0.3">
      <c r="B27" s="2">
        <v>3</v>
      </c>
      <c r="C27" s="53">
        <v>-12</v>
      </c>
    </row>
    <row r="28" spans="2:4" x14ac:dyDescent="0.3">
      <c r="B28" s="2">
        <v>4</v>
      </c>
      <c r="C28" s="53">
        <v>-10</v>
      </c>
    </row>
    <row r="29" spans="2:4" x14ac:dyDescent="0.3">
      <c r="B29" s="2">
        <v>5</v>
      </c>
      <c r="C29" s="53">
        <v>-8</v>
      </c>
    </row>
    <row r="32" spans="2:4" x14ac:dyDescent="0.3">
      <c r="B32" s="10" t="s">
        <v>87</v>
      </c>
    </row>
    <row r="33" spans="2:4" x14ac:dyDescent="0.3">
      <c r="B33" t="s">
        <v>88</v>
      </c>
      <c r="C33" s="48">
        <v>300000</v>
      </c>
    </row>
    <row r="34" spans="2:4" x14ac:dyDescent="0.3">
      <c r="B34" t="s">
        <v>84</v>
      </c>
      <c r="C34" s="50">
        <v>0.18</v>
      </c>
    </row>
    <row r="36" spans="2:4" x14ac:dyDescent="0.3">
      <c r="B36" t="s">
        <v>89</v>
      </c>
      <c r="C36" s="48">
        <v>15000</v>
      </c>
      <c r="D36" t="s">
        <v>90</v>
      </c>
    </row>
    <row r="37" spans="2:4" x14ac:dyDescent="0.3">
      <c r="B37" t="s">
        <v>91</v>
      </c>
      <c r="C37" s="50">
        <v>0</v>
      </c>
    </row>
    <row r="40" spans="2:4" x14ac:dyDescent="0.3">
      <c r="B40" s="10" t="s">
        <v>85</v>
      </c>
    </row>
    <row r="41" spans="2:4" x14ac:dyDescent="0.3">
      <c r="B41" t="s">
        <v>1</v>
      </c>
      <c r="C41" s="50">
        <v>0.15</v>
      </c>
    </row>
    <row r="44" spans="2:4" x14ac:dyDescent="0.3">
      <c r="B44" s="10" t="s">
        <v>34</v>
      </c>
    </row>
    <row r="45" spans="2:4" x14ac:dyDescent="0.3">
      <c r="B45" s="2" t="s">
        <v>15</v>
      </c>
      <c r="C45" s="2" t="s">
        <v>34</v>
      </c>
    </row>
    <row r="46" spans="2:4" x14ac:dyDescent="0.3">
      <c r="B46" s="2">
        <v>1</v>
      </c>
      <c r="C46" s="15">
        <v>-3108</v>
      </c>
    </row>
    <row r="47" spans="2:4" x14ac:dyDescent="0.3">
      <c r="B47" s="2">
        <v>2</v>
      </c>
      <c r="C47" s="15">
        <v>-4014</v>
      </c>
    </row>
    <row r="48" spans="2:4" x14ac:dyDescent="0.3">
      <c r="B48" s="2">
        <v>3</v>
      </c>
      <c r="C48" s="15">
        <v>-23041</v>
      </c>
    </row>
    <row r="49" spans="2:3" x14ac:dyDescent="0.3">
      <c r="B49" s="2">
        <v>4</v>
      </c>
      <c r="C49" s="15">
        <v>-26492</v>
      </c>
    </row>
    <row r="50" spans="2:3" x14ac:dyDescent="0.3">
      <c r="B50" s="2">
        <v>5</v>
      </c>
      <c r="C50" s="15">
        <v>-2577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3:K11"/>
  <sheetViews>
    <sheetView workbookViewId="0">
      <selection activeCell="G22" sqref="G22"/>
    </sheetView>
  </sheetViews>
  <sheetFormatPr defaultColWidth="11.5546875" defaultRowHeight="14.4" x14ac:dyDescent="0.3"/>
  <cols>
    <col min="2" max="2" width="13.6640625" bestFit="1" customWidth="1"/>
    <col min="3" max="3" width="13.77734375" bestFit="1" customWidth="1"/>
    <col min="4" max="4" width="14.44140625" bestFit="1" customWidth="1"/>
    <col min="6" max="6" width="12.33203125" bestFit="1" customWidth="1"/>
    <col min="7" max="7" width="17.21875" bestFit="1" customWidth="1"/>
    <col min="8" max="8" width="19.5546875" bestFit="1" customWidth="1"/>
    <col min="9" max="9" width="12.33203125" bestFit="1" customWidth="1"/>
    <col min="10" max="10" width="19.6640625" bestFit="1" customWidth="1"/>
  </cols>
  <sheetData>
    <row r="3" spans="2:11" x14ac:dyDescent="0.3">
      <c r="B3" s="29" t="s">
        <v>13</v>
      </c>
      <c r="C3" s="11" t="s">
        <v>51</v>
      </c>
      <c r="D3" s="2" t="s">
        <v>52</v>
      </c>
      <c r="E3" s="2" t="s">
        <v>4</v>
      </c>
      <c r="F3" s="2" t="s">
        <v>31</v>
      </c>
      <c r="G3" s="2" t="s">
        <v>55</v>
      </c>
      <c r="H3" s="2" t="s">
        <v>53</v>
      </c>
      <c r="I3" s="2" t="s">
        <v>34</v>
      </c>
      <c r="J3" s="2" t="s">
        <v>54</v>
      </c>
      <c r="K3" s="2"/>
    </row>
    <row r="4" spans="2:11" x14ac:dyDescent="0.3">
      <c r="B4" s="13">
        <v>0</v>
      </c>
      <c r="C4" s="16">
        <v>-1100000</v>
      </c>
      <c r="D4" s="12"/>
      <c r="E4" s="2"/>
      <c r="F4" s="2"/>
      <c r="G4" s="15">
        <v>600000</v>
      </c>
      <c r="H4" s="27">
        <f>SUM(C4:G4)</f>
        <v>-500000</v>
      </c>
      <c r="I4" s="2"/>
      <c r="J4" s="27">
        <f>H4+I4</f>
        <v>-500000</v>
      </c>
      <c r="K4" s="2"/>
    </row>
    <row r="5" spans="2:11" x14ac:dyDescent="0.3">
      <c r="B5" s="13">
        <v>1</v>
      </c>
      <c r="C5" s="12"/>
      <c r="D5" s="12"/>
      <c r="E5" s="15">
        <v>-60000</v>
      </c>
      <c r="F5" s="15">
        <v>950000</v>
      </c>
      <c r="G5" s="32">
        <f>G9</f>
        <v>-369069.76744186052</v>
      </c>
      <c r="H5" s="27">
        <f t="shared" ref="H5" si="0">SUM(C5:G5)</f>
        <v>520930.23255813948</v>
      </c>
      <c r="I5" s="15">
        <f>MIN(0,I8*H5*-1)</f>
        <v>-130232.55813953487</v>
      </c>
      <c r="J5" s="27">
        <f>I5+H5</f>
        <v>390697.67441860458</v>
      </c>
      <c r="K5" s="2"/>
    </row>
    <row r="6" spans="2:11" x14ac:dyDescent="0.3">
      <c r="B6" s="13">
        <v>2</v>
      </c>
      <c r="C6" s="12"/>
      <c r="D6" s="16">
        <v>350000</v>
      </c>
      <c r="E6" s="15">
        <v>-80000</v>
      </c>
      <c r="F6" s="15">
        <v>950000</v>
      </c>
      <c r="G6" s="32">
        <f>G9</f>
        <v>-369069.76744186052</v>
      </c>
      <c r="H6" s="27">
        <f>SUM(C6:G6)</f>
        <v>850930.23255813948</v>
      </c>
      <c r="I6" s="15">
        <f>MIN(0,I8*H6*-1)</f>
        <v>-212732.55813953487</v>
      </c>
      <c r="J6" s="27">
        <f>I6+H6</f>
        <v>638197.67441860458</v>
      </c>
      <c r="K6" s="2"/>
    </row>
    <row r="7" spans="2:11" x14ac:dyDescent="0.3">
      <c r="B7" s="13"/>
      <c r="C7" s="13"/>
      <c r="D7" s="33"/>
      <c r="E7" s="34"/>
      <c r="F7" s="34"/>
      <c r="G7" s="35"/>
    </row>
    <row r="8" spans="2:11" x14ac:dyDescent="0.3">
      <c r="F8" s="2" t="s">
        <v>56</v>
      </c>
      <c r="G8" s="8">
        <v>0.15</v>
      </c>
      <c r="H8" s="21" t="s">
        <v>57</v>
      </c>
      <c r="I8" s="8">
        <v>0.25</v>
      </c>
    </row>
    <row r="9" spans="2:11" x14ac:dyDescent="0.3">
      <c r="F9" s="2" t="s">
        <v>11</v>
      </c>
      <c r="G9" s="9">
        <f>PMT(G8,B6,G4)</f>
        <v>-369069.76744186052</v>
      </c>
      <c r="H9" s="2"/>
      <c r="I9" s="2"/>
    </row>
    <row r="11" spans="2:11" x14ac:dyDescent="0.3">
      <c r="F11" s="2" t="s">
        <v>58</v>
      </c>
      <c r="G11" s="46">
        <f>IRR(J4:J6)</f>
        <v>0.5861222942225115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2DB8-DDDF-4338-8B69-318A6255ED1A}">
  <dimension ref="B2:N83"/>
  <sheetViews>
    <sheetView topLeftCell="A15" workbookViewId="0">
      <selection activeCell="J6" sqref="J6"/>
    </sheetView>
  </sheetViews>
  <sheetFormatPr defaultColWidth="11.5546875" defaultRowHeight="14.4" x14ac:dyDescent="0.3"/>
  <cols>
    <col min="1" max="2" width="11.5546875" style="42"/>
    <col min="3" max="3" width="13.5546875" style="42" bestFit="1" customWidth="1"/>
    <col min="4" max="5" width="13.5546875" style="42" customWidth="1"/>
    <col min="6" max="7" width="11.5546875" style="42"/>
    <col min="8" max="8" width="13.6640625" style="42" bestFit="1" customWidth="1"/>
    <col min="9" max="9" width="12.88671875" style="42" bestFit="1" customWidth="1"/>
    <col min="10" max="10" width="16" style="42" bestFit="1" customWidth="1"/>
    <col min="11" max="11" width="11.5546875" style="42"/>
    <col min="12" max="12" width="18.21875" style="42" bestFit="1" customWidth="1"/>
    <col min="13" max="13" width="13.21875" style="42" bestFit="1" customWidth="1"/>
    <col min="14" max="16384" width="11.5546875" style="42"/>
  </cols>
  <sheetData>
    <row r="2" spans="2:14" ht="28.8" x14ac:dyDescent="0.55000000000000004">
      <c r="B2" s="1" t="s">
        <v>95</v>
      </c>
      <c r="C2" s="37"/>
      <c r="E2" s="37"/>
    </row>
    <row r="4" spans="2:14" x14ac:dyDescent="0.3">
      <c r="B4" s="57" t="s">
        <v>96</v>
      </c>
      <c r="C4" s="55"/>
      <c r="E4" s="55"/>
      <c r="F4" s="57" t="s">
        <v>105</v>
      </c>
      <c r="H4" s="42" t="s">
        <v>12</v>
      </c>
      <c r="I4" s="42" t="s">
        <v>12</v>
      </c>
    </row>
    <row r="5" spans="2:14" x14ac:dyDescent="0.3">
      <c r="B5" s="40" t="s">
        <v>97</v>
      </c>
      <c r="C5" s="15">
        <v>-11999</v>
      </c>
      <c r="D5" s="42" t="s">
        <v>101</v>
      </c>
      <c r="F5" s="42" t="s">
        <v>15</v>
      </c>
      <c r="G5" s="39" t="s">
        <v>97</v>
      </c>
      <c r="H5" s="39" t="s">
        <v>59</v>
      </c>
      <c r="I5" s="39" t="s">
        <v>60</v>
      </c>
      <c r="J5" s="39" t="s">
        <v>106</v>
      </c>
    </row>
    <row r="6" spans="2:14" x14ac:dyDescent="0.3">
      <c r="B6" s="40" t="s">
        <v>98</v>
      </c>
      <c r="C6" s="8">
        <v>0.5</v>
      </c>
      <c r="F6" s="42">
        <v>1</v>
      </c>
      <c r="G6" s="44">
        <f>$C$5</f>
        <v>-11999</v>
      </c>
      <c r="H6" s="44">
        <f>-PPMT($C$10,F6,$C$12,$M$6)</f>
        <v>-7010.6735497285608</v>
      </c>
      <c r="I6" s="44">
        <f>-IPMT($C$10,F6,$C$12,$M$6)</f>
        <v>-4988.3264502714392</v>
      </c>
      <c r="J6" s="44">
        <f>H6+1.16*I6</f>
        <v>-12797.13223204343</v>
      </c>
      <c r="L6" s="42" t="s">
        <v>108</v>
      </c>
      <c r="M6" s="44">
        <f>NPV(C10,G6:G77)</f>
        <v>-665850.02673256141</v>
      </c>
      <c r="N6" s="42" t="s">
        <v>109</v>
      </c>
    </row>
    <row r="7" spans="2:14" x14ac:dyDescent="0.3">
      <c r="B7" s="40" t="s">
        <v>99</v>
      </c>
      <c r="C7" s="41">
        <v>9.1999999999999998E-2</v>
      </c>
      <c r="D7" s="42" t="s">
        <v>45</v>
      </c>
      <c r="F7" s="42">
        <v>2</v>
      </c>
      <c r="G7" s="44">
        <f t="shared" ref="G7:G70" si="0">$C$5</f>
        <v>-11999</v>
      </c>
      <c r="H7" s="44">
        <f t="shared" ref="H7:H70" si="1">-PPMT($C$10,F7,$C$12,$M$6)</f>
        <v>-7063.1951790719431</v>
      </c>
      <c r="I7" s="44">
        <f t="shared" ref="I7:I70" si="2">-IPMT($C$10,F7,$C$12,$M$6)</f>
        <v>-4935.8048209280569</v>
      </c>
      <c r="J7" s="44">
        <f>G7+1.16*I7</f>
        <v>-17724.533592276544</v>
      </c>
      <c r="L7" s="42" t="s">
        <v>110</v>
      </c>
      <c r="M7" s="44">
        <f>2*M6</f>
        <v>-1331700.0534651228</v>
      </c>
      <c r="N7" s="42" t="s">
        <v>111</v>
      </c>
    </row>
    <row r="8" spans="2:14" x14ac:dyDescent="0.3">
      <c r="B8" s="40" t="s">
        <v>100</v>
      </c>
      <c r="C8" s="36">
        <v>8.9899999999999994E-2</v>
      </c>
      <c r="D8" s="42" t="s">
        <v>45</v>
      </c>
      <c r="F8" s="42">
        <v>3</v>
      </c>
      <c r="G8" s="44">
        <f t="shared" si="0"/>
        <v>-11999</v>
      </c>
      <c r="H8" s="44">
        <f t="shared" si="1"/>
        <v>-7116.1102829551564</v>
      </c>
      <c r="I8" s="44">
        <f t="shared" si="2"/>
        <v>-4882.8897170448427</v>
      </c>
      <c r="J8" s="44">
        <f t="shared" ref="J8:J70" si="3">G8+1.16*I8</f>
        <v>-17663.152071772016</v>
      </c>
      <c r="K8" s="34"/>
      <c r="L8" s="34" t="s">
        <v>112</v>
      </c>
      <c r="M8" s="44">
        <f>SUM(I6:I77)</f>
        <v>-198077.97326743853</v>
      </c>
      <c r="N8" s="44" t="s">
        <v>113</v>
      </c>
    </row>
    <row r="9" spans="2:14" x14ac:dyDescent="0.3">
      <c r="B9" s="40" t="s">
        <v>102</v>
      </c>
      <c r="C9" s="58">
        <v>12</v>
      </c>
      <c r="F9" s="42">
        <v>4</v>
      </c>
      <c r="G9" s="44">
        <f t="shared" si="0"/>
        <v>-11999</v>
      </c>
      <c r="H9" s="44">
        <f t="shared" si="1"/>
        <v>-7169.4218091582961</v>
      </c>
      <c r="I9" s="44">
        <f t="shared" si="2"/>
        <v>-4829.5781908417039</v>
      </c>
      <c r="J9" s="44">
        <f t="shared" si="3"/>
        <v>-17601.310701376377</v>
      </c>
      <c r="K9" s="34"/>
      <c r="L9" s="34"/>
      <c r="M9" s="45"/>
    </row>
    <row r="10" spans="2:14" x14ac:dyDescent="0.3">
      <c r="B10" s="40" t="s">
        <v>103</v>
      </c>
      <c r="C10" s="41">
        <f>C8/C9</f>
        <v>7.4916666666666664E-3</v>
      </c>
      <c r="F10" s="42">
        <v>5</v>
      </c>
      <c r="G10" s="44">
        <f t="shared" si="0"/>
        <v>-11999</v>
      </c>
      <c r="H10" s="44">
        <f t="shared" si="1"/>
        <v>-7223.1327275452404</v>
      </c>
      <c r="I10" s="44">
        <f t="shared" si="2"/>
        <v>-4775.8672724547596</v>
      </c>
      <c r="J10" s="44">
        <f t="shared" si="3"/>
        <v>-17539.006036047522</v>
      </c>
      <c r="K10" s="34"/>
      <c r="L10" s="34"/>
      <c r="M10" s="45"/>
    </row>
    <row r="11" spans="2:14" x14ac:dyDescent="0.3">
      <c r="B11" s="40" t="s">
        <v>104</v>
      </c>
      <c r="C11" s="59">
        <v>0.16</v>
      </c>
      <c r="D11" s="56"/>
      <c r="F11" s="42">
        <v>6</v>
      </c>
      <c r="G11" s="44">
        <f t="shared" si="0"/>
        <v>-11999</v>
      </c>
      <c r="H11" s="44">
        <f t="shared" si="1"/>
        <v>-7277.2460302291001</v>
      </c>
      <c r="I11" s="44">
        <f t="shared" si="2"/>
        <v>-4721.7539697708989</v>
      </c>
      <c r="J11" s="44">
        <f t="shared" si="3"/>
        <v>-17476.234604934241</v>
      </c>
      <c r="K11" s="35"/>
      <c r="L11" s="34"/>
      <c r="M11" s="45"/>
    </row>
    <row r="12" spans="2:14" x14ac:dyDescent="0.3">
      <c r="B12" s="40" t="s">
        <v>107</v>
      </c>
      <c r="C12" s="60">
        <v>72</v>
      </c>
      <c r="D12" s="56"/>
      <c r="E12" s="44"/>
      <c r="F12" s="42">
        <v>7</v>
      </c>
      <c r="G12" s="44">
        <f t="shared" si="0"/>
        <v>-11999</v>
      </c>
      <c r="H12" s="44">
        <f t="shared" si="1"/>
        <v>-7331.764731738901</v>
      </c>
      <c r="I12" s="44">
        <f t="shared" si="2"/>
        <v>-4667.235268261099</v>
      </c>
      <c r="J12" s="44">
        <f t="shared" si="3"/>
        <v>-17412.992911182875</v>
      </c>
      <c r="K12" s="34"/>
      <c r="L12" s="34"/>
      <c r="M12" s="45"/>
    </row>
    <row r="13" spans="2:14" x14ac:dyDescent="0.3">
      <c r="C13" s="56"/>
      <c r="D13" s="56"/>
      <c r="E13" s="44"/>
      <c r="F13" s="42">
        <v>8</v>
      </c>
      <c r="G13" s="44">
        <f t="shared" si="0"/>
        <v>-11999</v>
      </c>
      <c r="H13" s="44">
        <f t="shared" si="1"/>
        <v>-7386.6918691875107</v>
      </c>
      <c r="I13" s="44">
        <f t="shared" si="2"/>
        <v>-4612.3081308124893</v>
      </c>
      <c r="J13" s="44">
        <f t="shared" si="3"/>
        <v>-17349.277431742488</v>
      </c>
      <c r="K13" s="34"/>
      <c r="L13" s="34"/>
      <c r="M13" s="45"/>
    </row>
    <row r="14" spans="2:14" x14ac:dyDescent="0.3">
      <c r="C14" s="56"/>
      <c r="D14" s="56"/>
      <c r="E14" s="44"/>
      <c r="F14" s="42">
        <v>9</v>
      </c>
      <c r="G14" s="44">
        <f t="shared" si="0"/>
        <v>-11999</v>
      </c>
      <c r="H14" s="44">
        <f t="shared" si="1"/>
        <v>-7442.0305024408399</v>
      </c>
      <c r="I14" s="44">
        <f t="shared" si="2"/>
        <v>-4556.9694975591592</v>
      </c>
      <c r="J14" s="44">
        <f t="shared" si="3"/>
        <v>-17285.084617168624</v>
      </c>
      <c r="K14" s="34"/>
      <c r="L14" s="34"/>
      <c r="M14" s="45"/>
    </row>
    <row r="15" spans="2:14" x14ac:dyDescent="0.3">
      <c r="C15" s="56"/>
      <c r="D15" s="56"/>
      <c r="E15" s="44"/>
      <c r="F15" s="42">
        <v>10</v>
      </c>
      <c r="G15" s="44">
        <f t="shared" si="0"/>
        <v>-11999</v>
      </c>
      <c r="H15" s="44">
        <f t="shared" si="1"/>
        <v>-7497.7837142882927</v>
      </c>
      <c r="I15" s="44">
        <f t="shared" si="2"/>
        <v>-4501.2162857117073</v>
      </c>
      <c r="J15" s="44">
        <f t="shared" si="3"/>
        <v>-17220.410891425581</v>
      </c>
      <c r="K15" s="34"/>
      <c r="L15" s="34"/>
      <c r="M15" s="45"/>
    </row>
    <row r="16" spans="2:14" x14ac:dyDescent="0.3">
      <c r="C16" s="56"/>
      <c r="D16" s="56"/>
      <c r="E16" s="44"/>
      <c r="F16" s="42">
        <v>11</v>
      </c>
      <c r="G16" s="44">
        <f t="shared" si="0"/>
        <v>-11999</v>
      </c>
      <c r="H16" s="44">
        <f t="shared" si="1"/>
        <v>-7553.9546106145026</v>
      </c>
      <c r="I16" s="44">
        <f t="shared" si="2"/>
        <v>-4445.0453893854965</v>
      </c>
      <c r="J16" s="44">
        <f t="shared" si="3"/>
        <v>-17155.252651687177</v>
      </c>
      <c r="K16" s="34"/>
      <c r="L16" s="34"/>
      <c r="M16" s="45"/>
    </row>
    <row r="17" spans="3:13" x14ac:dyDescent="0.3">
      <c r="C17" s="56"/>
      <c r="D17" s="56"/>
      <c r="E17" s="44"/>
      <c r="F17" s="42">
        <v>12</v>
      </c>
      <c r="G17" s="44">
        <f t="shared" si="0"/>
        <v>-11999</v>
      </c>
      <c r="H17" s="44">
        <f t="shared" si="1"/>
        <v>-7610.5463205723563</v>
      </c>
      <c r="I17" s="44">
        <f t="shared" si="2"/>
        <v>-4388.4536794276437</v>
      </c>
      <c r="J17" s="44">
        <f t="shared" si="3"/>
        <v>-17089.606268136067</v>
      </c>
      <c r="K17" s="34"/>
      <c r="L17" s="34"/>
      <c r="M17" s="45"/>
    </row>
    <row r="18" spans="3:13" x14ac:dyDescent="0.3">
      <c r="C18" s="56"/>
      <c r="D18" s="56"/>
      <c r="E18" s="44"/>
      <c r="F18" s="42">
        <v>13</v>
      </c>
      <c r="G18" s="44">
        <f t="shared" si="0"/>
        <v>-11999</v>
      </c>
      <c r="H18" s="44">
        <f t="shared" si="1"/>
        <v>-7667.5619967573102</v>
      </c>
      <c r="I18" s="44">
        <f t="shared" si="2"/>
        <v>-4331.4380032426898</v>
      </c>
      <c r="J18" s="44">
        <f t="shared" si="3"/>
        <v>-17023.46808376152</v>
      </c>
      <c r="K18" s="34"/>
      <c r="L18" s="34"/>
      <c r="M18" s="45"/>
    </row>
    <row r="19" spans="3:13" x14ac:dyDescent="0.3">
      <c r="C19" s="56"/>
      <c r="D19" s="56"/>
      <c r="E19" s="44"/>
      <c r="F19" s="42">
        <v>14</v>
      </c>
      <c r="G19" s="44">
        <f t="shared" si="0"/>
        <v>-11999</v>
      </c>
      <c r="H19" s="44">
        <f t="shared" si="1"/>
        <v>-7725.0048153830176</v>
      </c>
      <c r="I19" s="44">
        <f t="shared" si="2"/>
        <v>-4273.9951846169824</v>
      </c>
      <c r="J19" s="44">
        <f t="shared" si="3"/>
        <v>-16956.834414155699</v>
      </c>
      <c r="K19" s="34"/>
      <c r="L19" s="34"/>
      <c r="M19" s="45"/>
    </row>
    <row r="20" spans="3:13" x14ac:dyDescent="0.3">
      <c r="C20" s="56"/>
      <c r="D20" s="56"/>
      <c r="E20" s="44"/>
      <c r="F20" s="42">
        <v>15</v>
      </c>
      <c r="G20" s="44">
        <f t="shared" si="0"/>
        <v>-11999</v>
      </c>
      <c r="H20" s="44">
        <f t="shared" si="1"/>
        <v>-7782.8779764582623</v>
      </c>
      <c r="I20" s="44">
        <f t="shared" si="2"/>
        <v>-4216.1220235417368</v>
      </c>
      <c r="J20" s="44">
        <f t="shared" si="3"/>
        <v>-16889.701547308414</v>
      </c>
      <c r="K20" s="34"/>
      <c r="L20" s="34"/>
      <c r="M20" s="45"/>
    </row>
    <row r="21" spans="3:13" x14ac:dyDescent="0.3">
      <c r="C21" s="56"/>
      <c r="D21" s="56"/>
      <c r="E21" s="44"/>
      <c r="F21" s="42">
        <v>16</v>
      </c>
      <c r="G21" s="44">
        <f t="shared" si="0"/>
        <v>-11999</v>
      </c>
      <c r="H21" s="44">
        <f t="shared" si="1"/>
        <v>-7841.1847039652284</v>
      </c>
      <c r="I21" s="44">
        <f t="shared" si="2"/>
        <v>-4157.8152960347707</v>
      </c>
      <c r="J21" s="44">
        <f t="shared" si="3"/>
        <v>-16822.065743400333</v>
      </c>
      <c r="K21" s="34"/>
      <c r="L21" s="34"/>
      <c r="M21" s="45"/>
    </row>
    <row r="22" spans="3:13" x14ac:dyDescent="0.3">
      <c r="C22" s="56"/>
      <c r="D22" s="56"/>
      <c r="E22" s="44"/>
      <c r="F22" s="42">
        <v>17</v>
      </c>
      <c r="G22" s="44">
        <f t="shared" si="0"/>
        <v>-11999</v>
      </c>
      <c r="H22" s="44">
        <f t="shared" si="1"/>
        <v>-7899.9282460391014</v>
      </c>
      <c r="I22" s="44">
        <f t="shared" si="2"/>
        <v>-4099.0717539608986</v>
      </c>
      <c r="J22" s="44">
        <f t="shared" si="3"/>
        <v>-16753.923234594644</v>
      </c>
      <c r="K22" s="34"/>
      <c r="L22" s="34"/>
      <c r="M22" s="45"/>
    </row>
    <row r="23" spans="3:13" x14ac:dyDescent="0.3">
      <c r="C23" s="56"/>
      <c r="D23" s="56"/>
      <c r="E23" s="44"/>
      <c r="F23" s="42">
        <v>18</v>
      </c>
      <c r="G23" s="44">
        <f t="shared" si="0"/>
        <v>-11999</v>
      </c>
      <c r="H23" s="44">
        <f t="shared" si="1"/>
        <v>-7959.1118751490112</v>
      </c>
      <c r="I23" s="44">
        <f t="shared" si="2"/>
        <v>-4039.8881248509879</v>
      </c>
      <c r="J23" s="44">
        <f t="shared" si="3"/>
        <v>-16685.270224827145</v>
      </c>
      <c r="K23" s="34"/>
      <c r="L23" s="34"/>
      <c r="M23" s="45"/>
    </row>
    <row r="24" spans="3:13" x14ac:dyDescent="0.3">
      <c r="C24" s="56"/>
      <c r="D24" s="56"/>
      <c r="E24" s="44"/>
      <c r="F24" s="42">
        <v>19</v>
      </c>
      <c r="G24" s="44">
        <f t="shared" si="0"/>
        <v>-11999</v>
      </c>
      <c r="H24" s="44">
        <f t="shared" si="1"/>
        <v>-8018.7388882803361</v>
      </c>
      <c r="I24" s="44">
        <f t="shared" si="2"/>
        <v>-3980.2611117196639</v>
      </c>
      <c r="J24" s="44">
        <f t="shared" si="3"/>
        <v>-16616.102889594811</v>
      </c>
      <c r="K24" s="34"/>
      <c r="L24" s="34"/>
      <c r="M24" s="45"/>
    </row>
    <row r="25" spans="3:13" x14ac:dyDescent="0.3">
      <c r="C25" s="56"/>
      <c r="D25" s="56"/>
      <c r="E25" s="44"/>
      <c r="F25" s="42">
        <v>20</v>
      </c>
      <c r="G25" s="44">
        <f t="shared" si="0"/>
        <v>-11999</v>
      </c>
      <c r="H25" s="44">
        <f t="shared" si="1"/>
        <v>-8078.8126071183688</v>
      </c>
      <c r="I25" s="44">
        <f t="shared" si="2"/>
        <v>-3920.1873928816303</v>
      </c>
      <c r="J25" s="44">
        <f t="shared" si="3"/>
        <v>-16546.417375742691</v>
      </c>
      <c r="K25" s="34"/>
      <c r="L25" s="34"/>
      <c r="M25" s="45"/>
    </row>
    <row r="26" spans="3:13" x14ac:dyDescent="0.3">
      <c r="C26" s="56"/>
      <c r="D26" s="56"/>
      <c r="E26" s="44"/>
      <c r="F26" s="42">
        <v>21</v>
      </c>
      <c r="G26" s="44">
        <f t="shared" si="0"/>
        <v>-11999</v>
      </c>
      <c r="H26" s="44">
        <f t="shared" si="1"/>
        <v>-8139.3363782333636</v>
      </c>
      <c r="I26" s="44">
        <f t="shared" si="2"/>
        <v>-3859.6636217666351</v>
      </c>
      <c r="J26" s="44">
        <f t="shared" si="3"/>
        <v>-16476.209801249297</v>
      </c>
      <c r="K26" s="34"/>
      <c r="L26" s="34"/>
      <c r="M26" s="45"/>
    </row>
    <row r="27" spans="3:13" x14ac:dyDescent="0.3">
      <c r="C27" s="56"/>
      <c r="D27" s="56"/>
      <c r="E27" s="44"/>
      <c r="F27" s="42">
        <v>22</v>
      </c>
      <c r="G27" s="44">
        <f t="shared" si="0"/>
        <v>-11999</v>
      </c>
      <c r="H27" s="44">
        <f t="shared" si="1"/>
        <v>-8200.3135732669634</v>
      </c>
      <c r="I27" s="44">
        <f t="shared" si="2"/>
        <v>-3798.686426733037</v>
      </c>
      <c r="J27" s="44">
        <f t="shared" si="3"/>
        <v>-16405.476255010322</v>
      </c>
      <c r="K27" s="34"/>
      <c r="L27" s="34"/>
      <c r="M27" s="45"/>
    </row>
    <row r="28" spans="3:13" x14ac:dyDescent="0.3">
      <c r="C28" s="56"/>
      <c r="D28" s="56"/>
      <c r="E28" s="44"/>
      <c r="F28" s="42">
        <v>23</v>
      </c>
      <c r="G28" s="44">
        <f t="shared" si="0"/>
        <v>-11999</v>
      </c>
      <c r="H28" s="44">
        <f t="shared" si="1"/>
        <v>-8261.7475891200211</v>
      </c>
      <c r="I28" s="44">
        <f t="shared" si="2"/>
        <v>-3737.2524108799789</v>
      </c>
      <c r="J28" s="44">
        <f t="shared" si="3"/>
        <v>-16334.212796620775</v>
      </c>
      <c r="K28" s="34"/>
      <c r="L28" s="34"/>
      <c r="M28" s="45"/>
    </row>
    <row r="29" spans="3:13" x14ac:dyDescent="0.3">
      <c r="C29" s="56"/>
      <c r="D29" s="56"/>
      <c r="E29" s="44"/>
      <c r="F29" s="42">
        <v>24</v>
      </c>
      <c r="G29" s="44">
        <f t="shared" si="0"/>
        <v>-11999</v>
      </c>
      <c r="H29" s="44">
        <f t="shared" si="1"/>
        <v>-8323.6418481418459</v>
      </c>
      <c r="I29" s="44">
        <f t="shared" si="2"/>
        <v>-3675.358151858155</v>
      </c>
      <c r="J29" s="44">
        <f t="shared" si="3"/>
        <v>-16262.415456155461</v>
      </c>
      <c r="K29" s="34"/>
      <c r="L29" s="34"/>
      <c r="M29" s="45"/>
    </row>
    <row r="30" spans="3:13" x14ac:dyDescent="0.3">
      <c r="C30" s="56"/>
      <c r="D30" s="56"/>
      <c r="E30" s="44"/>
      <c r="F30" s="42">
        <v>25</v>
      </c>
      <c r="G30" s="44">
        <f t="shared" si="0"/>
        <v>-11999</v>
      </c>
      <c r="H30" s="44">
        <f t="shared" si="1"/>
        <v>-8385.9997983208414</v>
      </c>
      <c r="I30" s="44">
        <f t="shared" si="2"/>
        <v>-3613.0002016791586</v>
      </c>
      <c r="J30" s="44">
        <f t="shared" si="3"/>
        <v>-16190.080233947825</v>
      </c>
      <c r="K30" s="34"/>
      <c r="L30" s="34"/>
      <c r="M30" s="45"/>
    </row>
    <row r="31" spans="3:13" x14ac:dyDescent="0.3">
      <c r="C31" s="56"/>
      <c r="D31" s="56"/>
      <c r="E31" s="44"/>
      <c r="F31" s="42">
        <v>26</v>
      </c>
      <c r="G31" s="44">
        <f t="shared" si="0"/>
        <v>-11999</v>
      </c>
      <c r="H31" s="44">
        <f t="shared" si="1"/>
        <v>-8448.8249134765956</v>
      </c>
      <c r="I31" s="44">
        <f t="shared" si="2"/>
        <v>-3550.1750865234048</v>
      </c>
      <c r="J31" s="44">
        <f t="shared" si="3"/>
        <v>-16117.203100367149</v>
      </c>
      <c r="K31" s="34"/>
      <c r="L31" s="34"/>
      <c r="M31" s="45"/>
    </row>
    <row r="32" spans="3:13" x14ac:dyDescent="0.3">
      <c r="C32" s="56"/>
      <c r="D32" s="56"/>
      <c r="E32" s="44"/>
      <c r="F32" s="42">
        <v>27</v>
      </c>
      <c r="G32" s="44">
        <f t="shared" si="0"/>
        <v>-11999</v>
      </c>
      <c r="H32" s="44">
        <f t="shared" si="1"/>
        <v>-8512.1206934533893</v>
      </c>
      <c r="I32" s="44">
        <f t="shared" si="2"/>
        <v>-3486.8793065466102</v>
      </c>
      <c r="J32" s="44">
        <f t="shared" si="3"/>
        <v>-16043.779995594068</v>
      </c>
      <c r="K32" s="34"/>
      <c r="L32" s="34"/>
      <c r="M32" s="45"/>
    </row>
    <row r="33" spans="3:13" x14ac:dyDescent="0.3">
      <c r="C33" s="56"/>
      <c r="D33" s="56"/>
      <c r="E33" s="44"/>
      <c r="F33" s="42">
        <v>28</v>
      </c>
      <c r="G33" s="44">
        <f t="shared" si="0"/>
        <v>-11999</v>
      </c>
      <c r="H33" s="44">
        <f t="shared" si="1"/>
        <v>-8575.8906643151786</v>
      </c>
      <c r="I33" s="44">
        <f t="shared" si="2"/>
        <v>-3423.109335684821</v>
      </c>
      <c r="J33" s="44">
        <f t="shared" si="3"/>
        <v>-15969.806829394392</v>
      </c>
      <c r="K33" s="34"/>
      <c r="L33" s="34"/>
      <c r="M33" s="45"/>
    </row>
    <row r="34" spans="3:13" x14ac:dyDescent="0.3">
      <c r="C34" s="56"/>
      <c r="D34" s="56"/>
      <c r="E34" s="44"/>
      <c r="F34" s="42">
        <v>29</v>
      </c>
      <c r="G34" s="44">
        <f t="shared" si="0"/>
        <v>-11999</v>
      </c>
      <c r="H34" s="44">
        <f t="shared" si="1"/>
        <v>-8640.1383785420057</v>
      </c>
      <c r="I34" s="44">
        <f t="shared" si="2"/>
        <v>-3358.8616214579929</v>
      </c>
      <c r="J34" s="44">
        <f t="shared" si="3"/>
        <v>-15895.279480891271</v>
      </c>
      <c r="K34" s="34"/>
      <c r="L34" s="34"/>
      <c r="M34" s="45"/>
    </row>
    <row r="35" spans="3:13" x14ac:dyDescent="0.3">
      <c r="C35" s="56"/>
      <c r="D35" s="56"/>
      <c r="E35" s="44"/>
      <c r="F35" s="42">
        <v>30</v>
      </c>
      <c r="G35" s="44">
        <f t="shared" si="0"/>
        <v>-11999</v>
      </c>
      <c r="H35" s="44">
        <f t="shared" si="1"/>
        <v>-8704.8674152279164</v>
      </c>
      <c r="I35" s="44">
        <f t="shared" si="2"/>
        <v>-3294.1325847720832</v>
      </c>
      <c r="J35" s="44">
        <f t="shared" si="3"/>
        <v>-15820.193798335617</v>
      </c>
      <c r="K35" s="34"/>
      <c r="L35" s="34"/>
      <c r="M35" s="45"/>
    </row>
    <row r="36" spans="3:13" x14ac:dyDescent="0.3">
      <c r="C36" s="56"/>
      <c r="D36" s="56"/>
      <c r="E36" s="44"/>
      <c r="F36" s="42">
        <v>31</v>
      </c>
      <c r="G36" s="44">
        <f t="shared" si="0"/>
        <v>-11999</v>
      </c>
      <c r="H36" s="44">
        <f t="shared" si="1"/>
        <v>-8770.0813802803332</v>
      </c>
      <c r="I36" s="44">
        <f t="shared" si="2"/>
        <v>-3228.9186197196673</v>
      </c>
      <c r="J36" s="44">
        <f t="shared" si="3"/>
        <v>-15744.545598874814</v>
      </c>
      <c r="K36" s="34"/>
      <c r="L36" s="34"/>
      <c r="M36" s="45"/>
    </row>
    <row r="37" spans="3:13" x14ac:dyDescent="0.3">
      <c r="C37" s="56"/>
      <c r="D37" s="56"/>
      <c r="E37" s="44"/>
      <c r="F37" s="42">
        <v>32</v>
      </c>
      <c r="G37" s="44">
        <f t="shared" si="0"/>
        <v>-11999</v>
      </c>
      <c r="H37" s="44">
        <f t="shared" si="1"/>
        <v>-8835.7839066209326</v>
      </c>
      <c r="I37" s="44">
        <f t="shared" si="2"/>
        <v>-3163.2160933790674</v>
      </c>
      <c r="J37" s="44">
        <f t="shared" si="3"/>
        <v>-15668.330668319719</v>
      </c>
      <c r="K37" s="34"/>
      <c r="L37" s="34"/>
      <c r="M37" s="45"/>
    </row>
    <row r="38" spans="3:13" x14ac:dyDescent="0.3">
      <c r="C38" s="56"/>
      <c r="D38" s="56"/>
      <c r="E38" s="44"/>
      <c r="F38" s="42">
        <v>33</v>
      </c>
      <c r="G38" s="44">
        <f t="shared" si="0"/>
        <v>-11999</v>
      </c>
      <c r="H38" s="44">
        <f t="shared" si="1"/>
        <v>-8901.9786543880346</v>
      </c>
      <c r="I38" s="44">
        <f t="shared" si="2"/>
        <v>-3097.0213456119645</v>
      </c>
      <c r="J38" s="44">
        <f t="shared" si="3"/>
        <v>-15591.544760909879</v>
      </c>
      <c r="K38" s="34"/>
      <c r="L38" s="34"/>
      <c r="M38" s="45"/>
    </row>
    <row r="39" spans="3:13" x14ac:dyDescent="0.3">
      <c r="C39" s="56"/>
      <c r="D39" s="56"/>
      <c r="E39" s="44"/>
      <c r="F39" s="42">
        <v>34</v>
      </c>
      <c r="G39" s="44">
        <f t="shared" si="0"/>
        <v>-11999</v>
      </c>
      <c r="H39" s="44">
        <f t="shared" si="1"/>
        <v>-8968.6693111404929</v>
      </c>
      <c r="I39" s="44">
        <f t="shared" si="2"/>
        <v>-3030.330688859508</v>
      </c>
      <c r="J39" s="44">
        <f t="shared" si="3"/>
        <v>-15514.183599077029</v>
      </c>
      <c r="K39" s="34"/>
      <c r="L39" s="34"/>
      <c r="M39" s="45"/>
    </row>
    <row r="40" spans="3:13" x14ac:dyDescent="0.3">
      <c r="C40" s="56"/>
      <c r="D40" s="56"/>
      <c r="E40" s="44"/>
      <c r="F40" s="42">
        <v>35</v>
      </c>
      <c r="G40" s="44">
        <f t="shared" si="0"/>
        <v>-11999</v>
      </c>
      <c r="H40" s="44">
        <f t="shared" si="1"/>
        <v>-9035.8595920631196</v>
      </c>
      <c r="I40" s="44">
        <f t="shared" si="2"/>
        <v>-2963.1404079368799</v>
      </c>
      <c r="J40" s="44">
        <f t="shared" si="3"/>
        <v>-15436.24287320678</v>
      </c>
      <c r="K40" s="34"/>
      <c r="L40" s="34"/>
      <c r="M40" s="45"/>
    </row>
    <row r="41" spans="3:13" x14ac:dyDescent="0.3">
      <c r="C41" s="56"/>
      <c r="D41" s="56"/>
      <c r="E41" s="44"/>
      <c r="F41" s="42">
        <v>36</v>
      </c>
      <c r="G41" s="44">
        <f t="shared" si="0"/>
        <v>-11999</v>
      </c>
      <c r="H41" s="44">
        <f t="shared" si="1"/>
        <v>-9103.55324017366</v>
      </c>
      <c r="I41" s="44">
        <f t="shared" si="2"/>
        <v>-2895.4467598263409</v>
      </c>
      <c r="J41" s="44">
        <f t="shared" si="3"/>
        <v>-15357.718241398556</v>
      </c>
      <c r="K41" s="34"/>
      <c r="L41" s="34"/>
      <c r="M41" s="45"/>
    </row>
    <row r="42" spans="3:13" x14ac:dyDescent="0.3">
      <c r="C42" s="56"/>
      <c r="D42" s="56"/>
      <c r="E42" s="44"/>
      <c r="F42" s="42">
        <v>37</v>
      </c>
      <c r="G42" s="44">
        <f t="shared" si="0"/>
        <v>-11999</v>
      </c>
      <c r="H42" s="44">
        <f t="shared" si="1"/>
        <v>-9171.7540265312928</v>
      </c>
      <c r="I42" s="44">
        <f t="shared" si="2"/>
        <v>-2827.2459734687063</v>
      </c>
      <c r="J42" s="44">
        <f t="shared" si="3"/>
        <v>-15278.605329223699</v>
      </c>
      <c r="K42" s="34"/>
      <c r="L42" s="34"/>
      <c r="M42" s="45"/>
    </row>
    <row r="43" spans="3:13" x14ac:dyDescent="0.3">
      <c r="C43" s="56"/>
      <c r="D43" s="56"/>
      <c r="E43" s="44"/>
      <c r="F43" s="42">
        <v>38</v>
      </c>
      <c r="G43" s="44">
        <f t="shared" si="0"/>
        <v>-11999</v>
      </c>
      <c r="H43" s="44">
        <f t="shared" si="1"/>
        <v>-9240.4657504467214</v>
      </c>
      <c r="I43" s="44">
        <f t="shared" si="2"/>
        <v>-2758.5342495532768</v>
      </c>
      <c r="J43" s="44">
        <f t="shared" si="3"/>
        <v>-15198.8997294818</v>
      </c>
      <c r="K43" s="34"/>
      <c r="L43" s="34"/>
      <c r="M43" s="45"/>
    </row>
    <row r="44" spans="3:13" x14ac:dyDescent="0.3">
      <c r="C44" s="56"/>
      <c r="D44" s="56"/>
      <c r="E44" s="44"/>
      <c r="F44" s="42">
        <v>39</v>
      </c>
      <c r="G44" s="44">
        <f t="shared" si="0"/>
        <v>-11999</v>
      </c>
      <c r="H44" s="44">
        <f t="shared" si="1"/>
        <v>-9309.6922396938189</v>
      </c>
      <c r="I44" s="44">
        <f t="shared" si="2"/>
        <v>-2689.3077603061797</v>
      </c>
      <c r="J44" s="44">
        <f t="shared" si="3"/>
        <v>-15118.597001955168</v>
      </c>
      <c r="K44" s="34"/>
      <c r="L44" s="34"/>
      <c r="M44" s="45"/>
    </row>
    <row r="45" spans="3:13" x14ac:dyDescent="0.3">
      <c r="C45" s="56"/>
      <c r="D45" s="56"/>
      <c r="E45" s="44"/>
      <c r="F45" s="42">
        <v>40</v>
      </c>
      <c r="G45" s="44">
        <f t="shared" si="0"/>
        <v>-11999</v>
      </c>
      <c r="H45" s="44">
        <f t="shared" si="1"/>
        <v>-9379.4373507228593</v>
      </c>
      <c r="I45" s="44">
        <f t="shared" si="2"/>
        <v>-2619.5626492771398</v>
      </c>
      <c r="J45" s="44">
        <f t="shared" si="3"/>
        <v>-15037.692673161482</v>
      </c>
      <c r="K45" s="34"/>
      <c r="L45" s="34"/>
      <c r="M45" s="45"/>
    </row>
    <row r="46" spans="3:13" x14ac:dyDescent="0.3">
      <c r="C46" s="56"/>
      <c r="D46" s="56"/>
      <c r="E46" s="44"/>
      <c r="F46" s="42">
        <v>41</v>
      </c>
      <c r="G46" s="44">
        <f t="shared" si="0"/>
        <v>-11999</v>
      </c>
      <c r="H46" s="44">
        <f t="shared" si="1"/>
        <v>-9449.7049688753577</v>
      </c>
      <c r="I46" s="44">
        <f t="shared" si="2"/>
        <v>-2549.2950311246414</v>
      </c>
      <c r="J46" s="44">
        <f t="shared" si="3"/>
        <v>-14956.182236104583</v>
      </c>
      <c r="K46" s="34"/>
      <c r="L46" s="34"/>
      <c r="M46" s="45"/>
    </row>
    <row r="47" spans="3:13" x14ac:dyDescent="0.3">
      <c r="C47" s="56"/>
      <c r="D47" s="56"/>
      <c r="E47" s="44"/>
      <c r="F47" s="42">
        <v>42</v>
      </c>
      <c r="G47" s="44">
        <f t="shared" si="0"/>
        <v>-11999</v>
      </c>
      <c r="H47" s="44">
        <f t="shared" si="1"/>
        <v>-9520.4990086005164</v>
      </c>
      <c r="I47" s="44">
        <f t="shared" si="2"/>
        <v>-2478.5009913994836</v>
      </c>
      <c r="J47" s="44">
        <f t="shared" si="3"/>
        <v>-14874.061150023401</v>
      </c>
      <c r="K47" s="34"/>
      <c r="L47" s="34"/>
      <c r="M47" s="45"/>
    </row>
    <row r="48" spans="3:13" x14ac:dyDescent="0.3">
      <c r="C48" s="56"/>
      <c r="D48" s="56"/>
      <c r="E48" s="44"/>
      <c r="F48" s="42">
        <v>43</v>
      </c>
      <c r="G48" s="44">
        <f t="shared" si="0"/>
        <v>-11999</v>
      </c>
      <c r="H48" s="44">
        <f t="shared" si="1"/>
        <v>-9591.8234136732826</v>
      </c>
      <c r="I48" s="44">
        <f t="shared" si="2"/>
        <v>-2407.1765863267178</v>
      </c>
      <c r="J48" s="44">
        <f t="shared" si="3"/>
        <v>-14791.324840138992</v>
      </c>
      <c r="K48" s="34"/>
      <c r="L48" s="34"/>
      <c r="M48" s="45"/>
    </row>
    <row r="49" spans="3:13" x14ac:dyDescent="0.3">
      <c r="C49" s="56"/>
      <c r="D49" s="56"/>
      <c r="E49" s="44"/>
      <c r="F49" s="42">
        <v>44</v>
      </c>
      <c r="G49" s="44">
        <f t="shared" si="0"/>
        <v>-11999</v>
      </c>
      <c r="H49" s="44">
        <f t="shared" si="1"/>
        <v>-9663.6821574140504</v>
      </c>
      <c r="I49" s="44">
        <f t="shared" si="2"/>
        <v>-2335.3178425859492</v>
      </c>
      <c r="J49" s="44">
        <f t="shared" si="3"/>
        <v>-14707.968697399701</v>
      </c>
      <c r="K49" s="34"/>
      <c r="L49" s="34"/>
      <c r="M49" s="45"/>
    </row>
    <row r="50" spans="3:13" x14ac:dyDescent="0.3">
      <c r="C50" s="56"/>
      <c r="D50" s="56"/>
      <c r="E50" s="44"/>
      <c r="F50" s="42">
        <v>45</v>
      </c>
      <c r="G50" s="44">
        <f t="shared" si="0"/>
        <v>-11999</v>
      </c>
      <c r="H50" s="44">
        <f t="shared" si="1"/>
        <v>-9736.0792429100111</v>
      </c>
      <c r="I50" s="44">
        <f t="shared" si="2"/>
        <v>-2262.9207570899894</v>
      </c>
      <c r="J50" s="44">
        <f t="shared" si="3"/>
        <v>-14623.988078224387</v>
      </c>
      <c r="K50" s="34"/>
      <c r="L50" s="34"/>
      <c r="M50" s="45"/>
    </row>
    <row r="51" spans="3:13" x14ac:dyDescent="0.3">
      <c r="C51" s="56"/>
      <c r="D51" s="56"/>
      <c r="E51" s="44"/>
      <c r="F51" s="42">
        <v>46</v>
      </c>
      <c r="G51" s="44">
        <f t="shared" si="0"/>
        <v>-11999</v>
      </c>
      <c r="H51" s="44">
        <f t="shared" si="1"/>
        <v>-9809.0187032381455</v>
      </c>
      <c r="I51" s="44">
        <f t="shared" si="2"/>
        <v>-2189.9812967618541</v>
      </c>
      <c r="J51" s="44">
        <f t="shared" si="3"/>
        <v>-14539.37830424375</v>
      </c>
      <c r="K51" s="34"/>
      <c r="L51" s="34"/>
      <c r="M51" s="45"/>
    </row>
    <row r="52" spans="3:13" x14ac:dyDescent="0.3">
      <c r="C52" s="56"/>
      <c r="D52" s="56"/>
      <c r="E52" s="44"/>
      <c r="F52" s="42">
        <v>47</v>
      </c>
      <c r="G52" s="44">
        <f t="shared" si="0"/>
        <v>-11999</v>
      </c>
      <c r="H52" s="44">
        <f t="shared" si="1"/>
        <v>-9882.504601689905</v>
      </c>
      <c r="I52" s="44">
        <f t="shared" si="2"/>
        <v>-2116.4953983100954</v>
      </c>
      <c r="J52" s="44">
        <f t="shared" si="3"/>
        <v>-14454.134662039711</v>
      </c>
      <c r="K52" s="34"/>
      <c r="L52" s="34"/>
      <c r="M52" s="45"/>
    </row>
    <row r="53" spans="3:13" x14ac:dyDescent="0.3">
      <c r="C53" s="56"/>
      <c r="D53" s="56"/>
      <c r="E53" s="44"/>
      <c r="F53" s="42">
        <v>48</v>
      </c>
      <c r="G53" s="44">
        <f t="shared" si="0"/>
        <v>-11999</v>
      </c>
      <c r="H53" s="44">
        <f t="shared" si="1"/>
        <v>-9956.5410319975654</v>
      </c>
      <c r="I53" s="44">
        <f t="shared" si="2"/>
        <v>-2042.4589680024353</v>
      </c>
      <c r="J53" s="44">
        <f t="shared" si="3"/>
        <v>-14368.252402882825</v>
      </c>
      <c r="K53" s="34"/>
      <c r="L53" s="34"/>
      <c r="M53" s="45"/>
    </row>
    <row r="54" spans="3:13" x14ac:dyDescent="0.3">
      <c r="C54" s="56"/>
      <c r="D54" s="56"/>
      <c r="E54" s="44"/>
      <c r="F54" s="42">
        <v>49</v>
      </c>
      <c r="G54" s="44">
        <f t="shared" si="0"/>
        <v>-11999</v>
      </c>
      <c r="H54" s="44">
        <f t="shared" si="1"/>
        <v>-10031.13211856228</v>
      </c>
      <c r="I54" s="44">
        <f t="shared" si="2"/>
        <v>-1967.8678814377201</v>
      </c>
      <c r="J54" s="44">
        <f t="shared" si="3"/>
        <v>-14281.726742467756</v>
      </c>
      <c r="K54" s="34"/>
      <c r="L54" s="34"/>
      <c r="M54" s="45"/>
    </row>
    <row r="55" spans="3:13" x14ac:dyDescent="0.3">
      <c r="C55" s="56"/>
      <c r="D55" s="56"/>
      <c r="E55" s="44"/>
      <c r="F55" s="42">
        <v>50</v>
      </c>
      <c r="G55" s="44">
        <f t="shared" si="0"/>
        <v>-11999</v>
      </c>
      <c r="H55" s="44">
        <f t="shared" si="1"/>
        <v>-10106.282016683841</v>
      </c>
      <c r="I55" s="44">
        <f t="shared" si="2"/>
        <v>-1892.7179833161574</v>
      </c>
      <c r="J55" s="44">
        <f t="shared" si="3"/>
        <v>-14194.552860646741</v>
      </c>
      <c r="K55" s="34"/>
      <c r="L55" s="34"/>
      <c r="M55" s="45"/>
    </row>
    <row r="56" spans="3:13" x14ac:dyDescent="0.3">
      <c r="C56" s="56"/>
      <c r="D56" s="56"/>
      <c r="E56" s="44"/>
      <c r="F56" s="42">
        <v>51</v>
      </c>
      <c r="G56" s="44">
        <f t="shared" si="0"/>
        <v>-11999</v>
      </c>
      <c r="H56" s="44">
        <f t="shared" si="1"/>
        <v>-10181.994912792165</v>
      </c>
      <c r="I56" s="44">
        <f t="shared" si="2"/>
        <v>-1817.0050872078345</v>
      </c>
      <c r="J56" s="44">
        <f t="shared" si="3"/>
        <v>-14106.725901161088</v>
      </c>
      <c r="K56" s="34"/>
      <c r="L56" s="34"/>
      <c r="M56" s="45"/>
    </row>
    <row r="57" spans="3:13" x14ac:dyDescent="0.3">
      <c r="C57" s="56"/>
      <c r="D57" s="56"/>
      <c r="E57" s="44"/>
      <c r="F57" s="42">
        <v>52</v>
      </c>
      <c r="G57" s="44">
        <f t="shared" si="0"/>
        <v>-11999</v>
      </c>
      <c r="H57" s="44">
        <f t="shared" si="1"/>
        <v>-10258.275024680499</v>
      </c>
      <c r="I57" s="44">
        <f t="shared" si="2"/>
        <v>-1740.7249753194997</v>
      </c>
      <c r="J57" s="44">
        <f t="shared" si="3"/>
        <v>-14018.24097137062</v>
      </c>
      <c r="K57" s="34"/>
      <c r="L57" s="34"/>
      <c r="M57" s="45"/>
    </row>
    <row r="58" spans="3:13" x14ac:dyDescent="0.3">
      <c r="C58" s="56"/>
      <c r="D58" s="56"/>
      <c r="E58" s="44"/>
      <c r="F58" s="42">
        <v>53</v>
      </c>
      <c r="G58" s="44">
        <f t="shared" si="0"/>
        <v>-11999</v>
      </c>
      <c r="H58" s="44">
        <f t="shared" si="1"/>
        <v>-10335.1266017404</v>
      </c>
      <c r="I58" s="44">
        <f t="shared" si="2"/>
        <v>-1663.8733982596016</v>
      </c>
      <c r="J58" s="44">
        <f t="shared" si="3"/>
        <v>-13929.093141981139</v>
      </c>
      <c r="K58" s="34"/>
      <c r="L58" s="34"/>
      <c r="M58" s="45"/>
    </row>
    <row r="59" spans="3:13" x14ac:dyDescent="0.3">
      <c r="C59" s="56"/>
      <c r="D59" s="56"/>
      <c r="E59" s="44"/>
      <c r="F59" s="42">
        <v>54</v>
      </c>
      <c r="G59" s="44">
        <f t="shared" si="0"/>
        <v>-11999</v>
      </c>
      <c r="H59" s="44">
        <f t="shared" si="1"/>
        <v>-10412.553925198436</v>
      </c>
      <c r="I59" s="44">
        <f t="shared" si="2"/>
        <v>-1586.4460748015631</v>
      </c>
      <c r="J59" s="44">
        <f t="shared" si="3"/>
        <v>-13839.277446769813</v>
      </c>
      <c r="K59" s="34"/>
      <c r="L59" s="34"/>
      <c r="M59" s="45"/>
    </row>
    <row r="60" spans="3:13" x14ac:dyDescent="0.3">
      <c r="C60" s="56"/>
      <c r="D60" s="56"/>
      <c r="E60" s="44"/>
      <c r="F60" s="42">
        <v>55</v>
      </c>
      <c r="G60" s="44">
        <f t="shared" si="0"/>
        <v>-11999</v>
      </c>
      <c r="H60" s="44">
        <f t="shared" si="1"/>
        <v>-10490.561308354714</v>
      </c>
      <c r="I60" s="44">
        <f t="shared" si="2"/>
        <v>-1508.4386916452847</v>
      </c>
      <c r="J60" s="44">
        <f t="shared" si="3"/>
        <v>-13748.78888230853</v>
      </c>
      <c r="K60" s="34"/>
      <c r="L60" s="34"/>
      <c r="M60" s="45"/>
    </row>
    <row r="61" spans="3:13" x14ac:dyDescent="0.3">
      <c r="C61" s="56"/>
      <c r="D61" s="56"/>
      <c r="E61" s="44"/>
      <c r="F61" s="42">
        <v>56</v>
      </c>
      <c r="G61" s="44">
        <f t="shared" si="0"/>
        <v>-11999</v>
      </c>
      <c r="H61" s="44">
        <f t="shared" si="1"/>
        <v>-10569.15309682314</v>
      </c>
      <c r="I61" s="44">
        <f t="shared" si="2"/>
        <v>-1429.8469031768609</v>
      </c>
      <c r="J61" s="44">
        <f t="shared" si="3"/>
        <v>-13657.622407685158</v>
      </c>
      <c r="K61" s="34"/>
      <c r="L61" s="34"/>
      <c r="M61" s="45"/>
    </row>
    <row r="62" spans="3:13" x14ac:dyDescent="0.3">
      <c r="C62" s="56"/>
      <c r="D62" s="56"/>
      <c r="E62" s="44"/>
      <c r="F62" s="42">
        <v>57</v>
      </c>
      <c r="G62" s="44">
        <f t="shared" si="0"/>
        <v>-11999</v>
      </c>
      <c r="H62" s="44">
        <f t="shared" si="1"/>
        <v>-10648.333668773506</v>
      </c>
      <c r="I62" s="44">
        <f t="shared" si="2"/>
        <v>-1350.6663312264943</v>
      </c>
      <c r="J62" s="44">
        <f t="shared" si="3"/>
        <v>-13565.772944222734</v>
      </c>
      <c r="K62" s="34"/>
      <c r="L62" s="34"/>
      <c r="M62" s="45"/>
    </row>
    <row r="63" spans="3:13" x14ac:dyDescent="0.3">
      <c r="C63" s="56"/>
      <c r="D63" s="56"/>
      <c r="E63" s="44"/>
      <c r="F63" s="42">
        <v>58</v>
      </c>
      <c r="G63" s="44">
        <f t="shared" si="0"/>
        <v>-11999</v>
      </c>
      <c r="H63" s="44">
        <f t="shared" si="1"/>
        <v>-10728.107435175401</v>
      </c>
      <c r="I63" s="44">
        <f t="shared" si="2"/>
        <v>-1270.8925648245995</v>
      </c>
      <c r="J63" s="44">
        <f t="shared" si="3"/>
        <v>-13473.235375196535</v>
      </c>
      <c r="K63" s="34"/>
      <c r="L63" s="34"/>
      <c r="M63" s="45"/>
    </row>
    <row r="64" spans="3:13" x14ac:dyDescent="0.3">
      <c r="C64" s="56"/>
      <c r="D64" s="56"/>
      <c r="E64" s="44"/>
      <c r="F64" s="42">
        <v>59</v>
      </c>
      <c r="G64" s="44">
        <f t="shared" si="0"/>
        <v>-11999</v>
      </c>
      <c r="H64" s="44">
        <f t="shared" si="1"/>
        <v>-10808.478840043923</v>
      </c>
      <c r="I64" s="44">
        <f t="shared" si="2"/>
        <v>-1190.5211599560771</v>
      </c>
      <c r="J64" s="44">
        <f t="shared" si="3"/>
        <v>-13380.004545549049</v>
      </c>
      <c r="K64" s="34"/>
      <c r="L64" s="34"/>
      <c r="M64" s="45"/>
    </row>
    <row r="65" spans="3:13" x14ac:dyDescent="0.3">
      <c r="C65" s="56"/>
      <c r="D65" s="56"/>
      <c r="E65" s="44"/>
      <c r="F65" s="42">
        <v>60</v>
      </c>
      <c r="G65" s="44">
        <f t="shared" si="0"/>
        <v>-11999</v>
      </c>
      <c r="H65" s="44">
        <f t="shared" si="1"/>
        <v>-10889.452360687254</v>
      </c>
      <c r="I65" s="44">
        <f t="shared" si="2"/>
        <v>-1109.5476393127478</v>
      </c>
      <c r="J65" s="44">
        <f t="shared" si="3"/>
        <v>-13286.075261602788</v>
      </c>
      <c r="K65" s="34"/>
      <c r="L65" s="34"/>
      <c r="M65" s="45"/>
    </row>
    <row r="66" spans="3:13" x14ac:dyDescent="0.3">
      <c r="C66" s="56"/>
      <c r="D66" s="56"/>
      <c r="E66" s="44"/>
      <c r="F66" s="42">
        <v>61</v>
      </c>
      <c r="G66" s="44">
        <f t="shared" si="0"/>
        <v>-11999</v>
      </c>
      <c r="H66" s="44">
        <f t="shared" si="1"/>
        <v>-10971.032507956066</v>
      </c>
      <c r="I66" s="44">
        <f t="shared" si="2"/>
        <v>-1027.9674920439327</v>
      </c>
      <c r="J66" s="44">
        <f t="shared" si="3"/>
        <v>-13191.442290770961</v>
      </c>
      <c r="K66" s="34"/>
      <c r="L66" s="34"/>
      <c r="M66" s="45"/>
    </row>
    <row r="67" spans="3:13" x14ac:dyDescent="0.3">
      <c r="C67" s="56"/>
      <c r="D67" s="56"/>
      <c r="E67" s="44"/>
      <c r="F67" s="42">
        <v>62</v>
      </c>
      <c r="G67" s="44">
        <f t="shared" si="0"/>
        <v>-11999</v>
      </c>
      <c r="H67" s="44">
        <f t="shared" si="1"/>
        <v>-11053.223826494837</v>
      </c>
      <c r="I67" s="44">
        <f t="shared" si="2"/>
        <v>-945.77617350516175</v>
      </c>
      <c r="J67" s="44">
        <f t="shared" si="3"/>
        <v>-13096.100361265988</v>
      </c>
      <c r="K67" s="34"/>
      <c r="L67" s="34"/>
      <c r="M67" s="45"/>
    </row>
    <row r="68" spans="3:13" x14ac:dyDescent="0.3">
      <c r="C68" s="56"/>
      <c r="D68" s="56"/>
      <c r="E68" s="44"/>
      <c r="F68" s="42">
        <v>63</v>
      </c>
      <c r="G68" s="44">
        <f t="shared" si="0"/>
        <v>-11999</v>
      </c>
      <c r="H68" s="44">
        <f t="shared" si="1"/>
        <v>-11136.030894994996</v>
      </c>
      <c r="I68" s="44">
        <f t="shared" si="2"/>
        <v>-862.96910500500439</v>
      </c>
      <c r="J68" s="44">
        <f t="shared" si="3"/>
        <v>-13000.044161805805</v>
      </c>
      <c r="K68" s="34"/>
      <c r="L68" s="34"/>
      <c r="M68" s="45"/>
    </row>
    <row r="69" spans="3:13" x14ac:dyDescent="0.3">
      <c r="C69" s="56"/>
      <c r="D69" s="56"/>
      <c r="E69" s="44"/>
      <c r="F69" s="42">
        <v>64</v>
      </c>
      <c r="G69" s="44">
        <f t="shared" si="0"/>
        <v>-11999</v>
      </c>
      <c r="H69" s="44">
        <f t="shared" si="1"/>
        <v>-11219.45832645</v>
      </c>
      <c r="I69" s="44">
        <f t="shared" si="2"/>
        <v>-779.54167355000027</v>
      </c>
      <c r="J69" s="44">
        <f t="shared" si="3"/>
        <v>-12903.268341318</v>
      </c>
      <c r="K69" s="34"/>
      <c r="L69" s="34"/>
      <c r="M69" s="45"/>
    </row>
    <row r="70" spans="3:13" x14ac:dyDescent="0.3">
      <c r="C70" s="56"/>
      <c r="D70" s="56"/>
      <c r="E70" s="44"/>
      <c r="F70" s="42">
        <v>65</v>
      </c>
      <c r="G70" s="44">
        <f t="shared" si="0"/>
        <v>-11999</v>
      </c>
      <c r="H70" s="44">
        <f t="shared" si="1"/>
        <v>-11303.51076841232</v>
      </c>
      <c r="I70" s="44">
        <f t="shared" si="2"/>
        <v>-695.48923158767911</v>
      </c>
      <c r="J70" s="44">
        <f t="shared" si="3"/>
        <v>-12805.767508641708</v>
      </c>
      <c r="K70" s="34"/>
      <c r="L70" s="34"/>
      <c r="M70" s="45"/>
    </row>
    <row r="71" spans="3:13" x14ac:dyDescent="0.3">
      <c r="C71" s="56"/>
      <c r="D71" s="56"/>
      <c r="E71" s="44"/>
      <c r="F71" s="42">
        <v>66</v>
      </c>
      <c r="G71" s="44">
        <f t="shared" ref="G71:G77" si="4">$C$5</f>
        <v>-11999</v>
      </c>
      <c r="H71" s="44">
        <f t="shared" ref="H71:H77" si="5">-PPMT($C$10,F71,$C$12,$M$6)</f>
        <v>-11388.192903252342</v>
      </c>
      <c r="I71" s="44">
        <f t="shared" ref="I71:I77" si="6">-IPMT($C$10,F71,$C$12,$M$6)</f>
        <v>-610.80709674765683</v>
      </c>
      <c r="J71" s="44">
        <f t="shared" ref="J71:J77" si="7">G71+1.16*I71</f>
        <v>-12707.536232227281</v>
      </c>
      <c r="K71" s="34"/>
      <c r="L71" s="34"/>
      <c r="M71" s="45"/>
    </row>
    <row r="72" spans="3:13" x14ac:dyDescent="0.3">
      <c r="C72" s="56"/>
      <c r="D72" s="56"/>
      <c r="E72" s="44"/>
      <c r="F72" s="42">
        <v>67</v>
      </c>
      <c r="G72" s="44">
        <f t="shared" si="4"/>
        <v>-11999</v>
      </c>
      <c r="H72" s="44">
        <f t="shared" si="5"/>
        <v>-11473.509448419209</v>
      </c>
      <c r="I72" s="44">
        <f t="shared" si="6"/>
        <v>-525.49055158079148</v>
      </c>
      <c r="J72" s="44">
        <f t="shared" si="7"/>
        <v>-12608.569039833717</v>
      </c>
      <c r="K72" s="34"/>
      <c r="L72" s="34"/>
      <c r="M72" s="45"/>
    </row>
    <row r="73" spans="3:13" x14ac:dyDescent="0.3">
      <c r="C73" s="56"/>
      <c r="D73" s="56"/>
      <c r="E73" s="44"/>
      <c r="F73" s="42">
        <v>68</v>
      </c>
      <c r="G73" s="44">
        <f t="shared" si="4"/>
        <v>-11999</v>
      </c>
      <c r="H73" s="44">
        <f t="shared" si="5"/>
        <v>-11559.465156703616</v>
      </c>
      <c r="I73" s="44">
        <f t="shared" si="6"/>
        <v>-439.53484329638411</v>
      </c>
      <c r="J73" s="44">
        <f t="shared" si="7"/>
        <v>-12508.860418223805</v>
      </c>
      <c r="K73" s="34"/>
      <c r="L73" s="34"/>
      <c r="M73" s="45"/>
    </row>
    <row r="74" spans="3:13" x14ac:dyDescent="0.3">
      <c r="C74" s="56"/>
      <c r="D74" s="56"/>
      <c r="E74" s="44"/>
      <c r="F74" s="42">
        <v>69</v>
      </c>
      <c r="G74" s="44">
        <f t="shared" si="4"/>
        <v>-11999</v>
      </c>
      <c r="H74" s="44">
        <f t="shared" si="5"/>
        <v>-11646.064816502587</v>
      </c>
      <c r="I74" s="44">
        <f t="shared" si="6"/>
        <v>-352.93518349741288</v>
      </c>
      <c r="J74" s="44">
        <f t="shared" si="7"/>
        <v>-12408.404812856999</v>
      </c>
      <c r="K74" s="34"/>
      <c r="L74" s="34"/>
      <c r="M74" s="45"/>
    </row>
    <row r="75" spans="3:13" x14ac:dyDescent="0.3">
      <c r="C75" s="56"/>
      <c r="D75" s="56"/>
      <c r="E75" s="44"/>
      <c r="F75" s="42">
        <v>70</v>
      </c>
      <c r="G75" s="44">
        <f t="shared" si="4"/>
        <v>-11999</v>
      </c>
      <c r="H75" s="44">
        <f t="shared" si="5"/>
        <v>-11733.313252086218</v>
      </c>
      <c r="I75" s="44">
        <f t="shared" si="6"/>
        <v>-265.68674791378106</v>
      </c>
      <c r="J75" s="44">
        <f t="shared" si="7"/>
        <v>-12307.196627579986</v>
      </c>
      <c r="K75" s="34"/>
      <c r="L75" s="34"/>
      <c r="M75" s="45"/>
    </row>
    <row r="76" spans="3:13" x14ac:dyDescent="0.3">
      <c r="C76" s="56"/>
      <c r="D76" s="56"/>
      <c r="E76" s="44"/>
      <c r="F76" s="42">
        <v>71</v>
      </c>
      <c r="G76" s="44">
        <f t="shared" si="4"/>
        <v>-11999</v>
      </c>
      <c r="H76" s="44">
        <f t="shared" si="5"/>
        <v>-11821.21532386643</v>
      </c>
      <c r="I76" s="44">
        <f t="shared" si="6"/>
        <v>-177.78467613356841</v>
      </c>
      <c r="J76" s="44">
        <f t="shared" si="7"/>
        <v>-12205.230224314939</v>
      </c>
      <c r="K76" s="34"/>
      <c r="L76" s="34"/>
      <c r="M76" s="45"/>
    </row>
    <row r="77" spans="3:13" x14ac:dyDescent="0.3">
      <c r="C77" s="56"/>
      <c r="D77" s="56"/>
      <c r="E77" s="44"/>
      <c r="F77" s="42">
        <v>72</v>
      </c>
      <c r="G77" s="44">
        <f t="shared" si="4"/>
        <v>-11999</v>
      </c>
      <c r="H77" s="44">
        <f t="shared" si="5"/>
        <v>-11909.77592866773</v>
      </c>
      <c r="I77" s="44">
        <f t="shared" si="6"/>
        <v>-89.224071332269105</v>
      </c>
      <c r="J77" s="44">
        <f t="shared" si="7"/>
        <v>-12102.499922745432</v>
      </c>
      <c r="K77" s="34"/>
      <c r="L77" s="34"/>
      <c r="M77" s="45"/>
    </row>
    <row r="78" spans="3:13" x14ac:dyDescent="0.3">
      <c r="C78" s="56"/>
      <c r="D78" s="56"/>
      <c r="E78" s="44"/>
      <c r="J78" s="43"/>
      <c r="K78" s="34"/>
      <c r="L78" s="34"/>
      <c r="M78" s="45"/>
    </row>
    <row r="79" spans="3:13" x14ac:dyDescent="0.3">
      <c r="C79" s="56"/>
      <c r="D79" s="56"/>
      <c r="E79" s="44"/>
      <c r="F79" s="44"/>
      <c r="J79" s="43"/>
      <c r="K79" s="34"/>
      <c r="L79" s="34"/>
      <c r="M79" s="45"/>
    </row>
    <row r="80" spans="3:13" x14ac:dyDescent="0.3">
      <c r="C80" s="56"/>
      <c r="D80" s="56"/>
      <c r="E80" s="44"/>
      <c r="F80" s="44"/>
      <c r="J80" s="43"/>
      <c r="K80" s="34"/>
      <c r="L80" s="34"/>
      <c r="M80" s="45"/>
    </row>
    <row r="81" spans="3:6" x14ac:dyDescent="0.3">
      <c r="C81" s="56"/>
      <c r="D81" s="56"/>
      <c r="E81" s="44"/>
      <c r="F81" s="44"/>
    </row>
    <row r="82" spans="3:6" x14ac:dyDescent="0.3">
      <c r="C82" s="56"/>
      <c r="D82" s="56"/>
      <c r="E82" s="44"/>
      <c r="F82" s="44"/>
    </row>
    <row r="83" spans="3:6" x14ac:dyDescent="0.3">
      <c r="C83" s="56"/>
      <c r="D83" s="56"/>
      <c r="E83" s="44"/>
      <c r="F83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Fresadora</vt:lpstr>
      <vt:lpstr>3. TVEO</vt:lpstr>
      <vt:lpstr>4. Cementera</vt:lpstr>
      <vt:lpstr>5. Mina</vt:lpstr>
      <vt:lpstr>6. Camión de Volteo</vt:lpstr>
      <vt:lpstr>7. Teslaaa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Lalito Robles</cp:lastModifiedBy>
  <dcterms:created xsi:type="dcterms:W3CDTF">2022-10-26T23:34:18Z</dcterms:created>
  <dcterms:modified xsi:type="dcterms:W3CDTF">2022-11-22T21:13:05Z</dcterms:modified>
</cp:coreProperties>
</file>