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cuments\GitHub\IA_School\Semestres\Proyectos de Inversión\Casos Finales\"/>
    </mc:Choice>
  </mc:AlternateContent>
  <xr:revisionPtr revIDLastSave="0" documentId="13_ncr:1_{1E325A5F-6B79-49B7-B31E-7E19A0113BC0}" xr6:coauthVersionLast="47" xr6:coauthVersionMax="47" xr10:uidLastSave="{00000000-0000-0000-0000-000000000000}"/>
  <bookViews>
    <workbookView xWindow="-113" yWindow="-113" windowWidth="24267" windowHeight="13023" activeTab="4" xr2:uid="{DF7EAB89-8D33-4DCA-878B-1977CA593F3E}"/>
  </bookViews>
  <sheets>
    <sheet name="1. Fresadora" sheetId="1" r:id="rId1"/>
    <sheet name="3. TVEO" sheetId="2" r:id="rId2"/>
    <sheet name="4. Cementera" sheetId="3" r:id="rId3"/>
    <sheet name="5. " sheetId="4" r:id="rId4"/>
    <sheet name="6. Camión de Volte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5" l="1"/>
  <c r="J4" i="5"/>
  <c r="J6" i="5"/>
  <c r="J5" i="5"/>
  <c r="I6" i="5"/>
  <c r="I5" i="5"/>
  <c r="H6" i="5"/>
  <c r="H5" i="5"/>
  <c r="H4" i="5"/>
  <c r="G9" i="5"/>
  <c r="G6" i="5" s="1"/>
  <c r="J28" i="3"/>
  <c r="J27" i="3"/>
  <c r="J26" i="3"/>
  <c r="J23" i="3"/>
  <c r="J22" i="3"/>
  <c r="J21" i="3"/>
  <c r="J17" i="3"/>
  <c r="J18" i="3" s="1"/>
  <c r="J16" i="3"/>
  <c r="J13" i="3"/>
  <c r="J12" i="3"/>
  <c r="J11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10" i="3"/>
  <c r="F27" i="3"/>
  <c r="F28" i="3"/>
  <c r="F29" i="3"/>
  <c r="F30" i="3"/>
  <c r="F26" i="3"/>
  <c r="F22" i="3"/>
  <c r="F23" i="3"/>
  <c r="F24" i="3"/>
  <c r="F25" i="3"/>
  <c r="F21" i="3"/>
  <c r="F17" i="3"/>
  <c r="F18" i="3"/>
  <c r="F19" i="3"/>
  <c r="F20" i="3"/>
  <c r="F16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1" i="3"/>
  <c r="F12" i="3"/>
  <c r="F13" i="3"/>
  <c r="F14" i="3"/>
  <c r="F15" i="3"/>
  <c r="F11" i="3"/>
  <c r="C10" i="3"/>
  <c r="E29" i="2"/>
  <c r="I29" i="2" s="1"/>
  <c r="J29" i="2" s="1"/>
  <c r="K29" i="2" s="1"/>
  <c r="E28" i="2"/>
  <c r="E27" i="2"/>
  <c r="K25" i="2"/>
  <c r="K23" i="2"/>
  <c r="J25" i="2"/>
  <c r="I24" i="2"/>
  <c r="J24" i="2" s="1"/>
  <c r="K24" i="2" s="1"/>
  <c r="I25" i="2"/>
  <c r="I26" i="2"/>
  <c r="I27" i="2"/>
  <c r="J27" i="2" s="1"/>
  <c r="K27" i="2" s="1"/>
  <c r="I28" i="2"/>
  <c r="J28" i="2" s="1"/>
  <c r="K28" i="2" s="1"/>
  <c r="I23" i="2"/>
  <c r="I13" i="2"/>
  <c r="I14" i="2"/>
  <c r="I15" i="2"/>
  <c r="K15" i="2" s="1"/>
  <c r="I16" i="2"/>
  <c r="I17" i="2"/>
  <c r="J17" i="2" s="1"/>
  <c r="I18" i="2"/>
  <c r="I12" i="2"/>
  <c r="K12" i="2" s="1"/>
  <c r="J13" i="2"/>
  <c r="G24" i="2"/>
  <c r="J26" i="2"/>
  <c r="K26" i="2" s="1"/>
  <c r="J18" i="2"/>
  <c r="K18" i="2" s="1"/>
  <c r="K14" i="2"/>
  <c r="J14" i="2"/>
  <c r="J15" i="2"/>
  <c r="G29" i="2"/>
  <c r="E25" i="2"/>
  <c r="E26" i="2"/>
  <c r="E24" i="2"/>
  <c r="E18" i="2"/>
  <c r="E16" i="2"/>
  <c r="E15" i="2"/>
  <c r="E14" i="2"/>
  <c r="E17" i="2"/>
  <c r="E13" i="2"/>
  <c r="G25" i="2"/>
  <c r="G26" i="2"/>
  <c r="G27" i="2"/>
  <c r="G28" i="2"/>
  <c r="H25" i="2"/>
  <c r="H26" i="2"/>
  <c r="H27" i="2"/>
  <c r="H28" i="2"/>
  <c r="H29" i="2"/>
  <c r="H24" i="2"/>
  <c r="F25" i="2"/>
  <c r="F26" i="2"/>
  <c r="F27" i="2"/>
  <c r="F28" i="2"/>
  <c r="F29" i="2"/>
  <c r="F24" i="2"/>
  <c r="D26" i="2"/>
  <c r="D23" i="2"/>
  <c r="C28" i="2"/>
  <c r="C29" i="2"/>
  <c r="C27" i="2"/>
  <c r="C25" i="2"/>
  <c r="C26" i="2"/>
  <c r="C24" i="2"/>
  <c r="G18" i="2"/>
  <c r="G14" i="2"/>
  <c r="G15" i="2"/>
  <c r="G16" i="2"/>
  <c r="G17" i="2"/>
  <c r="G13" i="2"/>
  <c r="H14" i="2"/>
  <c r="H15" i="2"/>
  <c r="H16" i="2"/>
  <c r="H17" i="2"/>
  <c r="H18" i="2"/>
  <c r="H13" i="2"/>
  <c r="F18" i="2"/>
  <c r="C14" i="2"/>
  <c r="C15" i="2"/>
  <c r="C16" i="2"/>
  <c r="C17" i="2"/>
  <c r="C18" i="2"/>
  <c r="C13" i="2"/>
  <c r="D12" i="2"/>
  <c r="Q14" i="1"/>
  <c r="Q13" i="1"/>
  <c r="Q12" i="1"/>
  <c r="K14" i="1"/>
  <c r="K15" i="1" s="1"/>
  <c r="K16" i="1" s="1"/>
  <c r="K6" i="1"/>
  <c r="Q7" i="1"/>
  <c r="Q8" i="1"/>
  <c r="Q9" i="1"/>
  <c r="Q10" i="1"/>
  <c r="Q6" i="1"/>
  <c r="K7" i="1"/>
  <c r="K8" i="1"/>
  <c r="K9" i="1"/>
  <c r="K10" i="1"/>
  <c r="K11" i="1"/>
  <c r="K12" i="1"/>
  <c r="G5" i="5" l="1"/>
  <c r="M22" i="2"/>
  <c r="M23" i="2" s="1"/>
  <c r="J16" i="2"/>
  <c r="K16" i="2" s="1"/>
  <c r="K13" i="2"/>
  <c r="K17" i="2"/>
  <c r="M11" i="2" l="1"/>
  <c r="M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G12" authorId="0" shapeId="0" xr:uid="{A88DFAE5-C3E0-489F-9736-85A7B428BEB8}">
      <text>
        <r>
          <rPr>
            <b/>
            <sz val="9"/>
            <color indexed="81"/>
            <rFont val="Tahoma"/>
            <charset val="1"/>
          </rPr>
          <t>Sara Carolina Gómez Delgado:</t>
        </r>
        <r>
          <rPr>
            <sz val="9"/>
            <color indexed="81"/>
            <rFont val="Tahoma"/>
            <charset val="1"/>
          </rPr>
          <t xml:space="preserve">
Should it be considered?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B31" authorId="0" shapeId="0" xr:uid="{0FF0F118-6829-4545-8FDF-332650B7E8E9}">
      <text>
        <r>
          <rPr>
            <b/>
            <sz val="9"/>
            <color indexed="81"/>
            <rFont val="Tahoma"/>
            <family val="2"/>
          </rPr>
          <t>Sara Carolina Gómez Delgado:</t>
        </r>
        <r>
          <rPr>
            <sz val="9"/>
            <color indexed="81"/>
            <rFont val="Tahoma"/>
            <family val="2"/>
          </rPr>
          <t xml:space="preserve">
La peque conviene más porque gana más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J23" authorId="0" shapeId="0" xr:uid="{10AF3BAF-BE37-40A9-A906-A3874DCCD99E}">
      <text>
        <r>
          <rPr>
            <b/>
            <sz val="9"/>
            <color indexed="81"/>
            <rFont val="Tahoma"/>
            <family val="2"/>
          </rPr>
          <t>Sara Carolina Gómez Delgado:</t>
        </r>
        <r>
          <rPr>
            <sz val="9"/>
            <color indexed="81"/>
            <rFont val="Tahoma"/>
            <family val="2"/>
          </rPr>
          <t xml:space="preserve">
Respuesta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 Carolina Gómez Delgado</author>
  </authors>
  <commentList>
    <comment ref="G11" authorId="0" shapeId="0" xr:uid="{D4D2A116-A551-438F-B111-240064D576AD}">
      <text>
        <r>
          <rPr>
            <b/>
            <sz val="9"/>
            <color indexed="81"/>
            <rFont val="Tahoma"/>
            <family val="2"/>
          </rPr>
          <t>Sara Carolina Gómez Delgado:</t>
        </r>
        <r>
          <rPr>
            <sz val="9"/>
            <color indexed="81"/>
            <rFont val="Tahoma"/>
            <family val="2"/>
          </rPr>
          <t xml:space="preserve">
Debería continuar con el negocio.
</t>
        </r>
      </text>
    </comment>
  </commentList>
</comments>
</file>

<file path=xl/sharedStrings.xml><?xml version="1.0" encoding="utf-8"?>
<sst xmlns="http://schemas.openxmlformats.org/spreadsheetml/2006/main" count="118" uniqueCount="62">
  <si>
    <t xml:space="preserve">Reemplazo vieja maquinaria fresadora </t>
  </si>
  <si>
    <t>TREMA</t>
  </si>
  <si>
    <t>Opción A</t>
  </si>
  <si>
    <t>Opción B</t>
  </si>
  <si>
    <t>costo inicial</t>
  </si>
  <si>
    <t>valor de retorno</t>
  </si>
  <si>
    <t>CAO</t>
  </si>
  <si>
    <t>CAM</t>
  </si>
  <si>
    <t>Años</t>
  </si>
  <si>
    <t>ventas</t>
  </si>
  <si>
    <t>Total</t>
  </si>
  <si>
    <t>VNA</t>
  </si>
  <si>
    <t>VNA TOTAL</t>
  </si>
  <si>
    <t>PAGO</t>
  </si>
  <si>
    <t>(+/-)</t>
  </si>
  <si>
    <t>año</t>
  </si>
  <si>
    <t>Unidades vendidas</t>
  </si>
  <si>
    <t>Año</t>
  </si>
  <si>
    <t>Grande</t>
  </si>
  <si>
    <t>Pequeña</t>
  </si>
  <si>
    <t>Gastos Variables</t>
  </si>
  <si>
    <t>Valor de Rescate</t>
  </si>
  <si>
    <t>Vida Útil</t>
  </si>
  <si>
    <t>Valor Inicial</t>
  </si>
  <si>
    <t>6 años</t>
  </si>
  <si>
    <t>3 años</t>
  </si>
  <si>
    <t>Capacidad</t>
  </si>
  <si>
    <t xml:space="preserve">90,000 u </t>
  </si>
  <si>
    <t>50,000 u</t>
  </si>
  <si>
    <t>Precio de venta/u</t>
  </si>
  <si>
    <t>Tasa de impuesto a las utilidades</t>
  </si>
  <si>
    <t>Vida del proyecto</t>
  </si>
  <si>
    <t>Costo Inicial</t>
  </si>
  <si>
    <t>Ganancias</t>
  </si>
  <si>
    <t>Unidades Vendidas</t>
  </si>
  <si>
    <t>Reporte financiero</t>
  </si>
  <si>
    <t>*</t>
  </si>
  <si>
    <t>Impuestos</t>
  </si>
  <si>
    <t>Utilidades después de impuestos</t>
  </si>
  <si>
    <t>Utilidades antes de impuestos</t>
  </si>
  <si>
    <t>Inversión</t>
  </si>
  <si>
    <t>Gastos combustibles</t>
  </si>
  <si>
    <t>Gastos electricidad</t>
  </si>
  <si>
    <t>años</t>
  </si>
  <si>
    <t>anuales</t>
  </si>
  <si>
    <t>Costos/ton</t>
  </si>
  <si>
    <t>Desde</t>
  </si>
  <si>
    <t>Hasta</t>
  </si>
  <si>
    <t>anual</t>
  </si>
  <si>
    <t>Mismas utilidades</t>
  </si>
  <si>
    <t>0 a 5</t>
  </si>
  <si>
    <t>6 a 10</t>
  </si>
  <si>
    <t>11 a 15</t>
  </si>
  <si>
    <t>16 a 20</t>
  </si>
  <si>
    <t>Inversión Inicial</t>
  </si>
  <si>
    <t>Valor de retorno</t>
  </si>
  <si>
    <t>Utilidades s/impuestos</t>
  </si>
  <si>
    <t>Utilidades c/impuestos</t>
  </si>
  <si>
    <t>Préstamo</t>
  </si>
  <si>
    <t>interés</t>
  </si>
  <si>
    <t>impuesto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</si>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</sst>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4" fontId="0" fillId="2" borderId="1" xfId="1" applyFont="1" applyFill="1" applyBorder="1"/>
    <xf numFmtId="44" fontId="0" fillId="3" borderId="1" xfId="1" applyFont="1" applyFill="1" applyBorder="1"/>
    <xf numFmtId="44" fontId="0" fillId="3" borderId="2" xfId="1" applyFont="1" applyFill="1" applyBorder="1"/>
    <xf numFmtId="9" fontId="0" fillId="0" borderId="1" xfId="0" applyNumberFormat="1" applyBorder="1"/>
    <xf numFmtId="8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/>
    <xf numFmtId="44" fontId="0" fillId="0" borderId="1" xfId="1" applyFont="1" applyBorder="1"/>
    <xf numFmtId="44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4" fontId="0" fillId="0" borderId="1" xfId="1" applyFont="1" applyBorder="1" applyAlignment="1">
      <alignment horizontal="left" vertical="center"/>
    </xf>
    <xf numFmtId="44" fontId="0" fillId="0" borderId="1" xfId="1" applyFont="1" applyFill="1" applyBorder="1" applyAlignment="1">
      <alignment horizontal="left" vertical="center"/>
    </xf>
    <xf numFmtId="6" fontId="0" fillId="0" borderId="1" xfId="0" applyNumberFormat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3" xfId="0" applyFill="1" applyBorder="1"/>
    <xf numFmtId="0" fontId="0" fillId="0" borderId="0" xfId="0" applyBorder="1" applyAlignment="1">
      <alignment horizontal="center" vertical="center"/>
    </xf>
    <xf numFmtId="3" fontId="0" fillId="0" borderId="0" xfId="0" applyNumberFormat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4" fontId="0" fillId="0" borderId="1" xfId="0" applyNumberFormat="1" applyBorder="1"/>
    <xf numFmtId="8" fontId="0" fillId="0" borderId="0" xfId="0" applyNumberFormat="1"/>
    <xf numFmtId="0" fontId="0" fillId="0" borderId="0" xfId="0" applyAlignment="1">
      <alignment horizontal="center"/>
    </xf>
    <xf numFmtId="44" fontId="0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8" fontId="0" fillId="0" borderId="1" xfId="1" applyNumberFormat="1" applyFont="1" applyBorder="1"/>
    <xf numFmtId="44" fontId="0" fillId="0" borderId="0" xfId="1" applyFont="1" applyBorder="1" applyAlignment="1">
      <alignment horizontal="center" vertical="center"/>
    </xf>
    <xf numFmtId="44" fontId="0" fillId="0" borderId="0" xfId="1" applyFont="1" applyBorder="1"/>
    <xf numFmtId="8" fontId="0" fillId="0" borderId="0" xfId="1" applyNumberFormat="1" applyFont="1" applyBorder="1"/>
    <xf numFmtId="0" fontId="0" fillId="0" borderId="0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0256-FAFA-45AD-BD21-220A3A64CB91}">
  <dimension ref="B2:R16"/>
  <sheetViews>
    <sheetView workbookViewId="0">
      <selection activeCell="J14" sqref="J14:K16"/>
    </sheetView>
  </sheetViews>
  <sheetFormatPr baseColWidth="10" defaultRowHeight="15.05" x14ac:dyDescent="0.3"/>
  <cols>
    <col min="1" max="1" width="1.6640625" customWidth="1"/>
    <col min="5" max="5" width="6" customWidth="1"/>
    <col min="6" max="7" width="11.6640625" bestFit="1" customWidth="1"/>
    <col min="8" max="8" width="12.33203125" bestFit="1" customWidth="1"/>
    <col min="10" max="11" width="12.33203125" bestFit="1" customWidth="1"/>
    <col min="12" max="13" width="11.6640625" bestFit="1" customWidth="1"/>
    <col min="14" max="14" width="12.33203125" bestFit="1" customWidth="1"/>
    <col min="16" max="17" width="12.33203125" bestFit="1" customWidth="1"/>
  </cols>
  <sheetData>
    <row r="2" spans="2:18" ht="28.2" x14ac:dyDescent="0.5">
      <c r="B2" s="1" t="s">
        <v>0</v>
      </c>
    </row>
    <row r="4" spans="2:18" x14ac:dyDescent="0.3">
      <c r="B4" s="2" t="s">
        <v>1</v>
      </c>
      <c r="C4" s="9">
        <v>0.1</v>
      </c>
      <c r="F4" s="11" t="s">
        <v>2</v>
      </c>
      <c r="L4" s="11" t="s">
        <v>3</v>
      </c>
    </row>
    <row r="5" spans="2:18" x14ac:dyDescent="0.3">
      <c r="E5" s="12" t="s">
        <v>8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9</v>
      </c>
      <c r="K5" s="4" t="s">
        <v>10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9</v>
      </c>
      <c r="Q5" s="5" t="s">
        <v>10</v>
      </c>
    </row>
    <row r="6" spans="2:18" x14ac:dyDescent="0.3">
      <c r="E6" s="13">
        <v>0</v>
      </c>
      <c r="F6" s="6">
        <v>-48000</v>
      </c>
      <c r="G6" s="6"/>
      <c r="H6" s="6"/>
      <c r="I6" s="6"/>
      <c r="J6" s="6"/>
      <c r="K6" s="6">
        <f>SUM(F6:J6)</f>
        <v>-48000</v>
      </c>
      <c r="L6" s="7">
        <v>-80000</v>
      </c>
      <c r="M6" s="7"/>
      <c r="N6" s="7"/>
      <c r="O6" s="7"/>
      <c r="P6" s="7"/>
      <c r="Q6" s="7">
        <f>SUM(L6:P6)</f>
        <v>-80000</v>
      </c>
    </row>
    <row r="7" spans="2:18" x14ac:dyDescent="0.3">
      <c r="E7" s="13">
        <v>1</v>
      </c>
      <c r="F7" s="6"/>
      <c r="G7" s="6"/>
      <c r="H7" s="6">
        <v>-142000</v>
      </c>
      <c r="I7" s="6"/>
      <c r="J7" s="6">
        <v>400000</v>
      </c>
      <c r="K7" s="6">
        <f t="shared" ref="K7:K12" si="0">SUM(F7:J7)</f>
        <v>258000</v>
      </c>
      <c r="L7" s="7"/>
      <c r="M7" s="7"/>
      <c r="N7" s="7">
        <v>-120000</v>
      </c>
      <c r="O7" s="7"/>
      <c r="P7" s="7">
        <v>405000</v>
      </c>
      <c r="Q7" s="7">
        <f t="shared" ref="Q7:Q10" si="1">SUM(L7:P7)</f>
        <v>285000</v>
      </c>
    </row>
    <row r="8" spans="2:18" x14ac:dyDescent="0.3">
      <c r="E8" s="13">
        <v>2</v>
      </c>
      <c r="F8" s="6"/>
      <c r="G8" s="6"/>
      <c r="H8" s="6">
        <v>-142000</v>
      </c>
      <c r="I8" s="6"/>
      <c r="J8" s="6">
        <v>400000</v>
      </c>
      <c r="K8" s="6">
        <f t="shared" si="0"/>
        <v>258000</v>
      </c>
      <c r="L8" s="7"/>
      <c r="M8" s="7"/>
      <c r="N8" s="7">
        <v>-120000</v>
      </c>
      <c r="O8" s="7"/>
      <c r="P8" s="7">
        <v>406000</v>
      </c>
      <c r="Q8" s="7">
        <f t="shared" si="1"/>
        <v>286000</v>
      </c>
    </row>
    <row r="9" spans="2:18" x14ac:dyDescent="0.3">
      <c r="E9" s="13">
        <v>3</v>
      </c>
      <c r="F9" s="6"/>
      <c r="G9" s="6"/>
      <c r="H9" s="6">
        <v>-142000</v>
      </c>
      <c r="I9" s="6"/>
      <c r="J9" s="6">
        <v>400000</v>
      </c>
      <c r="K9" s="6">
        <f t="shared" si="0"/>
        <v>258000</v>
      </c>
      <c r="L9" s="7"/>
      <c r="M9" s="7"/>
      <c r="N9" s="7">
        <v>-120000</v>
      </c>
      <c r="O9" s="7"/>
      <c r="P9" s="7">
        <v>409000</v>
      </c>
      <c r="Q9" s="7">
        <f t="shared" si="1"/>
        <v>289000</v>
      </c>
    </row>
    <row r="10" spans="2:18" x14ac:dyDescent="0.3">
      <c r="E10" s="13">
        <v>4</v>
      </c>
      <c r="F10" s="6"/>
      <c r="G10" s="6"/>
      <c r="H10" s="6">
        <v>-142000</v>
      </c>
      <c r="I10" s="6"/>
      <c r="J10" s="6">
        <v>400000</v>
      </c>
      <c r="K10" s="6">
        <f t="shared" si="0"/>
        <v>258000</v>
      </c>
      <c r="L10" s="7"/>
      <c r="M10" s="7">
        <v>0</v>
      </c>
      <c r="N10" s="7">
        <v>-120000</v>
      </c>
      <c r="O10" s="7"/>
      <c r="P10" s="7">
        <v>410000</v>
      </c>
      <c r="Q10" s="8">
        <f t="shared" si="1"/>
        <v>290000</v>
      </c>
    </row>
    <row r="11" spans="2:18" x14ac:dyDescent="0.3">
      <c r="E11" s="13">
        <v>5</v>
      </c>
      <c r="F11" s="6"/>
      <c r="G11" s="6"/>
      <c r="H11" s="6">
        <v>-142000</v>
      </c>
      <c r="I11" s="6"/>
      <c r="J11" s="6">
        <v>400000</v>
      </c>
      <c r="K11" s="6">
        <f t="shared" si="0"/>
        <v>258000</v>
      </c>
      <c r="P11" s="3"/>
      <c r="Q11" s="3"/>
    </row>
    <row r="12" spans="2:18" x14ac:dyDescent="0.3">
      <c r="E12" s="13">
        <v>6</v>
      </c>
      <c r="F12" s="6"/>
      <c r="G12" s="6">
        <v>8000</v>
      </c>
      <c r="H12" s="6">
        <v>-142000</v>
      </c>
      <c r="I12" s="6"/>
      <c r="J12" s="6">
        <v>400000</v>
      </c>
      <c r="K12" s="6">
        <f t="shared" si="0"/>
        <v>266000</v>
      </c>
      <c r="P12" s="2" t="s">
        <v>11</v>
      </c>
      <c r="Q12" s="10">
        <f>NPV(C4,Q7:Q10)</f>
        <v>910658.42497097177</v>
      </c>
    </row>
    <row r="13" spans="2:18" x14ac:dyDescent="0.3">
      <c r="P13" s="2" t="s">
        <v>12</v>
      </c>
      <c r="Q13" s="10">
        <f>Q12+Q6</f>
        <v>830658.42497097177</v>
      </c>
    </row>
    <row r="14" spans="2:18" x14ac:dyDescent="0.3">
      <c r="J14" s="2" t="s">
        <v>11</v>
      </c>
      <c r="K14" s="10">
        <f>NPV(C4,K7:K12)</f>
        <v>1128173.0519016841</v>
      </c>
      <c r="P14" s="2" t="s">
        <v>13</v>
      </c>
      <c r="Q14" s="10">
        <f>-PMT(C4,E10,Q13)</f>
        <v>262048.48093083382</v>
      </c>
      <c r="R14" t="s">
        <v>14</v>
      </c>
    </row>
    <row r="15" spans="2:18" x14ac:dyDescent="0.3">
      <c r="J15" s="2" t="s">
        <v>12</v>
      </c>
      <c r="K15" s="10">
        <f>K14+K6</f>
        <v>1080173.0519016841</v>
      </c>
    </row>
    <row r="16" spans="2:18" x14ac:dyDescent="0.3">
      <c r="J16" s="2" t="s">
        <v>13</v>
      </c>
      <c r="K16" s="10">
        <f>-PMT(C4,E12,K15)</f>
        <v>248015.70478549326</v>
      </c>
      <c r="L16" t="s">
        <v>14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CF15-6822-4EE2-B3BE-6B316A49C0F5}">
  <dimension ref="B2:M31"/>
  <sheetViews>
    <sheetView zoomScale="85" zoomScaleNormal="85" workbookViewId="0">
      <selection activeCell="C31" sqref="C31"/>
    </sheetView>
  </sheetViews>
  <sheetFormatPr baseColWidth="10" defaultRowHeight="15.05" x14ac:dyDescent="0.3"/>
  <cols>
    <col min="3" max="3" width="16.21875" bestFit="1" customWidth="1"/>
    <col min="4" max="4" width="13.77734375" bestFit="1" customWidth="1"/>
    <col min="5" max="6" width="14.6640625" bestFit="1" customWidth="1"/>
    <col min="7" max="7" width="13.77734375" bestFit="1" customWidth="1"/>
    <col min="8" max="8" width="16.44140625" bestFit="1" customWidth="1"/>
    <col min="9" max="9" width="27.88671875" bestFit="1" customWidth="1"/>
    <col min="10" max="10" width="15.6640625" bestFit="1" customWidth="1"/>
    <col min="11" max="11" width="28.109375" bestFit="1" customWidth="1"/>
    <col min="13" max="13" width="13.109375" bestFit="1" customWidth="1"/>
  </cols>
  <sheetData>
    <row r="2" spans="2:13" x14ac:dyDescent="0.3">
      <c r="B2" s="24" t="s">
        <v>17</v>
      </c>
      <c r="C2" s="25" t="s">
        <v>16</v>
      </c>
      <c r="E2" s="19"/>
      <c r="F2" s="26" t="s">
        <v>18</v>
      </c>
      <c r="G2" s="26" t="s">
        <v>19</v>
      </c>
    </row>
    <row r="3" spans="2:13" x14ac:dyDescent="0.3">
      <c r="B3" s="13">
        <v>1</v>
      </c>
      <c r="C3" s="15">
        <v>20000</v>
      </c>
      <c r="E3" s="26" t="s">
        <v>7</v>
      </c>
      <c r="F3" s="20">
        <v>-2000000</v>
      </c>
      <c r="G3" s="20">
        <v>-1200000</v>
      </c>
      <c r="I3" s="25" t="s">
        <v>29</v>
      </c>
      <c r="J3" s="22">
        <v>90</v>
      </c>
    </row>
    <row r="4" spans="2:13" x14ac:dyDescent="0.3">
      <c r="B4" s="13">
        <v>2</v>
      </c>
      <c r="C4" s="15">
        <v>30000</v>
      </c>
      <c r="E4" s="26" t="s">
        <v>20</v>
      </c>
      <c r="F4" s="20">
        <v>-30</v>
      </c>
      <c r="G4" s="20">
        <v>-31</v>
      </c>
      <c r="I4" s="25" t="s">
        <v>30</v>
      </c>
      <c r="J4" s="9">
        <v>0.2</v>
      </c>
    </row>
    <row r="5" spans="2:13" x14ac:dyDescent="0.3">
      <c r="B5" s="13">
        <v>3</v>
      </c>
      <c r="C5" s="15">
        <v>50000</v>
      </c>
      <c r="E5" s="26" t="s">
        <v>21</v>
      </c>
      <c r="F5" s="20">
        <v>40000</v>
      </c>
      <c r="G5" s="20">
        <v>0</v>
      </c>
      <c r="I5" s="25" t="s">
        <v>31</v>
      </c>
      <c r="J5" s="23" t="s">
        <v>24</v>
      </c>
    </row>
    <row r="6" spans="2:13" x14ac:dyDescent="0.3">
      <c r="B6" s="13">
        <v>4</v>
      </c>
      <c r="C6" s="15">
        <v>80000</v>
      </c>
      <c r="E6" s="26" t="s">
        <v>22</v>
      </c>
      <c r="F6" s="19" t="s">
        <v>24</v>
      </c>
      <c r="G6" s="19" t="s">
        <v>25</v>
      </c>
      <c r="I6" s="25" t="s">
        <v>1</v>
      </c>
      <c r="J6" s="9">
        <v>0.12</v>
      </c>
    </row>
    <row r="7" spans="2:13" x14ac:dyDescent="0.3">
      <c r="B7" s="13">
        <v>5</v>
      </c>
      <c r="C7" s="15">
        <v>80000</v>
      </c>
      <c r="E7" s="26" t="s">
        <v>23</v>
      </c>
      <c r="F7" s="21">
        <v>-2500000</v>
      </c>
      <c r="G7" s="20">
        <v>-1200000</v>
      </c>
    </row>
    <row r="8" spans="2:13" x14ac:dyDescent="0.3">
      <c r="B8" s="13">
        <v>6</v>
      </c>
      <c r="C8" s="15">
        <v>80000</v>
      </c>
      <c r="E8" s="26" t="s">
        <v>26</v>
      </c>
      <c r="F8" s="19" t="s">
        <v>27</v>
      </c>
      <c r="G8" s="19" t="s">
        <v>28</v>
      </c>
    </row>
    <row r="9" spans="2:13" x14ac:dyDescent="0.3">
      <c r="B9" s="29"/>
      <c r="C9" s="30"/>
      <c r="E9" s="32"/>
      <c r="F9" s="31"/>
      <c r="G9" s="31"/>
    </row>
    <row r="10" spans="2:13" x14ac:dyDescent="0.3">
      <c r="B10" s="11" t="s">
        <v>18</v>
      </c>
      <c r="E10" s="27" t="s">
        <v>36</v>
      </c>
      <c r="I10" t="s">
        <v>36</v>
      </c>
    </row>
    <row r="11" spans="2:13" x14ac:dyDescent="0.3">
      <c r="B11" s="2"/>
      <c r="C11" s="25" t="s">
        <v>7</v>
      </c>
      <c r="D11" s="25" t="s">
        <v>32</v>
      </c>
      <c r="E11" s="26" t="s">
        <v>20</v>
      </c>
      <c r="F11" s="25" t="s">
        <v>21</v>
      </c>
      <c r="G11" s="25" t="s">
        <v>33</v>
      </c>
      <c r="H11" s="25" t="s">
        <v>34</v>
      </c>
      <c r="I11" s="25" t="s">
        <v>39</v>
      </c>
      <c r="J11" s="25" t="s">
        <v>37</v>
      </c>
      <c r="K11" s="25" t="s">
        <v>38</v>
      </c>
      <c r="L11" s="28" t="s">
        <v>11</v>
      </c>
      <c r="M11" s="34">
        <f>NPV(J6,K13:K18)</f>
        <v>3541362.2682061666</v>
      </c>
    </row>
    <row r="12" spans="2:13" x14ac:dyDescent="0.3">
      <c r="B12" s="18">
        <v>0</v>
      </c>
      <c r="C12" s="2"/>
      <c r="D12" s="33">
        <f>F7</f>
        <v>-2500000</v>
      </c>
      <c r="E12" s="2"/>
      <c r="F12" s="2"/>
      <c r="G12" s="2"/>
      <c r="H12" s="2"/>
      <c r="I12" s="16">
        <f>SUM(C12:G12)</f>
        <v>-2500000</v>
      </c>
      <c r="J12" s="16"/>
      <c r="K12" s="16">
        <f>I12+J12</f>
        <v>-2500000</v>
      </c>
      <c r="L12" t="s">
        <v>12</v>
      </c>
      <c r="M12" s="34">
        <f>M11+K12</f>
        <v>1041362.2682061666</v>
      </c>
    </row>
    <row r="13" spans="2:13" x14ac:dyDescent="0.3">
      <c r="B13" s="18">
        <v>1</v>
      </c>
      <c r="C13" s="33">
        <f>$F$3</f>
        <v>-2000000</v>
      </c>
      <c r="D13" s="2"/>
      <c r="E13" s="33">
        <f>$F$4*H13</f>
        <v>-600000</v>
      </c>
      <c r="F13" s="2"/>
      <c r="G13" s="22">
        <f>H13*$J$3</f>
        <v>1800000</v>
      </c>
      <c r="H13" s="15">
        <f>C3</f>
        <v>20000</v>
      </c>
      <c r="I13" s="16">
        <f t="shared" ref="I13:I18" si="0">SUM(C13:G13)</f>
        <v>-800000</v>
      </c>
      <c r="J13" s="16">
        <f>MIN(0,I13*$J$4*-1)</f>
        <v>0</v>
      </c>
      <c r="K13" s="16">
        <f>I13+J13</f>
        <v>-800000</v>
      </c>
    </row>
    <row r="14" spans="2:13" x14ac:dyDescent="0.3">
      <c r="B14" s="18">
        <v>2</v>
      </c>
      <c r="C14" s="33">
        <f t="shared" ref="C14:C18" si="1">$F$3</f>
        <v>-2000000</v>
      </c>
      <c r="D14" s="2"/>
      <c r="E14" s="33">
        <f>$F$4*H14</f>
        <v>-900000</v>
      </c>
      <c r="F14" s="2"/>
      <c r="G14" s="22">
        <f t="shared" ref="G14:G18" si="2">H14*$J$3</f>
        <v>2700000</v>
      </c>
      <c r="H14" s="15">
        <f t="shared" ref="H14:H18" si="3">C4</f>
        <v>30000</v>
      </c>
      <c r="I14" s="16">
        <f t="shared" si="0"/>
        <v>-200000</v>
      </c>
      <c r="J14" s="16">
        <f t="shared" ref="J14:J18" si="4">MIN(0,I14*$J$4*-1)</f>
        <v>0</v>
      </c>
      <c r="K14" s="16">
        <f t="shared" ref="K13:K18" si="5">I14+J14</f>
        <v>-200000</v>
      </c>
    </row>
    <row r="15" spans="2:13" x14ac:dyDescent="0.3">
      <c r="B15" s="18">
        <v>3</v>
      </c>
      <c r="C15" s="33">
        <f t="shared" si="1"/>
        <v>-2000000</v>
      </c>
      <c r="D15" s="2"/>
      <c r="E15" s="33">
        <f>$F$4*H15</f>
        <v>-1500000</v>
      </c>
      <c r="F15" s="2"/>
      <c r="G15" s="22">
        <f t="shared" si="2"/>
        <v>4500000</v>
      </c>
      <c r="H15" s="15">
        <f t="shared" si="3"/>
        <v>50000</v>
      </c>
      <c r="I15" s="16">
        <f t="shared" si="0"/>
        <v>1000000</v>
      </c>
      <c r="J15" s="16">
        <f t="shared" si="4"/>
        <v>-200000</v>
      </c>
      <c r="K15" s="16">
        <f t="shared" si="5"/>
        <v>800000</v>
      </c>
    </row>
    <row r="16" spans="2:13" x14ac:dyDescent="0.3">
      <c r="B16" s="18">
        <v>4</v>
      </c>
      <c r="C16" s="33">
        <f t="shared" si="1"/>
        <v>-2000000</v>
      </c>
      <c r="D16" s="2"/>
      <c r="E16" s="33">
        <f>$F$4*H16</f>
        <v>-2400000</v>
      </c>
      <c r="F16" s="2"/>
      <c r="G16" s="22">
        <f t="shared" si="2"/>
        <v>7200000</v>
      </c>
      <c r="H16" s="15">
        <f t="shared" si="3"/>
        <v>80000</v>
      </c>
      <c r="I16" s="16">
        <f t="shared" si="0"/>
        <v>2800000</v>
      </c>
      <c r="J16" s="16">
        <f t="shared" si="4"/>
        <v>-560000</v>
      </c>
      <c r="K16" s="16">
        <f t="shared" si="5"/>
        <v>2240000</v>
      </c>
    </row>
    <row r="17" spans="2:13" x14ac:dyDescent="0.3">
      <c r="B17" s="18">
        <v>5</v>
      </c>
      <c r="C17" s="33">
        <f t="shared" si="1"/>
        <v>-2000000</v>
      </c>
      <c r="D17" s="2"/>
      <c r="E17" s="33">
        <f t="shared" ref="E14:E18" si="6">$F$4*H17</f>
        <v>-2400000</v>
      </c>
      <c r="F17" s="2"/>
      <c r="G17" s="22">
        <f t="shared" si="2"/>
        <v>7200000</v>
      </c>
      <c r="H17" s="15">
        <f t="shared" si="3"/>
        <v>80000</v>
      </c>
      <c r="I17" s="16">
        <f t="shared" si="0"/>
        <v>2800000</v>
      </c>
      <c r="J17" s="16">
        <f t="shared" si="4"/>
        <v>-560000</v>
      </c>
      <c r="K17" s="16">
        <f>I17+J17</f>
        <v>2240000</v>
      </c>
    </row>
    <row r="18" spans="2:13" x14ac:dyDescent="0.3">
      <c r="B18" s="18">
        <v>6</v>
      </c>
      <c r="C18" s="33">
        <f t="shared" si="1"/>
        <v>-2000000</v>
      </c>
      <c r="D18" s="2"/>
      <c r="E18" s="33">
        <f>$F$4*H18</f>
        <v>-2400000</v>
      </c>
      <c r="F18" s="33">
        <f>F5</f>
        <v>40000</v>
      </c>
      <c r="G18" s="22">
        <f>H18*$J$3</f>
        <v>7200000</v>
      </c>
      <c r="H18" s="15">
        <f t="shared" si="3"/>
        <v>80000</v>
      </c>
      <c r="I18" s="16">
        <f t="shared" si="0"/>
        <v>2840000</v>
      </c>
      <c r="J18" s="16">
        <f>MIN(0,I18*$J$4*-1)</f>
        <v>-568000</v>
      </c>
      <c r="K18" s="16">
        <f>I18+J18</f>
        <v>2272000</v>
      </c>
    </row>
    <row r="21" spans="2:13" x14ac:dyDescent="0.3">
      <c r="B21" s="11" t="s">
        <v>19</v>
      </c>
    </row>
    <row r="22" spans="2:13" x14ac:dyDescent="0.3">
      <c r="B22" s="2"/>
      <c r="C22" s="25" t="s">
        <v>7</v>
      </c>
      <c r="D22" s="25" t="s">
        <v>32</v>
      </c>
      <c r="E22" s="26" t="s">
        <v>20</v>
      </c>
      <c r="F22" s="25" t="s">
        <v>21</v>
      </c>
      <c r="G22" s="25" t="s">
        <v>33</v>
      </c>
      <c r="H22" s="25" t="s">
        <v>34</v>
      </c>
      <c r="I22" s="25" t="s">
        <v>39</v>
      </c>
      <c r="J22" s="25" t="s">
        <v>37</v>
      </c>
      <c r="K22" s="25" t="s">
        <v>38</v>
      </c>
      <c r="L22" s="28" t="s">
        <v>11</v>
      </c>
      <c r="M22" s="34">
        <f>NPV(J6,K24:K29)</f>
        <v>3055979.2628655988</v>
      </c>
    </row>
    <row r="23" spans="2:13" x14ac:dyDescent="0.3">
      <c r="B23" s="18">
        <v>0</v>
      </c>
      <c r="C23" s="2"/>
      <c r="D23" s="33">
        <f>$G$7</f>
        <v>-1200000</v>
      </c>
      <c r="E23" s="2"/>
      <c r="F23" s="2"/>
      <c r="G23" s="2"/>
      <c r="H23" s="2"/>
      <c r="I23" s="16">
        <f>SUM(C23:G23)</f>
        <v>-1200000</v>
      </c>
      <c r="J23" s="16"/>
      <c r="K23" s="16">
        <f>I23</f>
        <v>-1200000</v>
      </c>
      <c r="L23" t="s">
        <v>12</v>
      </c>
      <c r="M23" s="34">
        <f>M22+K23</f>
        <v>1855979.2628655988</v>
      </c>
    </row>
    <row r="24" spans="2:13" x14ac:dyDescent="0.3">
      <c r="B24" s="18">
        <v>1</v>
      </c>
      <c r="C24" s="33">
        <f>$G$3</f>
        <v>-1200000</v>
      </c>
      <c r="D24" s="2"/>
      <c r="E24" s="33">
        <f>$G$4*H24</f>
        <v>-620000</v>
      </c>
      <c r="F24" s="33">
        <f>$G$5</f>
        <v>0</v>
      </c>
      <c r="G24" s="22">
        <f>H24*$J$3</f>
        <v>1800000</v>
      </c>
      <c r="H24" s="15">
        <f>C3</f>
        <v>20000</v>
      </c>
      <c r="I24" s="16">
        <f t="shared" ref="I24:I29" si="7">SUM(C24:G24)</f>
        <v>-20000</v>
      </c>
      <c r="J24" s="16">
        <f>MIN(0,I24*$J$4*-1)</f>
        <v>0</v>
      </c>
      <c r="K24" s="16">
        <f>J24+I24</f>
        <v>-20000</v>
      </c>
    </row>
    <row r="25" spans="2:13" x14ac:dyDescent="0.3">
      <c r="B25" s="18">
        <v>2</v>
      </c>
      <c r="C25" s="33">
        <f t="shared" ref="C25:C29" si="8">$G$3</f>
        <v>-1200000</v>
      </c>
      <c r="D25" s="2"/>
      <c r="E25" s="33">
        <f t="shared" ref="E25:E29" si="9">$G$4*H25</f>
        <v>-930000</v>
      </c>
      <c r="F25" s="33">
        <f t="shared" ref="F25:F29" si="10">$G$5</f>
        <v>0</v>
      </c>
      <c r="G25" s="22">
        <f t="shared" ref="G25:G29" si="11">H25*$J$3</f>
        <v>2700000</v>
      </c>
      <c r="H25" s="15">
        <f t="shared" ref="H25:H29" si="12">C4</f>
        <v>30000</v>
      </c>
      <c r="I25" s="16">
        <f t="shared" si="7"/>
        <v>570000</v>
      </c>
      <c r="J25" s="16">
        <f>MIN(0,I25*$J$4*-1)</f>
        <v>-114000</v>
      </c>
      <c r="K25" s="16">
        <f>J25+I25</f>
        <v>456000</v>
      </c>
    </row>
    <row r="26" spans="2:13" x14ac:dyDescent="0.3">
      <c r="B26" s="18">
        <v>3</v>
      </c>
      <c r="C26" s="33">
        <f t="shared" si="8"/>
        <v>-1200000</v>
      </c>
      <c r="D26" s="33">
        <f>$G$7*2</f>
        <v>-2400000</v>
      </c>
      <c r="E26" s="33">
        <f t="shared" si="9"/>
        <v>-1550000</v>
      </c>
      <c r="F26" s="33">
        <f t="shared" si="10"/>
        <v>0</v>
      </c>
      <c r="G26" s="22">
        <f t="shared" si="11"/>
        <v>4500000</v>
      </c>
      <c r="H26" s="15">
        <f t="shared" si="12"/>
        <v>50000</v>
      </c>
      <c r="I26" s="16">
        <f t="shared" si="7"/>
        <v>-650000</v>
      </c>
      <c r="J26" s="16">
        <f>MIN(0,I26*$J$4*-1)</f>
        <v>0</v>
      </c>
      <c r="K26" s="16">
        <f t="shared" ref="K25:K29" si="13">J26+I26</f>
        <v>-650000</v>
      </c>
    </row>
    <row r="27" spans="2:13" x14ac:dyDescent="0.3">
      <c r="B27" s="18">
        <v>4</v>
      </c>
      <c r="C27" s="33">
        <f>$G$3*2</f>
        <v>-2400000</v>
      </c>
      <c r="E27" s="33">
        <f>$G$4*H27</f>
        <v>-2480000</v>
      </c>
      <c r="F27" s="33">
        <f t="shared" si="10"/>
        <v>0</v>
      </c>
      <c r="G27" s="22">
        <f t="shared" si="11"/>
        <v>7200000</v>
      </c>
      <c r="H27" s="15">
        <f t="shared" si="12"/>
        <v>80000</v>
      </c>
      <c r="I27" s="16">
        <f t="shared" si="7"/>
        <v>2320000</v>
      </c>
      <c r="J27" s="16">
        <f t="shared" ref="J25:J29" si="14">MIN(0,I27*$J$4*-1)</f>
        <v>-464000</v>
      </c>
      <c r="K27" s="16">
        <f t="shared" si="13"/>
        <v>1856000</v>
      </c>
    </row>
    <row r="28" spans="2:13" x14ac:dyDescent="0.3">
      <c r="B28" s="18">
        <v>5</v>
      </c>
      <c r="C28" s="33">
        <f t="shared" ref="C28:C29" si="15">$G$3*2</f>
        <v>-2400000</v>
      </c>
      <c r="D28" s="2"/>
      <c r="E28" s="33">
        <f>$G$4*H28</f>
        <v>-2480000</v>
      </c>
      <c r="F28" s="33">
        <f t="shared" si="10"/>
        <v>0</v>
      </c>
      <c r="G28" s="22">
        <f t="shared" si="11"/>
        <v>7200000</v>
      </c>
      <c r="H28" s="15">
        <f t="shared" si="12"/>
        <v>80000</v>
      </c>
      <c r="I28" s="16">
        <f t="shared" si="7"/>
        <v>2320000</v>
      </c>
      <c r="J28" s="16">
        <f t="shared" si="14"/>
        <v>-464000</v>
      </c>
      <c r="K28" s="16">
        <f t="shared" si="13"/>
        <v>1856000</v>
      </c>
    </row>
    <row r="29" spans="2:13" x14ac:dyDescent="0.3">
      <c r="B29" s="18">
        <v>6</v>
      </c>
      <c r="C29" s="33">
        <f t="shared" si="15"/>
        <v>-2400000</v>
      </c>
      <c r="D29" s="2"/>
      <c r="E29" s="33">
        <f>$G$4*H29</f>
        <v>-2480000</v>
      </c>
      <c r="F29" s="33">
        <f t="shared" si="10"/>
        <v>0</v>
      </c>
      <c r="G29" s="22">
        <f>H29*$J$3</f>
        <v>7200000</v>
      </c>
      <c r="H29" s="15">
        <f t="shared" si="12"/>
        <v>80000</v>
      </c>
      <c r="I29" s="16">
        <f t="shared" si="7"/>
        <v>2320000</v>
      </c>
      <c r="J29" s="16">
        <f t="shared" si="14"/>
        <v>-464000</v>
      </c>
      <c r="K29" s="16">
        <f t="shared" si="13"/>
        <v>1856000</v>
      </c>
    </row>
    <row r="31" spans="2:13" x14ac:dyDescent="0.3">
      <c r="B31" t="s">
        <v>35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1DD7-39B3-4B02-8727-4912941BB3F7}">
  <dimension ref="B2:J30"/>
  <sheetViews>
    <sheetView zoomScale="85" zoomScaleNormal="85" workbookViewId="0">
      <selection activeCell="L26" sqref="L26"/>
    </sheetView>
  </sheetViews>
  <sheetFormatPr baseColWidth="10" defaultRowHeight="15.05" x14ac:dyDescent="0.3"/>
  <cols>
    <col min="1" max="1" width="3.33203125" customWidth="1"/>
    <col min="2" max="3" width="17.77734375" bestFit="1" customWidth="1"/>
    <col min="4" max="4" width="16.5546875" bestFit="1" customWidth="1"/>
    <col min="8" max="8" width="2.21875" customWidth="1"/>
  </cols>
  <sheetData>
    <row r="2" spans="2:10" x14ac:dyDescent="0.3">
      <c r="B2" s="4" t="s">
        <v>40</v>
      </c>
      <c r="C2" s="16">
        <v>-12000</v>
      </c>
      <c r="E2" s="37" t="s">
        <v>45</v>
      </c>
      <c r="F2" s="37" t="s">
        <v>46</v>
      </c>
      <c r="G2" s="37" t="s">
        <v>47</v>
      </c>
    </row>
    <row r="3" spans="2:10" x14ac:dyDescent="0.3">
      <c r="B3" s="4" t="s">
        <v>22</v>
      </c>
      <c r="C3" s="2">
        <v>20</v>
      </c>
      <c r="D3" t="s">
        <v>43</v>
      </c>
      <c r="E3" s="36">
        <v>-550</v>
      </c>
      <c r="F3" s="12">
        <v>0</v>
      </c>
      <c r="G3" s="12">
        <v>5</v>
      </c>
    </row>
    <row r="4" spans="2:10" x14ac:dyDescent="0.3">
      <c r="B4" s="4" t="s">
        <v>41</v>
      </c>
      <c r="C4" s="16">
        <v>-20000</v>
      </c>
      <c r="D4" t="s">
        <v>44</v>
      </c>
      <c r="E4" s="36">
        <v>-800</v>
      </c>
      <c r="F4" s="12">
        <v>6</v>
      </c>
      <c r="G4" s="12">
        <v>10</v>
      </c>
    </row>
    <row r="5" spans="2:10" x14ac:dyDescent="0.3">
      <c r="B5" s="4" t="s">
        <v>42</v>
      </c>
      <c r="C5" s="16">
        <v>-450</v>
      </c>
      <c r="D5" t="s">
        <v>44</v>
      </c>
      <c r="E5" s="36">
        <v>-1500</v>
      </c>
      <c r="F5" s="12">
        <v>11</v>
      </c>
      <c r="G5" s="12">
        <v>15</v>
      </c>
    </row>
    <row r="6" spans="2:10" x14ac:dyDescent="0.3">
      <c r="B6" s="4" t="s">
        <v>1</v>
      </c>
      <c r="C6" s="9">
        <v>7.0000000000000007E-2</v>
      </c>
      <c r="D6" t="s">
        <v>48</v>
      </c>
      <c r="E6" s="36">
        <v>-2500</v>
      </c>
      <c r="F6" s="12">
        <v>16</v>
      </c>
      <c r="G6" s="12">
        <v>20</v>
      </c>
    </row>
    <row r="7" spans="2:10" x14ac:dyDescent="0.3">
      <c r="B7" s="4" t="s">
        <v>49</v>
      </c>
      <c r="C7" s="2"/>
    </row>
    <row r="9" spans="2:10" x14ac:dyDescent="0.3">
      <c r="B9" s="2"/>
      <c r="C9" s="4" t="s">
        <v>40</v>
      </c>
      <c r="D9" s="4" t="s">
        <v>41</v>
      </c>
      <c r="E9" s="4" t="s">
        <v>42</v>
      </c>
      <c r="F9" s="4" t="s">
        <v>45</v>
      </c>
      <c r="G9" s="4" t="s">
        <v>10</v>
      </c>
    </row>
    <row r="10" spans="2:10" x14ac:dyDescent="0.3">
      <c r="B10" s="2">
        <v>0</v>
      </c>
      <c r="C10" s="33">
        <f>C2</f>
        <v>-12000</v>
      </c>
      <c r="E10" s="2"/>
      <c r="F10" s="2"/>
      <c r="G10" s="33">
        <f>SUM(C10:F10)</f>
        <v>-12000</v>
      </c>
      <c r="I10" s="2" t="s">
        <v>50</v>
      </c>
    </row>
    <row r="11" spans="2:10" x14ac:dyDescent="0.3">
      <c r="B11" s="2">
        <v>1</v>
      </c>
      <c r="C11" s="2"/>
      <c r="D11" s="33">
        <f>$C$4</f>
        <v>-20000</v>
      </c>
      <c r="E11" s="33">
        <f>$C$5</f>
        <v>-450</v>
      </c>
      <c r="F11" s="33">
        <f>$E$3</f>
        <v>-550</v>
      </c>
      <c r="G11" s="33">
        <f t="shared" ref="G11:G30" si="0">SUM(C11:F11)</f>
        <v>-21000</v>
      </c>
      <c r="I11" s="4" t="s">
        <v>11</v>
      </c>
      <c r="J11" s="10">
        <f>NPV(C6,G11:G15)</f>
        <v>-86104.146154899456</v>
      </c>
    </row>
    <row r="12" spans="2:10" x14ac:dyDescent="0.3">
      <c r="B12" s="2">
        <v>2</v>
      </c>
      <c r="C12" s="2"/>
      <c r="D12" s="33">
        <f t="shared" ref="D12:D30" si="1">$C$4</f>
        <v>-20000</v>
      </c>
      <c r="E12" s="33">
        <f t="shared" ref="E12:E30" si="2">$C$5</f>
        <v>-450</v>
      </c>
      <c r="F12" s="33">
        <f t="shared" ref="F12:F15" si="3">$E$3</f>
        <v>-550</v>
      </c>
      <c r="G12" s="33">
        <f t="shared" si="0"/>
        <v>-21000</v>
      </c>
      <c r="I12" s="4" t="s">
        <v>12</v>
      </c>
      <c r="J12" s="10">
        <f>J11+G10</f>
        <v>-98104.146154899456</v>
      </c>
    </row>
    <row r="13" spans="2:10" x14ac:dyDescent="0.3">
      <c r="B13" s="2">
        <v>3</v>
      </c>
      <c r="C13" s="2"/>
      <c r="D13" s="33">
        <f t="shared" si="1"/>
        <v>-20000</v>
      </c>
      <c r="E13" s="33">
        <f t="shared" si="2"/>
        <v>-450</v>
      </c>
      <c r="F13" s="33">
        <f t="shared" si="3"/>
        <v>-550</v>
      </c>
      <c r="G13" s="33">
        <f t="shared" si="0"/>
        <v>-21000</v>
      </c>
      <c r="I13" s="4" t="s">
        <v>13</v>
      </c>
      <c r="J13" s="10">
        <f>PMT(C6,B15,J12)</f>
        <v>23926.68833329649</v>
      </c>
    </row>
    <row r="14" spans="2:10" x14ac:dyDescent="0.3">
      <c r="B14" s="2">
        <v>4</v>
      </c>
      <c r="C14" s="2"/>
      <c r="D14" s="33">
        <f t="shared" si="1"/>
        <v>-20000</v>
      </c>
      <c r="E14" s="33">
        <f t="shared" si="2"/>
        <v>-450</v>
      </c>
      <c r="F14" s="33">
        <f t="shared" si="3"/>
        <v>-550</v>
      </c>
      <c r="G14" s="33">
        <f t="shared" si="0"/>
        <v>-21000</v>
      </c>
    </row>
    <row r="15" spans="2:10" x14ac:dyDescent="0.3">
      <c r="B15" s="2">
        <v>5</v>
      </c>
      <c r="C15" s="2"/>
      <c r="D15" s="33">
        <f t="shared" si="1"/>
        <v>-20000</v>
      </c>
      <c r="E15" s="33">
        <f t="shared" si="2"/>
        <v>-450</v>
      </c>
      <c r="F15" s="33">
        <f t="shared" si="3"/>
        <v>-550</v>
      </c>
      <c r="G15" s="33">
        <f t="shared" si="0"/>
        <v>-21000</v>
      </c>
      <c r="I15" s="2" t="s">
        <v>51</v>
      </c>
    </row>
    <row r="16" spans="2:10" x14ac:dyDescent="0.3">
      <c r="B16" s="2">
        <v>6</v>
      </c>
      <c r="C16" s="2"/>
      <c r="D16" s="33">
        <f t="shared" si="1"/>
        <v>-20000</v>
      </c>
      <c r="E16" s="33">
        <f t="shared" si="2"/>
        <v>-450</v>
      </c>
      <c r="F16" s="33">
        <f>$E$4</f>
        <v>-800</v>
      </c>
      <c r="G16" s="33">
        <f t="shared" si="0"/>
        <v>-21250</v>
      </c>
      <c r="I16" s="4" t="s">
        <v>11</v>
      </c>
      <c r="J16" s="10">
        <f>NPV(C6,G11:G20)</f>
        <v>-148226.05838583087</v>
      </c>
    </row>
    <row r="17" spans="2:10" x14ac:dyDescent="0.3">
      <c r="B17" s="2">
        <v>7</v>
      </c>
      <c r="C17" s="2"/>
      <c r="D17" s="33">
        <f t="shared" si="1"/>
        <v>-20000</v>
      </c>
      <c r="E17" s="33">
        <f t="shared" si="2"/>
        <v>-450</v>
      </c>
      <c r="F17" s="33">
        <f t="shared" ref="F17:F20" si="4">$E$4</f>
        <v>-800</v>
      </c>
      <c r="G17" s="33">
        <f t="shared" si="0"/>
        <v>-21250</v>
      </c>
      <c r="I17" s="4" t="s">
        <v>12</v>
      </c>
      <c r="J17" s="10">
        <f>J16+G10</f>
        <v>-160226.05838583087</v>
      </c>
    </row>
    <row r="18" spans="2:10" x14ac:dyDescent="0.3">
      <c r="B18" s="2">
        <v>8</v>
      </c>
      <c r="C18" s="2"/>
      <c r="D18" s="33">
        <f t="shared" si="1"/>
        <v>-20000</v>
      </c>
      <c r="E18" s="33">
        <f t="shared" si="2"/>
        <v>-450</v>
      </c>
      <c r="F18" s="33">
        <f t="shared" si="4"/>
        <v>-800</v>
      </c>
      <c r="G18" s="33">
        <f t="shared" si="0"/>
        <v>-21250</v>
      </c>
      <c r="I18" s="4" t="s">
        <v>13</v>
      </c>
      <c r="J18" s="10">
        <f>PMT(C6,B20,J17)</f>
        <v>22812.586064823532</v>
      </c>
    </row>
    <row r="19" spans="2:10" x14ac:dyDescent="0.3">
      <c r="B19" s="2">
        <v>9</v>
      </c>
      <c r="C19" s="2"/>
      <c r="D19" s="33">
        <f t="shared" si="1"/>
        <v>-20000</v>
      </c>
      <c r="E19" s="33">
        <f t="shared" si="2"/>
        <v>-450</v>
      </c>
      <c r="F19" s="33">
        <f t="shared" si="4"/>
        <v>-800</v>
      </c>
      <c r="G19" s="33">
        <f t="shared" si="0"/>
        <v>-21250</v>
      </c>
    </row>
    <row r="20" spans="2:10" x14ac:dyDescent="0.3">
      <c r="B20" s="2">
        <v>10</v>
      </c>
      <c r="C20" s="2"/>
      <c r="D20" s="33">
        <f t="shared" si="1"/>
        <v>-20000</v>
      </c>
      <c r="E20" s="33">
        <f t="shared" si="2"/>
        <v>-450</v>
      </c>
      <c r="F20" s="33">
        <f t="shared" si="4"/>
        <v>-800</v>
      </c>
      <c r="G20" s="33">
        <f t="shared" si="0"/>
        <v>-21250</v>
      </c>
      <c r="I20" s="2" t="s">
        <v>52</v>
      </c>
    </row>
    <row r="21" spans="2:10" x14ac:dyDescent="0.3">
      <c r="B21" s="2">
        <v>11</v>
      </c>
      <c r="C21" s="2"/>
      <c r="D21" s="33">
        <f t="shared" si="1"/>
        <v>-20000</v>
      </c>
      <c r="E21" s="33">
        <f t="shared" si="2"/>
        <v>-450</v>
      </c>
      <c r="F21" s="33">
        <f>$E$5</f>
        <v>-1500</v>
      </c>
      <c r="G21" s="33">
        <f t="shared" si="0"/>
        <v>-21950</v>
      </c>
      <c r="I21" s="4" t="s">
        <v>11</v>
      </c>
      <c r="J21" s="10">
        <f>NPV(C6,G11:G25)</f>
        <v>-193977.15597450593</v>
      </c>
    </row>
    <row r="22" spans="2:10" x14ac:dyDescent="0.3">
      <c r="B22" s="2">
        <v>12</v>
      </c>
      <c r="C22" s="2"/>
      <c r="D22" s="33">
        <f t="shared" si="1"/>
        <v>-20000</v>
      </c>
      <c r="E22" s="33">
        <f t="shared" si="2"/>
        <v>-450</v>
      </c>
      <c r="F22" s="33">
        <f t="shared" ref="F22:F25" si="5">$E$5</f>
        <v>-1500</v>
      </c>
      <c r="G22" s="33">
        <f t="shared" si="0"/>
        <v>-21950</v>
      </c>
      <c r="I22" s="4" t="s">
        <v>12</v>
      </c>
      <c r="J22" s="10">
        <f>J21+G10</f>
        <v>-205977.15597450593</v>
      </c>
    </row>
    <row r="23" spans="2:10" x14ac:dyDescent="0.3">
      <c r="B23" s="2">
        <v>13</v>
      </c>
      <c r="C23" s="2"/>
      <c r="D23" s="33">
        <f t="shared" si="1"/>
        <v>-20000</v>
      </c>
      <c r="E23" s="33">
        <f t="shared" si="2"/>
        <v>-450</v>
      </c>
      <c r="F23" s="33">
        <f t="shared" si="5"/>
        <v>-1500</v>
      </c>
      <c r="G23" s="33">
        <f t="shared" si="0"/>
        <v>-21950</v>
      </c>
      <c r="I23" s="4" t="s">
        <v>13</v>
      </c>
      <c r="J23" s="10">
        <f>PMT(C6,B25,J22)</f>
        <v>22615.184537201567</v>
      </c>
    </row>
    <row r="24" spans="2:10" x14ac:dyDescent="0.3">
      <c r="B24" s="2">
        <v>14</v>
      </c>
      <c r="C24" s="2"/>
      <c r="D24" s="33">
        <f t="shared" si="1"/>
        <v>-20000</v>
      </c>
      <c r="E24" s="33">
        <f t="shared" si="2"/>
        <v>-450</v>
      </c>
      <c r="F24" s="33">
        <f t="shared" si="5"/>
        <v>-1500</v>
      </c>
      <c r="G24" s="33">
        <f t="shared" si="0"/>
        <v>-21950</v>
      </c>
    </row>
    <row r="25" spans="2:10" x14ac:dyDescent="0.3">
      <c r="B25" s="2">
        <v>15</v>
      </c>
      <c r="C25" s="2"/>
      <c r="D25" s="33">
        <f t="shared" si="1"/>
        <v>-20000</v>
      </c>
      <c r="E25" s="33">
        <f t="shared" si="2"/>
        <v>-450</v>
      </c>
      <c r="F25" s="33">
        <f t="shared" si="5"/>
        <v>-1500</v>
      </c>
      <c r="G25" s="33">
        <f t="shared" si="0"/>
        <v>-21950</v>
      </c>
      <c r="I25" s="2" t="s">
        <v>53</v>
      </c>
    </row>
    <row r="26" spans="2:10" x14ac:dyDescent="0.3">
      <c r="B26" s="2">
        <v>16</v>
      </c>
      <c r="C26" s="2"/>
      <c r="D26" s="33">
        <f t="shared" si="1"/>
        <v>-20000</v>
      </c>
      <c r="E26" s="33">
        <f t="shared" si="2"/>
        <v>-450</v>
      </c>
      <c r="F26" s="33">
        <f>$E$6</f>
        <v>-2500</v>
      </c>
      <c r="G26" s="33">
        <f t="shared" si="0"/>
        <v>-22950</v>
      </c>
      <c r="I26" s="4" t="s">
        <v>11</v>
      </c>
      <c r="J26" s="10">
        <f>NPV(C6,G11:G30)</f>
        <v>-228083.15649184689</v>
      </c>
    </row>
    <row r="27" spans="2:10" x14ac:dyDescent="0.3">
      <c r="B27" s="2">
        <v>17</v>
      </c>
      <c r="C27" s="2"/>
      <c r="D27" s="33">
        <f t="shared" si="1"/>
        <v>-20000</v>
      </c>
      <c r="E27" s="33">
        <f t="shared" si="2"/>
        <v>-450</v>
      </c>
      <c r="F27" s="33">
        <f t="shared" ref="F27:F30" si="6">$E$6</f>
        <v>-2500</v>
      </c>
      <c r="G27" s="33">
        <f t="shared" si="0"/>
        <v>-22950</v>
      </c>
      <c r="I27" s="4" t="s">
        <v>12</v>
      </c>
      <c r="J27" s="10">
        <f>J26+G10</f>
        <v>-240083.15649184689</v>
      </c>
    </row>
    <row r="28" spans="2:10" x14ac:dyDescent="0.3">
      <c r="B28" s="2">
        <v>18</v>
      </c>
      <c r="C28" s="2"/>
      <c r="D28" s="33">
        <f t="shared" si="1"/>
        <v>-20000</v>
      </c>
      <c r="E28" s="33">
        <f t="shared" si="2"/>
        <v>-450</v>
      </c>
      <c r="F28" s="33">
        <f t="shared" si="6"/>
        <v>-2500</v>
      </c>
      <c r="G28" s="33">
        <f t="shared" si="0"/>
        <v>-22950</v>
      </c>
      <c r="I28" s="4" t="s">
        <v>13</v>
      </c>
      <c r="J28" s="10">
        <f>PMT(C6,B30,J27)</f>
        <v>22662.151562941341</v>
      </c>
    </row>
    <row r="29" spans="2:10" x14ac:dyDescent="0.3">
      <c r="B29" s="2">
        <v>19</v>
      </c>
      <c r="C29" s="2"/>
      <c r="D29" s="33">
        <f t="shared" si="1"/>
        <v>-20000</v>
      </c>
      <c r="E29" s="33">
        <f t="shared" si="2"/>
        <v>-450</v>
      </c>
      <c r="F29" s="33">
        <f t="shared" si="6"/>
        <v>-2500</v>
      </c>
      <c r="G29" s="33">
        <f t="shared" si="0"/>
        <v>-22950</v>
      </c>
    </row>
    <row r="30" spans="2:10" x14ac:dyDescent="0.3">
      <c r="B30" s="2">
        <v>20</v>
      </c>
      <c r="C30" s="2"/>
      <c r="D30" s="33">
        <f t="shared" si="1"/>
        <v>-20000</v>
      </c>
      <c r="E30" s="33">
        <f t="shared" si="2"/>
        <v>-450</v>
      </c>
      <c r="F30" s="33">
        <f t="shared" si="6"/>
        <v>-2500</v>
      </c>
      <c r="G30" s="33">
        <f t="shared" si="0"/>
        <v>-22950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9ECC-99D3-421D-96A2-DB3C0A57A488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0D1-0A17-4CF5-883E-744262988952}">
  <dimension ref="B3:K11"/>
  <sheetViews>
    <sheetView tabSelected="1" workbookViewId="0">
      <selection activeCell="H16" sqref="H16"/>
    </sheetView>
  </sheetViews>
  <sheetFormatPr baseColWidth="10" defaultRowHeight="15.05" x14ac:dyDescent="0.3"/>
  <cols>
    <col min="2" max="2" width="13.6640625" bestFit="1" customWidth="1"/>
    <col min="3" max="3" width="13.77734375" bestFit="1" customWidth="1"/>
    <col min="4" max="4" width="14.44140625" bestFit="1" customWidth="1"/>
    <col min="6" max="6" width="12.33203125" bestFit="1" customWidth="1"/>
    <col min="7" max="7" width="12.33203125" customWidth="1"/>
    <col min="8" max="8" width="19.5546875" bestFit="1" customWidth="1"/>
    <col min="9" max="9" width="12.33203125" bestFit="1" customWidth="1"/>
    <col min="10" max="10" width="19.6640625" bestFit="1" customWidth="1"/>
  </cols>
  <sheetData>
    <row r="3" spans="2:11" x14ac:dyDescent="0.3">
      <c r="B3" s="35" t="s">
        <v>15</v>
      </c>
      <c r="C3" s="12" t="s">
        <v>54</v>
      </c>
      <c r="D3" s="2" t="s">
        <v>55</v>
      </c>
      <c r="E3" s="2" t="s">
        <v>6</v>
      </c>
      <c r="F3" s="2" t="s">
        <v>33</v>
      </c>
      <c r="G3" s="2" t="s">
        <v>58</v>
      </c>
      <c r="H3" s="2" t="s">
        <v>56</v>
      </c>
      <c r="I3" s="2" t="s">
        <v>37</v>
      </c>
      <c r="J3" s="2" t="s">
        <v>57</v>
      </c>
      <c r="K3" s="2"/>
    </row>
    <row r="4" spans="2:11" x14ac:dyDescent="0.3">
      <c r="B4" s="14">
        <v>0</v>
      </c>
      <c r="C4" s="17">
        <v>-1100000</v>
      </c>
      <c r="D4" s="13"/>
      <c r="E4" s="2"/>
      <c r="F4" s="2"/>
      <c r="G4" s="16">
        <v>600000</v>
      </c>
      <c r="H4" s="33">
        <f>SUM(C4:G4)</f>
        <v>-500000</v>
      </c>
      <c r="I4" s="2"/>
      <c r="J4" s="33">
        <f>H4+I4</f>
        <v>-500000</v>
      </c>
      <c r="K4" s="2"/>
    </row>
    <row r="5" spans="2:11" x14ac:dyDescent="0.3">
      <c r="B5" s="14">
        <v>1</v>
      </c>
      <c r="C5" s="13"/>
      <c r="D5" s="13"/>
      <c r="E5" s="16">
        <v>-60000</v>
      </c>
      <c r="F5" s="16">
        <v>950000</v>
      </c>
      <c r="G5" s="38">
        <f>G9</f>
        <v>-369069.76744186052</v>
      </c>
      <c r="H5" s="33">
        <f t="shared" ref="H5:H6" si="0">SUM(C5:G5)</f>
        <v>520930.23255813948</v>
      </c>
      <c r="I5" s="16">
        <f>MIN(0,I8*H5*-1)</f>
        <v>-130232.55813953487</v>
      </c>
      <c r="J5" s="33">
        <f>I5+H5</f>
        <v>390697.67441860458</v>
      </c>
      <c r="K5" s="2"/>
    </row>
    <row r="6" spans="2:11" x14ac:dyDescent="0.3">
      <c r="B6" s="14">
        <v>2</v>
      </c>
      <c r="C6" s="13"/>
      <c r="D6" s="17">
        <v>350000</v>
      </c>
      <c r="E6" s="16">
        <v>-80000</v>
      </c>
      <c r="F6" s="16">
        <v>950000</v>
      </c>
      <c r="G6" s="38">
        <f>G9</f>
        <v>-369069.76744186052</v>
      </c>
      <c r="H6" s="33">
        <f>SUM(C6:G6)</f>
        <v>850930.23255813948</v>
      </c>
      <c r="I6" s="16">
        <f>MIN(0,I8*H6*-1)</f>
        <v>-212732.55813953487</v>
      </c>
      <c r="J6" s="33">
        <f>I6+H6</f>
        <v>638197.67441860458</v>
      </c>
      <c r="K6" s="2"/>
    </row>
    <row r="7" spans="2:11" x14ac:dyDescent="0.3">
      <c r="B7" s="14"/>
      <c r="C7" s="29"/>
      <c r="D7" s="39"/>
      <c r="E7" s="40"/>
      <c r="F7" s="40"/>
      <c r="G7" s="41"/>
      <c r="H7" s="42"/>
      <c r="I7" s="42"/>
      <c r="J7" s="42"/>
      <c r="K7" s="42"/>
    </row>
    <row r="8" spans="2:11" x14ac:dyDescent="0.3">
      <c r="F8" s="2" t="s">
        <v>59</v>
      </c>
      <c r="G8" s="9">
        <v>0.15</v>
      </c>
      <c r="H8" s="23" t="s">
        <v>60</v>
      </c>
      <c r="I8" s="9">
        <v>0.25</v>
      </c>
    </row>
    <row r="9" spans="2:11" x14ac:dyDescent="0.3">
      <c r="F9" s="2" t="s">
        <v>13</v>
      </c>
      <c r="G9" s="10">
        <f>PMT(G8,B6,G4)</f>
        <v>-369069.76744186052</v>
      </c>
      <c r="H9" s="2"/>
      <c r="I9" s="2"/>
    </row>
    <row r="11" spans="2:11" x14ac:dyDescent="0.3">
      <c r="F11" s="2" t="s">
        <v>61</v>
      </c>
      <c r="G11" s="9">
        <f>IRR(J4:J6)</f>
        <v>0.5861222942225115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Fresadora</vt:lpstr>
      <vt:lpstr>3. TVEO</vt:lpstr>
      <vt:lpstr>4. Cementera</vt:lpstr>
      <vt:lpstr>5. </vt:lpstr>
      <vt:lpstr>6. Camión de Volteo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2022-10-26T23:34:18Z</dcterms:created>
  <dcterms:modified xsi:type="dcterms:W3CDTF">2022-11-10T01:50:17Z</dcterms:modified>
</cp:coreProperties>
</file>