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3348" documentId="8_{11581BE0-299A-8F49-932A-90BA12D1B0CB}" xr6:coauthVersionLast="47" xr6:coauthVersionMax="47" xr10:uidLastSave="{B49B94E5-EA3A-7B48-BC21-F47C3EC6208F}"/>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ReadingList!$A$1:$N$139</definedName>
    <definedName name="_xlchart.v1.0" hidden="1">WorkFlow!$G$17</definedName>
    <definedName name="_xlchart.v1.1" hidden="1">WorkFlow!$G$17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2" l="1"/>
  <c r="N7" i="7"/>
  <c r="N6" i="7"/>
  <c r="N5" i="7"/>
  <c r="N4" i="7"/>
  <c r="N3" i="7"/>
  <c r="L7" i="7"/>
  <c r="L6" i="7"/>
  <c r="L5" i="7"/>
  <c r="L4" i="7"/>
  <c r="L3" i="7"/>
  <c r="M7" i="7"/>
  <c r="M6" i="7"/>
  <c r="M5" i="7"/>
  <c r="M4" i="7"/>
  <c r="M3" i="7"/>
  <c r="F3" i="7"/>
  <c r="J12" i="12" l="1"/>
  <c r="J14" i="12"/>
  <c r="K14" i="12"/>
  <c r="K13" i="12"/>
  <c r="K12" i="12"/>
  <c r="J13" i="12"/>
  <c r="I14" i="12"/>
  <c r="I13" i="12"/>
  <c r="I12" i="12"/>
  <c r="H14" i="12"/>
  <c r="H13" i="12"/>
  <c r="H12" i="12"/>
  <c r="K11" i="12" l="1"/>
  <c r="J11" i="12"/>
  <c r="I11" i="12"/>
  <c r="H11" i="12"/>
  <c r="E2" i="2"/>
  <c r="I2" i="2"/>
  <c r="H2" i="2"/>
  <c r="G2" i="2"/>
  <c r="F2" i="2"/>
  <c r="A4" i="11" l="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3" i="11"/>
  <c r="C6" i="7"/>
  <c r="D9" i="7"/>
  <c r="E9" i="7"/>
  <c r="D3" i="7"/>
  <c r="E3" i="7"/>
  <c r="C3" i="7"/>
  <c r="B10" i="7"/>
  <c r="B11" i="7" s="1"/>
  <c r="B12" i="7" l="1"/>
  <c r="D11" i="7"/>
  <c r="D10" i="7"/>
  <c r="E10" i="7"/>
  <c r="E12" i="7"/>
  <c r="E11" i="7"/>
  <c r="D2" i="2"/>
  <c r="B2" i="2"/>
  <c r="G9" i="7"/>
  <c r="C9" i="7"/>
  <c r="I3" i="7"/>
  <c r="H3" i="7"/>
  <c r="G3" i="7"/>
  <c r="B13" i="7" l="1"/>
  <c r="D12" i="7"/>
  <c r="C10" i="7"/>
  <c r="B14" i="7" l="1"/>
  <c r="D13" i="7"/>
  <c r="E13" i="7"/>
  <c r="G10" i="7"/>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B15" i="7" l="1"/>
  <c r="E14" i="7"/>
  <c r="D14" i="7"/>
  <c r="G11" i="7"/>
  <c r="C12" i="7"/>
  <c r="B16" i="7" l="1"/>
  <c r="D15" i="7"/>
  <c r="E15" i="7"/>
  <c r="G12" i="7"/>
  <c r="C13" i="7"/>
  <c r="B17" i="7" l="1"/>
  <c r="E16" i="7"/>
  <c r="D16" i="7"/>
  <c r="G13" i="7"/>
  <c r="C14" i="7"/>
  <c r="B18" i="7" l="1"/>
  <c r="D17" i="7"/>
  <c r="E17" i="7"/>
  <c r="G14" i="7"/>
  <c r="C15" i="7"/>
  <c r="B19" i="7" l="1"/>
  <c r="D18" i="7"/>
  <c r="E18" i="7"/>
  <c r="G15" i="7"/>
  <c r="C16" i="7"/>
  <c r="B20" i="7" l="1"/>
  <c r="D19" i="7"/>
  <c r="E19" i="7"/>
  <c r="G16" i="7"/>
  <c r="C17" i="7"/>
  <c r="B21" i="7" l="1"/>
  <c r="E20" i="7"/>
  <c r="D20" i="7"/>
  <c r="G17" i="7"/>
  <c r="C18" i="7"/>
  <c r="B22" i="7" l="1"/>
  <c r="E21" i="7"/>
  <c r="D21" i="7"/>
  <c r="G18" i="7"/>
  <c r="C19" i="7"/>
  <c r="B23" i="7" l="1"/>
  <c r="D22" i="7"/>
  <c r="E22" i="7"/>
  <c r="G19" i="7"/>
  <c r="C20" i="7"/>
  <c r="B24" i="7" l="1"/>
  <c r="E23" i="7"/>
  <c r="D23" i="7"/>
  <c r="G20" i="7"/>
  <c r="C21" i="7"/>
  <c r="B25" i="7" l="1"/>
  <c r="E24" i="7"/>
  <c r="D24" i="7"/>
  <c r="G21" i="7"/>
  <c r="C22" i="7"/>
  <c r="B26" i="7" l="1"/>
  <c r="D25" i="7"/>
  <c r="E25" i="7"/>
  <c r="G22" i="7"/>
  <c r="C23" i="7"/>
  <c r="B27" i="7" l="1"/>
  <c r="D26" i="7"/>
  <c r="E26" i="7"/>
  <c r="G23" i="7"/>
  <c r="C24" i="7"/>
  <c r="B28" i="7" l="1"/>
  <c r="E27" i="7"/>
  <c r="D27" i="7"/>
  <c r="G24" i="7"/>
  <c r="C25" i="7"/>
  <c r="B29" i="7" l="1"/>
  <c r="D28" i="7"/>
  <c r="E28" i="7"/>
  <c r="G25" i="7"/>
  <c r="C26" i="7"/>
  <c r="B30" i="7" l="1"/>
  <c r="E29" i="7"/>
  <c r="D29" i="7"/>
  <c r="G26" i="7"/>
  <c r="C27" i="7"/>
  <c r="B31" i="7" l="1"/>
  <c r="E30" i="7"/>
  <c r="D30" i="7"/>
  <c r="G27" i="7"/>
  <c r="C28" i="7"/>
  <c r="B32" i="7" l="1"/>
  <c r="E31" i="7"/>
  <c r="D31" i="7"/>
  <c r="G28" i="7"/>
  <c r="C29" i="7"/>
  <c r="B33" i="7" l="1"/>
  <c r="D32" i="7"/>
  <c r="E32" i="7"/>
  <c r="G29" i="7"/>
  <c r="C30" i="7"/>
  <c r="E33" i="7" l="1"/>
  <c r="D33" i="7"/>
  <c r="G30" i="7"/>
  <c r="C31" i="7"/>
  <c r="G31" i="7" l="1"/>
  <c r="C32" i="7"/>
  <c r="G32" i="7" l="1"/>
  <c r="C33" i="7"/>
  <c r="G33" i="7" l="1"/>
  <c r="B6" i="7"/>
  <c r="F22" i="7" s="1"/>
  <c r="F18" i="7"/>
  <c r="F11" i="7"/>
  <c r="F33" i="7"/>
  <c r="F14" i="7"/>
  <c r="F20" i="7"/>
  <c r="F24" i="7"/>
  <c r="F13" i="7" l="1"/>
  <c r="F16" i="7"/>
  <c r="F15" i="7"/>
  <c r="F31" i="7"/>
  <c r="F12" i="7"/>
  <c r="F21" i="7"/>
  <c r="F29" i="7"/>
  <c r="F9" i="7"/>
  <c r="F28" i="7"/>
  <c r="F10" i="7"/>
  <c r="F30" i="7"/>
  <c r="F27" i="7"/>
  <c r="F32" i="7"/>
  <c r="F6" i="7"/>
  <c r="I6" i="7" s="1"/>
  <c r="F26" i="7"/>
  <c r="F19" i="7"/>
  <c r="F23" i="7"/>
  <c r="F17" i="7"/>
  <c r="F25" i="7"/>
  <c r="H27" i="7" l="1"/>
  <c r="H31" i="7"/>
  <c r="H28" i="7"/>
  <c r="H22" i="7"/>
  <c r="H17" i="7"/>
  <c r="H15" i="7"/>
  <c r="E6" i="7"/>
  <c r="G6" i="7" s="1"/>
  <c r="H21" i="7"/>
  <c r="H11" i="7"/>
  <c r="H18" i="7"/>
  <c r="H30" i="7"/>
  <c r="H12" i="7"/>
  <c r="H20" i="7"/>
  <c r="H23" i="7"/>
  <c r="H19" i="7"/>
  <c r="H14" i="7"/>
  <c r="H10" i="7"/>
  <c r="H24" i="7"/>
  <c r="H33" i="7"/>
  <c r="H32" i="7"/>
  <c r="D6" i="7"/>
  <c r="H25" i="7"/>
  <c r="H26" i="7"/>
  <c r="H16" i="7"/>
  <c r="H29" i="7"/>
  <c r="H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<sst xmlns="http://schemas.openxmlformats.org/spreadsheetml/2006/main" count="1688" uniqueCount="936">
  <si>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</si>
  <si>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</si>
  <si>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</si>
  <si>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</si>
  <si>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</si>
  <si>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</si>
  <si>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</si>
  <si>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</si>
  <si>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</si>
  <si>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</si>
  <si>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</si>
  <si>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</si>
  <si>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</si>
  <si>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</si>
  <si>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</si>
  <si>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</si>
  <si>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</si>
  <si>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</si>
  <si>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</si>
  <si>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</si>
  <si>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</si>
  <si>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</si>
  <si>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</si>
  <si>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</si>
  <si>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</si>
  <si>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</si>
  <si>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</si>
  <si>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</si>
  <si>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</si>
  <si>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</si>
  <si>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</si>
  <si>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</si>
  <si>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</si>
  <si>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</si>
  <si>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</si>
  <si>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</si>
  <si>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</si>
  <si>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</si>
  <si>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</si>
  <si>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</si>
  <si>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</si>
  <si>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</si>
  <si>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</si>
  <si>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</si>
  <si>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</si>
  <si>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</si>
  <si>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</si>
  <si>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</si>
  <si>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</si>
  <si>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</si>
  <si>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</si>
  <si>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</si>
  <si>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</si>
  <si>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</si>
  <si>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</si>
  <si>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</si>
  <si>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</si>
  <si>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</si>
  <si>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</si>
  <si>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</si>
  <si>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</si>
  <si>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</si>
  <si>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</si>
  <si>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</si>
  <si>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</si>
  <si>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</si>
  <si>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</si>
  <si>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</si>
  <si>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</si>
  <si>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</si>
  <si>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</si>
  <si>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</si>
  <si>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</si>
  <si>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</si>
  <si>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</si>
  <si>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</si>
  <si>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</si>
  <si>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</si>
  <si>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</si>
  <si>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</si>
  <si>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</si>
  <si>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</si>
  <si>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</si>
  <si>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</si>
  <si>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</si>
  <si>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</si>
  <si>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</si>
  <si>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</si>
  <si>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</si>
  <si>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</si>
  <si>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</si>
  <si>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</si>
  <si>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</si>
  <si>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</si>
  <si>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</si>
  <si>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</si>
  <si>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</si>
  <si>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</si>
  <si>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</si>
  <si>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</si>
  <si>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</si>
  <si>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</si>
  <si>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</si>
  <si>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</si>
  <si>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</si>
  <si>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</si>
  <si>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</si>
  <si>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</si>
  <si>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</si>
  <si>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</si>
  <si>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</si>
  <si>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</si>
  <si>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</si>
  <si>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</si>
  <si>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</si>
  <si>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</si>
  <si>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</si>
  <si>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</si>
  <si>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</si>
  <si>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</si>
  <si>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</si>
  <si>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</si>
  <si>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</si>
  <si>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</si>
  <si>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</si>
  <si>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</si>
  <si>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</si>
  <si>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</si>
  <si>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</si>
  <si>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</si>
  <si>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</si>
  <si>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</si>
  <si>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</si>
  <si>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</si>
  <si>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</si>
  <si>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</si>
  <si>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</si>
  <si>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</si>
  <si>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</si>
  <si>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</si>
  <si>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</si>
  <si>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</si>
  <si>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</si>
  <si>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</si>
  <si>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</si>
  <si>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</si>
  <si>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</si>
  <si>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</si>
  <si>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</si>
  <si>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</si>
  <si>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</si>
  <si>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</si>
  <si>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</si>
  <si>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</si>
  <si>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</si>
  <si>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</si>
  <si>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</si>
  <si>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</si>
  <si>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</si>
  <si>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</si>
  <si>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</si>
  <si>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</si>
  <si>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</si>
  <si>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</si>
  <si>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</si>
  <si>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</si>
  <si>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</si>
  <si>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</si>
  <si>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</si>
  <si>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</si>
  <si>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</si>
  <si>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</si>
  <si>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</si>
  <si>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</si>
  <si>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</si>
  <si>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</si>
  <si>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</si>
  <si>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</si>
  <si>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</si>
  <si>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</si>
  <si>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</si>
  <si>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</si>
  <si>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</si>
  <si>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</si>
  <si>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</si>
  <si>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</si>
  <si>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</si>
  <si>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</si>
  <si>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</si>
  <si>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</si>
  <si>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</si>
  <si>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</si>
  <si>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</si>
  <si>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</si>
  <si>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</si>
  <si>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</si>
  <si>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</si>
  <si>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</si>
  <si>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</si>
  <si>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</si>
  <si>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</si>
  <si>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</si>
  <si>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</si>
  <si>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</si>
  <si>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</si>
  <si>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</si>
  <si>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</si>
  <si>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</si>
  <si>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</si>
  <si>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</si>
  <si>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</si>
  <si>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</si>
  <si>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</si>
  <si>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</si>
  <si>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</si>
  <si>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</si>
  <si>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</si>
  <si>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</si>
  <si>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</si>
  <si>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</si>
  <si>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</si>
  <si>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</si>
  <si>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</si>
  <si>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</si>
  <si>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</si>
  <si>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</si>
  <si>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</si>
  <si>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</si>
  <si>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</si>
  <si>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</si>
  <si>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</si>
  <si>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</si>
  <si>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</si>
  <si>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</si>
  <si>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</si>
  <si>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</si>
  <si>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</si>
  <si>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</si>
  <si>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</si>
  <si>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</si>
  <si>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</si>
  <si>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</si>
  <si>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</si>
  <si>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</si>
  <si>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</si>
  <si>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</si>
  <si>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</si>
  <si>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</si>
  <si>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</si>
  <si>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</si>
  <si>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</si>
  <si>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</si>
  <si>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</si>
  <si>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</si>
  <si>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</si>
  <si>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</si>
  <si>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</si>
  <si>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</si>
  <si>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</si>
  <si>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</si>
  <si>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</si>
  <si>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</si>
  <si>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</si>
  <si>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</si>
  <si>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</si>
  <si>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</si>
  <si>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</si>
  <si>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</si>
  <si>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</si>
  <si>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</si>
  <si>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</si>
  <si>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</si>
  <si>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</si>
  <si>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</si>
  <si>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</si>
  <si>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</si>
  <si>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</si>
  <si>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</si>
  <si>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</si>
  <si>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</si>
  <si>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</si>
  <si>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</si>
  <si>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</si>
  <si>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</si>
  <si>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</si>
  <si>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</si>
  <si>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</si>
  <si>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</si>
  <si>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</si>
  <si>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</si>
  <si>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</si>
  <si>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</si>
  <si>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</si>
  <si>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</si>
  <si>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</si>
  <si>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</si>
  <si>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</si>
  <si>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</si>
  <si>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</si>
  <si>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</si>
  <si>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</si>
  <si>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</si>
  <si>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</si>
  <si>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</si>
  <si>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</si>
  <si>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</si>
  <si>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</si>
  <si>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</si>
  <si>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</si>
  <si>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</si>
  <si>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</si>
  <si>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</si>
  <si>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</si>
  <si>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</si>
  <si>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</si>
  <si>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</si>
  <si>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</si>
  <si>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</si>
  <si>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</si>
  <si>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</si>
  <si>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</si>
  <si>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</si>
  <si>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</si>
  <si>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</si>
  <si>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</si>
  <si>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</si>
  <si>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Goal</t>
  </si>
  <si>
    <t>Distribution operator (DO), Service operator (SO), Market operator, Distribution system, Centralized controller (CC), Electrical Network Operator (ENO), Charging network operator (CNO), Distribution company (DISCO)</t>
  </si>
  <si>
    <t>Comment</t>
  </si>
  <si>
    <t>E (Included)</t>
  </si>
  <si>
    <t>NetworkProblem</t>
  </si>
  <si>
    <t>Category</t>
  </si>
  <si>
    <t>SingleProblem</t>
  </si>
  <si>
    <t>MultiProblem</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</si>
  <si>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</si>
  <si>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</si>
  <si>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</si>
  <si>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</si>
  <si>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</si>
  <si>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</si>
  <si>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</si>
  <si>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</si>
  <si>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</si>
  <si>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</si>
  <si>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</si>
  <si>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</si>
  <si>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</si>
  <si>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</si>
  <si>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</si>
  <si>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</si>
  <si>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</si>
  <si>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</si>
  <si>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</si>
  <si>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</si>
  <si>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</si>
  <si>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</si>
  <si>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</si>
  <si>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</si>
  <si>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</si>
  <si>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</si>
  <si>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</si>
  <si>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</si>
  <si>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</si>
  <si>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</si>
  <si>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</si>
  <si>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</si>
  <si>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</si>
  <si>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</si>
  <si>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</si>
  <si>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</si>
  <si>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</si>
  <si>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</si>
  <si>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</si>
  <si>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</si>
  <si>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</si>
  <si>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</si>
  <si>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</si>
  <si>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</si>
  <si>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</si>
  <si>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</si>
  <si>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</si>
  <si>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</si>
  <si>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</si>
  <si>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</si>
  <si>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</si>
  <si>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</si>
  <si>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</si>
  <si>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</si>
  <si>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</si>
  <si>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</si>
  <si>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</si>
  <si>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</si>
  <si>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</si>
  <si>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</si>
  <si>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</si>
  <si>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</si>
  <si>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</si>
  <si>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</si>
  <si>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</si>
  <si>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</si>
  <si>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</si>
  <si>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</si>
  <si>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</si>
  <si>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</si>
  <si>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</si>
  <si>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</si>
  <si>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</si>
  <si>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</si>
  <si>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</si>
  <si>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</si>
  <si>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</si>
  <si>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</si>
  <si>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</si>
  <si>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</si>
  <si>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</si>
  <si>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</si>
  <si>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</si>
  <si>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</si>
  <si>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</si>
  <si>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</si>
  <si>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</si>
  <si>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</si>
  <si>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</si>
  <si>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</si>
  <si>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</si>
  <si>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</si>
  <si>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</si>
  <si>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</si>
  <si>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</si>
  <si>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</si>
  <si>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</si>
  <si>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</si>
  <si>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</si>
  <si>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</si>
  <si>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</si>
  <si>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</si>
  <si>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</si>
  <si>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</si>
  <si>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</si>
  <si>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</si>
  <si>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</si>
  <si>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</si>
  <si>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</si>
  <si>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</si>
  <si>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</si>
  <si>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</si>
  <si>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</si>
  <si>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</si>
  <si>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</si>
  <si>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</si>
  <si>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</si>
  <si>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</si>
  <si>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</si>
  <si>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</si>
  <si>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</si>
  <si>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</si>
  <si>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</si>
  <si>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</si>
  <si>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</si>
  <si>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</si>
  <si>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</si>
  <si>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</si>
  <si>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</si>
  <si>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</si>
  <si>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</si>
  <si>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</si>
  <si>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</si>
  <si>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</si>
  <si>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</si>
  <si>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</si>
  <si>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</si>
  <si>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</si>
  <si>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</si>
  <si>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</si>
  <si>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</si>
  <si>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</si>
  <si>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</si>
  <si>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</si>
  <si>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</si>
  <si>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</si>
  <si>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</si>
  <si>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</si>
  <si>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</si>
  <si>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</si>
  <si>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</si>
  <si>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</si>
  <si>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</si>
  <si>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</si>
  <si>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</si>
  <si>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</si>
  <si>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</si>
  <si>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</si>
  <si>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</si>
  <si>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</si>
  <si>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</si>
  <si>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</si>
  <si>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</si>
  <si>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</si>
  <si>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</si>
  <si>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</si>
  <si>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</si>
  <si>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</si>
  <si>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</si>
  <si>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</si>
  <si>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</si>
  <si>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</si>
  <si>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</si>
  <si>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</si>
  <si>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</si>
  <si>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</si>
  <si>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</si>
  <si>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</si>
  <si>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</si>
  <si>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</si>
  <si>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</si>
  <si>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</si>
  <si>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</si>
  <si>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</si>
  <si>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</si>
  <si>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</si>
  <si>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</si>
  <si>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Resiliency‐Oriented Islanding Of Distribution Network In The Presence Of Charging Stations For Electric Vehicles</t>
  </si>
  <si>
    <t>M Alizadeh, M Jafari‐Nokandi…</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</si>
  <si>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</si>
  <si>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</si>
  <si>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</si>
  <si>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</si>
  <si>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</si>
  <si>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</si>
  <si>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</si>
  <si>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</si>
  <si>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</si>
  <si>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</si>
  <si>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</si>
  <si>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</si>
  <si>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</si>
  <si>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</si>
  <si>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</si>
  <si>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</si>
  <si>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</si>
  <si>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</si>
  <si>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</si>
  <si>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</si>
  <si>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</si>
  <si>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</si>
  <si>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</si>
  <si>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</si>
  <si>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</si>
  <si>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</si>
  <si>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</si>
  <si>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</si>
  <si>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</si>
  <si>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</si>
  <si>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</si>
  <si>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</si>
  <si>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</si>
  <si>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</si>
  <si>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</si>
  <si>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</si>
  <si>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</si>
  <si>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</si>
  <si>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</si>
  <si>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</si>
  <si>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</si>
  <si>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</si>
  <si>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</si>
  <si>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</si>
  <si>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</si>
  <si>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</si>
  <si>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</si>
  <si>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</si>
  <si>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</si>
  <si>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</si>
  <si>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</si>
  <si>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</si>
  <si>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</si>
  <si>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</si>
  <si>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</si>
  <si>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</si>
  <si>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</si>
  <si>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</si>
  <si>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</si>
  <si>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</si>
  <si>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</si>
  <si>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</si>
  <si>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</si>
  <si>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</si>
  <si>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</si>
  <si>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</si>
  <si>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</si>
  <si>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</si>
  <si>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</si>
  <si>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</si>
  <si>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</si>
  <si>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</si>
  <si>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</si>
  <si>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</si>
  <si>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</si>
  <si>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</si>
  <si>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</si>
  <si>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</si>
  <si>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</si>
  <si>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</si>
  <si>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</si>
  <si>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</si>
  <si>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</si>
  <si>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</si>
  <si>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</si>
  <si>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</si>
  <si>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</si>
  <si>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</si>
  <si>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</si>
  <si>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</si>
  <si>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</si>
  <si>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</si>
  <si>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</si>
  <si>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</si>
  <si>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</si>
  <si>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</si>
  <si>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</si>
  <si>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</si>
  <si>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</si>
  <si>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</si>
  <si>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</si>
  <si>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</si>
  <si>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</si>
  <si>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</si>
  <si>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</si>
  <si>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</si>
  <si>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</si>
  <si>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</si>
  <si>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</si>
  <si>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</si>
  <si>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</si>
  <si>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</si>
  <si>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</si>
  <si>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</si>
  <si>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</si>
  <si>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</si>
  <si>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</si>
  <si>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</si>
  <si>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</si>
  <si>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</si>
  <si>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</si>
  <si>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</si>
  <si>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</si>
  <si>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</si>
  <si>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</si>
  <si>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</si>
  <si>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</si>
  <si>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</si>
  <si>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</si>
  <si>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</si>
  <si>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</si>
  <si>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</si>
  <si>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</si>
  <si>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</si>
  <si>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</si>
  <si>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</si>
  <si>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</si>
  <si>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</si>
  <si>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</si>
  <si>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</si>
  <si>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</si>
  <si>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</si>
  <si>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</si>
  <si>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</si>
  <si>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</si>
  <si>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</si>
  <si>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</si>
  <si>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</si>
  <si>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</si>
  <si>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</si>
  <si>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</si>
  <si>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</si>
  <si>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</si>
  <si>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</si>
  <si>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</si>
  <si>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</si>
  <si>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</si>
  <si>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</si>
  <si>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</si>
  <si>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</si>
  <si>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</si>
  <si>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</si>
  <si>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</si>
  <si>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</si>
  <si>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</si>
  <si>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</si>
  <si>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</si>
  <si>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</si>
  <si>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</si>
  <si>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</si>
  <si>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</si>
  <si>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</si>
  <si>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</si>
  <si>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</si>
  <si>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</si>
  <si>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</si>
  <si>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</si>
  <si>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</si>
  <si>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</si>
  <si>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</si>
  <si>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</si>
  <si>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</si>
  <si>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</si>
  <si>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</si>
  <si>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</si>
  <si>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</si>
  <si>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</si>
  <si>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</si>
  <si>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</si>
  <si>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</si>
  <si>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</si>
  <si>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</si>
  <si>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</si>
  <si>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</si>
  <si>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</si>
  <si>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</si>
  <si>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</si>
  <si>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</si>
  <si>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</si>
  <si>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</si>
  <si>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</si>
  <si>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</si>
  <si>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</si>
  <si>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</si>
  <si>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</si>
  <si>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</si>
  <si>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</si>
  <si>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</si>
  <si>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</si>
  <si>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</si>
  <si>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</si>
  <si>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</si>
  <si>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</si>
  <si>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</si>
  <si>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</si>
  <si>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</si>
  <si>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</si>
  <si>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</si>
  <si>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</si>
  <si>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</si>
  <si>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</si>
  <si>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</si>
  <si>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</si>
  <si>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</si>
  <si>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</si>
  <si>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</si>
  <si>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</si>
  <si>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</si>
  <si>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</si>
  <si>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</si>
  <si>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</si>
  <si>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</si>
  <si>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</si>
  <si>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</si>
  <si>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</si>
  <si>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</si>
  <si>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</si>
  <si>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</si>
  <si>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</si>
  <si>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</si>
  <si>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</si>
  <si>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</si>
  <si>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</si>
  <si>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</si>
  <si>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</si>
  <si>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</si>
  <si>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</si>
  <si>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</si>
  <si>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</si>
  <si>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</si>
  <si>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</si>
  <si>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</si>
  <si>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</si>
  <si>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</si>
  <si>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</si>
  <si>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</si>
  <si>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</si>
  <si>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</si>
  <si>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</si>
  <si>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</si>
  <si>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</si>
  <si>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</si>
  <si>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</si>
  <si>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</si>
  <si>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</si>
  <si>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</si>
  <si>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</si>
  <si>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</si>
  <si>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</si>
  <si>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</si>
  <si>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</si>
  <si>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</si>
  <si>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</si>
  <si>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</si>
  <si>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</si>
  <si>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</si>
  <si>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</si>
  <si>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</si>
  <si>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</si>
  <si>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</si>
  <si>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</si>
  <si>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</si>
  <si>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</si>
  <si>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</si>
  <si>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</si>
  <si>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</si>
  <si>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</si>
  <si>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</si>
  <si>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</si>
  <si>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</si>
  <si>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</si>
  <si>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</si>
  <si>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</si>
  <si>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</si>
  <si>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</si>
  <si>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</si>
  <si>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</si>
  <si>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</si>
  <si>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</si>
  <si>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</si>
  <si>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</si>
  <si>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</si>
  <si>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</si>
  <si>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</si>
  <si>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</si>
  <si>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</si>
  <si>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</si>
  <si>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</si>
  <si>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</si>
  <si>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</si>
  <si>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</si>
  <si>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</si>
  <si>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</si>
  <si>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</si>
  <si>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</si>
  <si>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</si>
  <si>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</si>
  <si>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</si>
  <si>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</si>
  <si>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</si>
  <si>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</si>
  <si>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</si>
  <si>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</si>
  <si>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</si>
  <si>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</si>
  <si>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</si>
  <si>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</si>
  <si>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</si>
  <si>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Given</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</si>
  <si>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</si>
  <si>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</si>
  <si>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</si>
  <si>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</si>
  <si>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</si>
  <si>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</si>
  <si>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</si>
  <si>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</si>
  <si>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</si>
  <si>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</si>
  <si>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</si>
  <si>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</si>
  <si>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</si>
  <si>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</si>
  <si>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</si>
  <si>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</si>
  <si>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</si>
  <si>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</si>
  <si>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</si>
  <si>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</si>
  <si>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</si>
  <si>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</si>
  <si>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Concepts</t>
  </si>
  <si>
    <t>Autonomous</t>
  </si>
  <si>
    <t>Hybrid</t>
  </si>
  <si>
    <t>Exclusion criteria</t>
  </si>
  <si>
    <t>Type of vehicles</t>
  </si>
  <si>
    <t>Journal articles</t>
  </si>
  <si>
    <t>English</t>
  </si>
  <si>
    <t>Selection criteria</t>
  </si>
  <si>
    <t>Bi-level or Tri-level model</t>
  </si>
  <si>
    <t>Programming</t>
  </si>
  <si>
    <t>Records found</t>
  </si>
  <si>
    <t>Single facility charging problem</t>
  </si>
  <si>
    <t>Multi-facility charging problem</t>
  </si>
  <si>
    <t>Distribution network problem</t>
  </si>
  <si>
    <t>Classified articles</t>
  </si>
  <si>
    <t>Google Scholar</t>
  </si>
  <si>
    <t>Compendex or Inspec</t>
  </si>
  <si>
    <t>Bi-level (Bilevel)</t>
  </si>
  <si>
    <t>Tri-level (Trilevel)</t>
  </si>
  <si>
    <t>Optimization (Optimisation)</t>
  </si>
  <si>
    <t>Placement/Design</t>
  </si>
  <si>
    <t>Placement</t>
  </si>
  <si>
    <t>It is not a coordination study</t>
  </si>
  <si>
    <t>Retracted</t>
  </si>
  <si>
    <t>@article{yu2015centralized,
  title={Centralized bi-level spatial-temporal coordination charging strategy for area electric vehicles},
  author={Yu, Lei and Zhao, Tianyang and Chen, Qifang and Zhang, Jianhua},
  journal={CSEE Journal of Power and Energy Systems},
  volume={1},
  number={4},
  pages={74--83},
  year={2015},
  publisher={CSEE}
}</t>
  </si>
  <si>
    <t>Bi-level optimization, centralized charging, elec- tric vehicles, spatial temporal coordination</t>
  </si>
  <si>
    <t>Minimize power loss</t>
  </si>
  <si>
    <t>Partial</t>
  </si>
  <si>
    <t>Charging spot, Charging post, Charging point, Charging outlet, Customer point of charge (CPOC), Charging socket, Charging hub, Charging machine, EV charger, Smart charger, Charging machine, EVSE port, Charger pilot</t>
  </si>
  <si>
    <t>One-day-ahead</t>
  </si>
  <si>
    <t>24 h</t>
  </si>
  <si>
    <t>Homogeneous (7.68 kW)</t>
  </si>
  <si>
    <t>Homogeneous ()</t>
  </si>
  <si>
    <t>Aggregator-assisted</t>
  </si>
  <si>
    <t>CS</t>
  </si>
  <si>
    <t>NHTS 2009</t>
  </si>
  <si>
    <t>It handles several AUs that handle several charging piles at the same time.</t>
  </si>
  <si>
    <t>This work proposes a bi-level programming model that considers a single leader and several follower given by the AUs. Under this schema, the leader, assumed to be the DSO, aims to minimize the power loss when satisfying the demand by setting the charging schedule on a day-ahead market. In this regard, the AUs, in the model's lower level, minimize the charging cost by following the charging schedule settled by the leader, such that power demand is satisfied.</t>
  </si>
  <si>
    <t>Although this study seems to be the very first addressing the problem using bi-level programming, it lacks of important details such as specifying the type of charging facilities they are working with. Besides, not considering a base power load might change the results since it also bounds the power limit along with the EVSE capacity.</t>
  </si>
  <si>
    <t>It is interesting, but computes the charging time and not how to distribute the power among vehicles</t>
  </si>
  <si>
    <t>Not well written</t>
  </si>
  <si>
    <t>E (completion)</t>
  </si>
  <si>
    <t>It is quite close to article 6 (same authors)</t>
  </si>
  <si>
    <t>Daily read goal</t>
  </si>
  <si>
    <t>It is quite close to article 6</t>
  </si>
  <si>
    <t>Tri-level</t>
  </si>
  <si>
    <t>Bi-level</t>
  </si>
  <si>
    <t>It does not consider bi-level programming. Moreover, it does not present any model</t>
  </si>
  <si>
    <t>It is interesting, but it does not consider bi-level programming.</t>
  </si>
  <si>
    <t>It 'coordinates' the charging/discharging of a BESS</t>
  </si>
  <si>
    <t>Design (# chargers)</t>
  </si>
  <si>
    <t>The called charging strategy is where to charge and not when to do it</t>
  </si>
  <si>
    <t>The coordination it handles is wrt AUs and not Evs</t>
  </si>
  <si>
    <t>Its strength is to handle real data</t>
  </si>
  <si>
    <t>It does not consider bi-level programming not it is a coordination study. Also, it follows the ideas of article 6</t>
  </si>
  <si>
    <t>It does not consider bi-level programming not it is a coordination study.</t>
  </si>
  <si>
    <t>It coordinates the charging but not at an EV level, just at the AU level</t>
  </si>
  <si>
    <t>It considers buses</t>
  </si>
  <si>
    <t>Coordination study</t>
  </si>
  <si>
    <t>Hierarchical optimization</t>
  </si>
  <si>
    <t>Deletion reason</t>
  </si>
  <si>
    <t>Type of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</si>
</sst>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46">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10" fontId="20" fillId="0" borderId="10" xfId="44" applyNumberFormat="1" applyFont="1" applyBorder="1" applyAlignment="1">
      <alignment horizontal="center"/>
    </xf>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3" fontId="0" fillId="0" borderId="0" xfId="0" applyNumberFormat="1" applyAlignment="1">
      <alignment horizontal="left" vertical="top" wrapText="1"/>
    </xf>
    <xf numFmtId="0" fontId="0" fillId="33" borderId="0" xfId="0" applyFill="1"/>
    <xf numFmtId="0" fontId="0" fillId="33" borderId="0" xfId="0" applyFill="1" applyAlignment="1">
      <alignment horizontal="center"/>
    </xf>
    <xf numFmtId="0" fontId="0" fillId="33" borderId="15" xfId="0" applyFill="1" applyBorder="1" applyAlignment="1">
      <alignment horizontal="center"/>
    </xf>
    <xf numFmtId="0" fontId="0" fillId="33" borderId="15" xfId="0" applyFill="1" applyBorder="1"/>
    <xf numFmtId="0" fontId="0" fillId="33" borderId="12" xfId="0" applyFill="1" applyBorder="1"/>
    <xf numFmtId="3" fontId="0" fillId="33" borderId="12" xfId="0" applyNumberFormat="1" applyFill="1" applyBorder="1"/>
    <xf numFmtId="3" fontId="0" fillId="33" borderId="0" xfId="0" applyNumberFormat="1" applyFill="1"/>
    <xf numFmtId="0" fontId="0" fillId="33" borderId="14" xfId="0" applyFill="1" applyBorder="1"/>
    <xf numFmtId="3" fontId="0" fillId="33" borderId="14" xfId="0" applyNumberFormat="1" applyFill="1" applyBorder="1"/>
    <xf numFmtId="3" fontId="0" fillId="33" borderId="15" xfId="0" applyNumberFormat="1" applyFill="1" applyBorder="1"/>
    <xf numFmtId="0" fontId="0" fillId="33" borderId="0" xfId="0" applyFill="1" applyAlignment="1">
      <alignment horizontal="left" vertical="center"/>
    </xf>
    <xf numFmtId="0" fontId="0" fillId="33" borderId="14" xfId="0" applyFill="1" applyBorder="1" applyAlignment="1">
      <alignment horizontal="left" vertical="center"/>
    </xf>
    <xf numFmtId="0" fontId="0" fillId="33" borderId="12" xfId="0" applyFill="1" applyBorder="1" applyAlignment="1">
      <alignment horizontal="center"/>
    </xf>
    <xf numFmtId="0" fontId="19" fillId="0" borderId="0" xfId="43" applyFont="1"/>
    <xf numFmtId="0" fontId="21" fillId="0" borderId="0" xfId="0" applyFont="1"/>
    <xf numFmtId="0" fontId="19" fillId="0" borderId="11" xfId="43" applyFont="1" applyBorder="1" applyAlignment="1">
      <alignment horizontal="center"/>
    </xf>
    <xf numFmtId="0" fontId="19" fillId="0" borderId="12" xfId="43" applyFont="1" applyBorder="1" applyAlignment="1">
      <alignment horizontal="center"/>
    </xf>
    <xf numFmtId="0" fontId="19" fillId="0" borderId="13" xfId="43" applyFont="1" applyBorder="1" applyAlignment="1">
      <alignment horizontal="center"/>
    </xf>
    <xf numFmtId="0" fontId="19" fillId="0" borderId="10" xfId="43" applyFont="1" applyBorder="1" applyAlignment="1">
      <alignment horizontal="center"/>
    </xf>
    <xf numFmtId="0" fontId="19" fillId="0" borderId="10" xfId="43" applyFont="1" applyBorder="1" applyAlignment="1">
      <alignment horizontal="center"/>
    </xf>
    <xf numFmtId="0" fontId="19" fillId="0" borderId="0" xfId="43" applyFont="1" applyAlignment="1">
      <alignment horizontal="center"/>
    </xf>
    <xf numFmtId="14" fontId="19" fillId="0" borderId="10" xfId="43" applyNumberFormat="1" applyFont="1" applyBorder="1" applyAlignment="1">
      <alignment horizontal="center"/>
    </xf>
    <xf numFmtId="14" fontId="19" fillId="0" borderId="0" xfId="43" applyNumberFormat="1" applyFont="1" applyAlignment="1">
      <alignment horizontal="center"/>
    </xf>
    <xf numFmtId="14" fontId="19" fillId="0" borderId="0" xfId="43" applyNumberFormat="1" applyFont="1"/>
    <xf numFmtId="0" fontId="20" fillId="0" borderId="10" xfId="0" applyFont="1" applyBorder="1" applyAlignment="1">
      <alignment horizontal="center"/>
    </xf>
    <xf numFmtId="0" fontId="20" fillId="0" borderId="10" xfId="0" applyFont="1" applyBorder="1" applyAlignment="1"/>
    <xf numFmtId="0" fontId="0" fillId="33" borderId="15" xfId="0" applyFill="1" applyBorder="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4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Published articles per problem and database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WorkFlow!$H$3</c:f>
              <c:strCache>
                <c:ptCount val="1"/>
                <c:pt idx="0">
                  <c:v>Google Scholar</c:v>
                </c:pt>
              </c:strCache>
            </c:strRef>
          </c:tx>
          <c:spPr>
            <a:solidFill>
              <a:schemeClr val="accent1"/>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WorkFlow!$H$12:$H$14</c:f>
              <c:numCache>
                <c:formatCode>General</c:formatCode>
                <c:ptCount val="3"/>
                <c:pt idx="0">
                  <c:v>0</c:v>
                </c:pt>
                <c:pt idx="1">
                  <c:v>1</c:v>
                </c:pt>
                <c:pt idx="2">
                  <c:v>0</c:v>
                </c:pt>
              </c:numCache>
            </c:numRef>
          </c:val>
          <c:extLst>
            <c:ext xmlns:c16="http://schemas.microsoft.com/office/drawing/2014/chart" uri="{C3380CC4-5D6E-409C-BE32-E72D297353CC}">
              <c16:uniqueId val="{00000000-D8AC-3444-B217-EB993E8D8FC8}"/>
            </c:ext>
          </c:extLst>
        </c:ser>
        <c:ser>
          <c:idx val="1"/>
          <c:order val="1"/>
          <c:tx>
            <c:strRef>
              <c:f>WorkFlow!$I$3</c:f>
              <c:strCache>
                <c:ptCount val="1"/>
                <c:pt idx="0">
                  <c:v>WoS</c:v>
                </c:pt>
              </c:strCache>
            </c:strRef>
          </c:tx>
          <c:spPr>
            <a:solidFill>
              <a:schemeClr val="accent2"/>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WorkFlow!$I$12:$I$14</c:f>
              <c:numCache>
                <c:formatCode>General</c:formatCode>
                <c:ptCount val="3"/>
                <c:pt idx="0">
                  <c:v>0</c:v>
                </c:pt>
                <c:pt idx="1">
                  <c:v>0</c:v>
                </c:pt>
                <c:pt idx="2">
                  <c:v>1</c:v>
                </c:pt>
              </c:numCache>
            </c:numRef>
          </c:val>
          <c:extLst>
            <c:ext xmlns:c16="http://schemas.microsoft.com/office/drawing/2014/chart" uri="{C3380CC4-5D6E-409C-BE32-E72D297353CC}">
              <c16:uniqueId val="{00000001-D8AC-3444-B217-EB993E8D8FC8}"/>
            </c:ext>
          </c:extLst>
        </c:ser>
        <c:ser>
          <c:idx val="2"/>
          <c:order val="2"/>
          <c:tx>
            <c:strRef>
              <c:f>WorkFlow!$J$3</c:f>
              <c:strCache>
                <c:ptCount val="1"/>
                <c:pt idx="0">
                  <c:v>Scopus</c:v>
                </c:pt>
              </c:strCache>
            </c:strRef>
          </c:tx>
          <c:spPr>
            <a:solidFill>
              <a:schemeClr val="accent3"/>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WorkFlow!$J$12:$J$14</c:f>
              <c:numCache>
                <c:formatCode>General</c:formatCode>
                <c:ptCount val="3"/>
                <c:pt idx="0">
                  <c:v>0</c:v>
                </c:pt>
                <c:pt idx="1">
                  <c:v>0</c:v>
                </c:pt>
                <c:pt idx="2">
                  <c:v>0</c:v>
                </c:pt>
              </c:numCache>
            </c:numRef>
          </c:val>
          <c:extLst>
            <c:ext xmlns:c16="http://schemas.microsoft.com/office/drawing/2014/chart" uri="{C3380CC4-5D6E-409C-BE32-E72D297353CC}">
              <c16:uniqueId val="{00000002-D8AC-3444-B217-EB993E8D8FC8}"/>
            </c:ext>
          </c:extLst>
        </c:ser>
        <c:ser>
          <c:idx val="3"/>
          <c:order val="3"/>
          <c:tx>
            <c:strRef>
              <c:f>WorkFlow!$K$3</c:f>
              <c:strCache>
                <c:ptCount val="1"/>
                <c:pt idx="0">
                  <c:v>Compendex or Inspec</c:v>
                </c:pt>
              </c:strCache>
            </c:strRef>
          </c:tx>
          <c:spPr>
            <a:solidFill>
              <a:schemeClr val="accent4"/>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WorkFlow!$K$12:$K$14</c:f>
              <c:numCache>
                <c:formatCode>General</c:formatCode>
                <c:ptCount val="3"/>
                <c:pt idx="0">
                  <c:v>0</c:v>
                </c:pt>
                <c:pt idx="1">
                  <c:v>0</c:v>
                </c:pt>
                <c:pt idx="2">
                  <c:v>0</c:v>
                </c:pt>
              </c:numCache>
            </c:numRef>
          </c:val>
          <c:extLst>
            <c:ext xmlns:c16="http://schemas.microsoft.com/office/drawing/2014/chart" uri="{C3380CC4-5D6E-409C-BE32-E72D297353CC}">
              <c16:uniqueId val="{00000003-D8AC-3444-B217-EB993E8D8FC8}"/>
            </c:ext>
          </c:extLst>
        </c:ser>
        <c:dLbls>
          <c:showLegendKey val="0"/>
          <c:showVal val="0"/>
          <c:showCatName val="0"/>
          <c:showSerName val="0"/>
          <c:showPercent val="0"/>
          <c:showBubbleSize val="0"/>
        </c:dLbls>
        <c:gapWidth val="150"/>
        <c:overlap val="100"/>
        <c:axId val="242063536"/>
        <c:axId val="242065216"/>
      </c:barChart>
      <c:catAx>
        <c:axId val="2420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5216"/>
        <c:crosses val="autoZero"/>
        <c:auto val="1"/>
        <c:lblAlgn val="ctr"/>
        <c:lblOffset val="100"/>
        <c:noMultiLvlLbl val="0"/>
      </c:catAx>
      <c:valAx>
        <c:axId val="24206521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64244</xdr:colOff>
      <xdr:row>15</xdr:row>
      <xdr:rowOff>202249</xdr:rowOff>
    </xdr:from>
    <xdr:to>
      <xdr:col>5</xdr:col>
      <xdr:colOff>933737</xdr:colOff>
      <xdr:row>34</xdr:row>
      <xdr:rowOff>25951</xdr:rowOff>
    </xdr:to>
    <xdr:graphicFrame macro="">
      <xdr:nvGraphicFramePr>
        <xdr:cNvPr id="2" name="Chart 1">
          <a:extLst>
            <a:ext uri="{FF2B5EF4-FFF2-40B4-BE49-F238E27FC236}">
              <a16:creationId xmlns:a16="http://schemas.microsoft.com/office/drawing/2014/main" id="{AE1D5015-A5CB-95F1-2197-85F6CDD3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8"/>
  <sheetViews>
    <sheetView tabSelected="1" zoomScale="139" workbookViewId="0"/>
  </sheetViews>
  <sheetFormatPr baseColWidth="10" defaultRowHeight="16" x14ac:dyDescent="0.2"/>
  <cols>
    <col min="1" max="1" width="5.33203125" bestFit="1" customWidth="1"/>
    <col min="2" max="2" width="11" bestFit="1" customWidth="1"/>
    <col min="3" max="3" width="13.33203125" bestFit="1" customWidth="1"/>
    <col min="4" max="4" width="14" bestFit="1" customWidth="1"/>
    <col min="5" max="5" width="18.83203125" bestFit="1" customWidth="1"/>
    <col min="6" max="6" width="36.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252</v>
      </c>
      <c r="C1" t="s">
        <v>417</v>
      </c>
      <c r="D1" t="s">
        <v>416</v>
      </c>
      <c r="E1" t="s">
        <v>894</v>
      </c>
      <c r="F1" t="s">
        <v>328</v>
      </c>
      <c r="G1" t="s">
        <v>331</v>
      </c>
      <c r="H1" t="s">
        <v>0</v>
      </c>
      <c r="I1" t="s">
        <v>1</v>
      </c>
      <c r="J1" t="s">
        <v>2</v>
      </c>
      <c r="K1" t="s">
        <v>3</v>
      </c>
      <c r="L1" t="s">
        <v>4</v>
      </c>
      <c r="M1" t="s">
        <v>5</v>
      </c>
      <c r="N1" t="s">
        <v>6</v>
      </c>
    </row>
    <row r="2" spans="1:14" x14ac:dyDescent="0.2">
      <c r="A2">
        <v>1</v>
      </c>
      <c r="B2" s="7">
        <v>44917</v>
      </c>
      <c r="C2" s="7" t="s">
        <v>849</v>
      </c>
      <c r="D2" s="7" t="s">
        <v>848</v>
      </c>
      <c r="E2" s="7" t="s">
        <v>895</v>
      </c>
      <c r="F2" s="7" t="s">
        <v>873</v>
      </c>
      <c r="G2" s="7" t="s">
        <v>872</v>
      </c>
      <c r="H2" t="s">
        <v>418</v>
      </c>
      <c r="I2" t="s">
        <v>419</v>
      </c>
      <c r="J2" t="s">
        <v>685</v>
      </c>
      <c r="K2">
        <v>2013</v>
      </c>
      <c r="L2" t="s">
        <v>420</v>
      </c>
      <c r="M2" t="s">
        <v>667</v>
      </c>
      <c r="N2" t="s">
        <v>337</v>
      </c>
    </row>
    <row r="3" spans="1:14" x14ac:dyDescent="0.2">
      <c r="A3">
        <f>A2+1</f>
        <v>2</v>
      </c>
      <c r="B3" s="7">
        <v>44917</v>
      </c>
      <c r="C3" s="7" t="s">
        <v>849</v>
      </c>
      <c r="D3" s="7" t="s">
        <v>848</v>
      </c>
      <c r="E3" s="7" t="s">
        <v>849</v>
      </c>
      <c r="F3" s="7" t="s">
        <v>873</v>
      </c>
      <c r="G3" s="7" t="s">
        <v>872</v>
      </c>
      <c r="H3" t="s">
        <v>421</v>
      </c>
      <c r="I3" t="s">
        <v>422</v>
      </c>
      <c r="J3" t="s">
        <v>20</v>
      </c>
      <c r="K3">
        <v>2014</v>
      </c>
      <c r="L3" t="s">
        <v>668</v>
      </c>
      <c r="M3" t="s">
        <v>669</v>
      </c>
      <c r="N3" t="s">
        <v>337</v>
      </c>
    </row>
    <row r="4" spans="1:14" x14ac:dyDescent="0.2">
      <c r="A4">
        <f t="shared" ref="A4:A67" si="0">A3+1</f>
        <v>3</v>
      </c>
      <c r="B4" s="7">
        <v>44917</v>
      </c>
      <c r="C4" s="7" t="s">
        <v>920</v>
      </c>
      <c r="D4" s="7" t="s">
        <v>849</v>
      </c>
      <c r="E4" s="7" t="s">
        <v>895</v>
      </c>
      <c r="F4" s="7" t="s">
        <v>896</v>
      </c>
      <c r="G4" s="7" t="s">
        <v>872</v>
      </c>
      <c r="H4" t="s">
        <v>423</v>
      </c>
      <c r="I4" t="s">
        <v>424</v>
      </c>
      <c r="J4" t="s">
        <v>686</v>
      </c>
      <c r="K4">
        <v>2014</v>
      </c>
      <c r="L4" t="s">
        <v>425</v>
      </c>
      <c r="M4" t="s">
        <v>670</v>
      </c>
      <c r="N4" t="s">
        <v>337</v>
      </c>
    </row>
    <row r="5" spans="1:14" x14ac:dyDescent="0.2">
      <c r="A5">
        <f t="shared" si="0"/>
        <v>4</v>
      </c>
      <c r="B5" s="7">
        <v>44917</v>
      </c>
      <c r="C5" s="7" t="s">
        <v>897</v>
      </c>
      <c r="D5" s="7" t="s">
        <v>897</v>
      </c>
      <c r="E5" s="7" t="s">
        <v>897</v>
      </c>
      <c r="F5" s="7" t="s">
        <v>897</v>
      </c>
      <c r="G5" s="7" t="s">
        <v>872</v>
      </c>
      <c r="H5" t="s">
        <v>426</v>
      </c>
      <c r="I5" t="s">
        <v>427</v>
      </c>
      <c r="J5" t="s">
        <v>428</v>
      </c>
      <c r="K5">
        <v>2015</v>
      </c>
      <c r="L5" t="s">
        <v>429</v>
      </c>
      <c r="M5" t="s">
        <v>430</v>
      </c>
      <c r="N5" t="s">
        <v>377</v>
      </c>
    </row>
    <row r="6" spans="1:14" x14ac:dyDescent="0.2">
      <c r="A6">
        <f t="shared" si="0"/>
        <v>5</v>
      </c>
      <c r="B6" s="7">
        <v>44917</v>
      </c>
      <c r="C6" s="7" t="s">
        <v>920</v>
      </c>
      <c r="D6" s="7" t="s">
        <v>848</v>
      </c>
      <c r="E6" s="7" t="s">
        <v>849</v>
      </c>
      <c r="G6" s="7" t="s">
        <v>333</v>
      </c>
      <c r="H6" t="s">
        <v>431</v>
      </c>
      <c r="I6" t="s">
        <v>432</v>
      </c>
      <c r="J6" t="s">
        <v>687</v>
      </c>
      <c r="K6">
        <v>2015</v>
      </c>
      <c r="L6" t="s">
        <v>671</v>
      </c>
      <c r="M6" t="s">
        <v>672</v>
      </c>
      <c r="N6" t="s">
        <v>337</v>
      </c>
    </row>
    <row r="7" spans="1:14" x14ac:dyDescent="0.2">
      <c r="A7">
        <f t="shared" si="0"/>
        <v>6</v>
      </c>
      <c r="B7" s="7">
        <v>44917</v>
      </c>
      <c r="C7" s="7" t="s">
        <v>920</v>
      </c>
      <c r="D7" s="7" t="s">
        <v>849</v>
      </c>
      <c r="E7" s="7" t="s">
        <v>895</v>
      </c>
      <c r="F7" s="7" t="s">
        <v>913</v>
      </c>
      <c r="G7" s="7" t="s">
        <v>872</v>
      </c>
      <c r="H7" t="s">
        <v>433</v>
      </c>
      <c r="I7" t="s">
        <v>434</v>
      </c>
      <c r="J7" t="s">
        <v>10</v>
      </c>
      <c r="K7">
        <v>2015</v>
      </c>
      <c r="L7" t="s">
        <v>673</v>
      </c>
      <c r="M7" t="s">
        <v>674</v>
      </c>
      <c r="N7" t="s">
        <v>337</v>
      </c>
    </row>
    <row r="8" spans="1:14" x14ac:dyDescent="0.2">
      <c r="A8">
        <f t="shared" si="0"/>
        <v>7</v>
      </c>
      <c r="B8" s="7">
        <v>44918</v>
      </c>
      <c r="C8" s="7" t="s">
        <v>920</v>
      </c>
      <c r="D8" s="7" t="s">
        <v>848</v>
      </c>
      <c r="E8" s="7" t="s">
        <v>849</v>
      </c>
      <c r="F8" s="7" t="s">
        <v>914</v>
      </c>
      <c r="G8" s="7" t="s">
        <v>872</v>
      </c>
      <c r="H8" t="s">
        <v>435</v>
      </c>
      <c r="I8" t="s">
        <v>436</v>
      </c>
      <c r="J8" t="s">
        <v>415</v>
      </c>
      <c r="K8">
        <v>2015</v>
      </c>
      <c r="M8" t="s">
        <v>675</v>
      </c>
      <c r="N8" t="s">
        <v>337</v>
      </c>
    </row>
    <row r="9" spans="1:14" x14ac:dyDescent="0.2">
      <c r="A9">
        <f t="shared" si="0"/>
        <v>8</v>
      </c>
      <c r="B9" s="7">
        <v>44918</v>
      </c>
      <c r="C9" s="7" t="s">
        <v>849</v>
      </c>
      <c r="D9" s="7" t="s">
        <v>848</v>
      </c>
      <c r="E9" s="7" t="s">
        <v>849</v>
      </c>
      <c r="F9" s="7" t="s">
        <v>873</v>
      </c>
      <c r="G9" s="7" t="s">
        <v>872</v>
      </c>
      <c r="H9" t="s">
        <v>437</v>
      </c>
      <c r="I9" t="s">
        <v>438</v>
      </c>
      <c r="J9" t="s">
        <v>29</v>
      </c>
      <c r="K9">
        <v>2015</v>
      </c>
      <c r="L9" t="s">
        <v>677</v>
      </c>
      <c r="M9" t="s">
        <v>676</v>
      </c>
      <c r="N9" t="s">
        <v>337</v>
      </c>
    </row>
    <row r="10" spans="1:14" x14ac:dyDescent="0.2">
      <c r="A10">
        <f t="shared" si="0"/>
        <v>9</v>
      </c>
      <c r="B10" s="7">
        <v>44918</v>
      </c>
      <c r="C10" s="7" t="s">
        <v>849</v>
      </c>
      <c r="D10" s="7" t="s">
        <v>848</v>
      </c>
      <c r="E10" s="7" t="s">
        <v>849</v>
      </c>
      <c r="F10" s="7" t="s">
        <v>873</v>
      </c>
      <c r="G10" s="7" t="s">
        <v>872</v>
      </c>
      <c r="H10" t="s">
        <v>334</v>
      </c>
      <c r="I10" t="s">
        <v>335</v>
      </c>
      <c r="J10" t="s">
        <v>20</v>
      </c>
      <c r="K10">
        <v>2016</v>
      </c>
      <c r="L10" t="s">
        <v>28</v>
      </c>
      <c r="M10" t="s">
        <v>336</v>
      </c>
      <c r="N10" t="s">
        <v>7</v>
      </c>
    </row>
    <row r="11" spans="1:14" x14ac:dyDescent="0.2">
      <c r="A11">
        <f t="shared" si="0"/>
        <v>10</v>
      </c>
      <c r="B11" s="7">
        <v>44918</v>
      </c>
      <c r="C11" s="7" t="s">
        <v>849</v>
      </c>
      <c r="D11" s="7" t="s">
        <v>848</v>
      </c>
      <c r="E11" s="7" t="s">
        <v>849</v>
      </c>
      <c r="F11" s="7" t="s">
        <v>873</v>
      </c>
      <c r="G11" s="7" t="s">
        <v>872</v>
      </c>
      <c r="H11" t="s">
        <v>439</v>
      </c>
      <c r="I11" t="s">
        <v>440</v>
      </c>
      <c r="J11" t="s">
        <v>441</v>
      </c>
      <c r="K11">
        <v>2016</v>
      </c>
      <c r="L11" t="s">
        <v>442</v>
      </c>
      <c r="M11" t="s">
        <v>678</v>
      </c>
      <c r="N11" t="s">
        <v>337</v>
      </c>
    </row>
    <row r="12" spans="1:14" x14ac:dyDescent="0.2">
      <c r="A12">
        <f t="shared" si="0"/>
        <v>11</v>
      </c>
      <c r="B12" s="7">
        <v>44918</v>
      </c>
      <c r="C12" s="7" t="s">
        <v>849</v>
      </c>
      <c r="D12" s="7" t="s">
        <v>849</v>
      </c>
      <c r="E12" s="7" t="s">
        <v>849</v>
      </c>
      <c r="F12" s="7" t="s">
        <v>916</v>
      </c>
      <c r="G12" s="7" t="s">
        <v>872</v>
      </c>
      <c r="H12" t="s">
        <v>443</v>
      </c>
      <c r="I12" t="s">
        <v>444</v>
      </c>
      <c r="J12" t="s">
        <v>17</v>
      </c>
      <c r="K12">
        <v>2016</v>
      </c>
      <c r="L12" t="s">
        <v>679</v>
      </c>
      <c r="M12" t="s">
        <v>680</v>
      </c>
      <c r="N12" t="s">
        <v>337</v>
      </c>
    </row>
    <row r="13" spans="1:14" x14ac:dyDescent="0.2">
      <c r="A13">
        <f t="shared" si="0"/>
        <v>12</v>
      </c>
      <c r="B13" s="7">
        <v>44918</v>
      </c>
      <c r="C13" s="7" t="s">
        <v>919</v>
      </c>
      <c r="D13" s="7" t="s">
        <v>849</v>
      </c>
      <c r="E13" s="7" t="s">
        <v>895</v>
      </c>
      <c r="F13" s="7" t="s">
        <v>918</v>
      </c>
      <c r="G13" s="7" t="s">
        <v>872</v>
      </c>
      <c r="H13" t="s">
        <v>338</v>
      </c>
      <c r="I13" t="s">
        <v>339</v>
      </c>
      <c r="J13" t="s">
        <v>17</v>
      </c>
      <c r="K13">
        <v>2017</v>
      </c>
      <c r="L13" t="s">
        <v>18</v>
      </c>
      <c r="M13" t="s">
        <v>340</v>
      </c>
      <c r="N13" t="s">
        <v>303</v>
      </c>
    </row>
    <row r="14" spans="1:14" x14ac:dyDescent="0.2">
      <c r="A14">
        <f t="shared" si="0"/>
        <v>13</v>
      </c>
      <c r="B14" s="7">
        <v>44918</v>
      </c>
      <c r="C14" s="7" t="s">
        <v>920</v>
      </c>
      <c r="D14" s="7" t="s">
        <v>849</v>
      </c>
      <c r="E14" s="7" t="s">
        <v>895</v>
      </c>
      <c r="F14" s="7" t="s">
        <v>918</v>
      </c>
      <c r="G14" s="7" t="s">
        <v>872</v>
      </c>
      <c r="H14" t="s">
        <v>445</v>
      </c>
      <c r="I14" t="s">
        <v>446</v>
      </c>
      <c r="J14" t="s">
        <v>16</v>
      </c>
      <c r="K14">
        <v>2017</v>
      </c>
      <c r="L14" t="s">
        <v>447</v>
      </c>
      <c r="M14" t="s">
        <v>448</v>
      </c>
      <c r="N14" t="s">
        <v>7</v>
      </c>
    </row>
    <row r="15" spans="1:14" x14ac:dyDescent="0.2">
      <c r="A15">
        <f t="shared" si="0"/>
        <v>14</v>
      </c>
      <c r="B15" s="7">
        <v>44918</v>
      </c>
      <c r="C15" s="7" t="s">
        <v>920</v>
      </c>
      <c r="D15" s="7" t="s">
        <v>849</v>
      </c>
      <c r="E15" s="7" t="s">
        <v>895</v>
      </c>
      <c r="F15" s="7" t="s">
        <v>918</v>
      </c>
      <c r="G15" s="7" t="s">
        <v>872</v>
      </c>
      <c r="H15" t="s">
        <v>449</v>
      </c>
      <c r="I15" t="s">
        <v>450</v>
      </c>
      <c r="J15" t="s">
        <v>441</v>
      </c>
      <c r="K15">
        <v>2017</v>
      </c>
      <c r="L15" t="s">
        <v>451</v>
      </c>
      <c r="M15" t="s">
        <v>681</v>
      </c>
      <c r="N15" t="s">
        <v>337</v>
      </c>
    </row>
    <row r="16" spans="1:14" x14ac:dyDescent="0.2">
      <c r="A16">
        <f t="shared" si="0"/>
        <v>15</v>
      </c>
      <c r="B16" s="7">
        <v>44918</v>
      </c>
      <c r="C16" s="7" t="s">
        <v>849</v>
      </c>
      <c r="D16" s="7" t="s">
        <v>849</v>
      </c>
      <c r="E16" s="7" t="s">
        <v>895</v>
      </c>
      <c r="F16" s="7" t="s">
        <v>921</v>
      </c>
      <c r="G16" s="7" t="s">
        <v>872</v>
      </c>
      <c r="H16" t="s">
        <v>452</v>
      </c>
      <c r="I16" t="s">
        <v>453</v>
      </c>
      <c r="J16" t="s">
        <v>688</v>
      </c>
      <c r="K16">
        <v>2017</v>
      </c>
      <c r="L16" t="s">
        <v>454</v>
      </c>
      <c r="M16" t="s">
        <v>682</v>
      </c>
      <c r="N16" t="s">
        <v>337</v>
      </c>
    </row>
    <row r="17" spans="1:14" x14ac:dyDescent="0.2">
      <c r="A17">
        <f t="shared" si="0"/>
        <v>16</v>
      </c>
      <c r="B17" s="7">
        <v>44918</v>
      </c>
      <c r="C17" s="7" t="s">
        <v>849</v>
      </c>
      <c r="D17" s="7" t="s">
        <v>848</v>
      </c>
      <c r="E17" s="7" t="s">
        <v>849</v>
      </c>
      <c r="F17" s="7" t="s">
        <v>922</v>
      </c>
      <c r="G17" s="7" t="s">
        <v>872</v>
      </c>
      <c r="H17" t="s">
        <v>455</v>
      </c>
      <c r="I17" t="s">
        <v>456</v>
      </c>
      <c r="J17" t="s">
        <v>29</v>
      </c>
      <c r="K17">
        <v>2017</v>
      </c>
      <c r="L17" t="s">
        <v>683</v>
      </c>
      <c r="M17" t="s">
        <v>684</v>
      </c>
      <c r="N17" t="s">
        <v>337</v>
      </c>
    </row>
    <row r="18" spans="1:14" x14ac:dyDescent="0.2">
      <c r="A18">
        <f t="shared" si="0"/>
        <v>17</v>
      </c>
      <c r="B18" s="7">
        <v>44916</v>
      </c>
      <c r="C18" s="7" t="s">
        <v>849</v>
      </c>
      <c r="D18" s="7" t="s">
        <v>848</v>
      </c>
      <c r="E18" s="7" t="s">
        <v>849</v>
      </c>
      <c r="F18" s="7" t="s">
        <v>873</v>
      </c>
      <c r="G18" t="s">
        <v>872</v>
      </c>
      <c r="H18" t="s">
        <v>457</v>
      </c>
      <c r="I18" t="s">
        <v>458</v>
      </c>
      <c r="J18" t="s">
        <v>20</v>
      </c>
      <c r="K18">
        <v>2017</v>
      </c>
      <c r="L18" t="s">
        <v>689</v>
      </c>
      <c r="M18" t="s">
        <v>690</v>
      </c>
      <c r="N18" t="s">
        <v>337</v>
      </c>
    </row>
    <row r="19" spans="1:14" x14ac:dyDescent="0.2">
      <c r="A19">
        <f t="shared" si="0"/>
        <v>18</v>
      </c>
      <c r="B19" s="7"/>
      <c r="C19" s="7" t="s">
        <v>920</v>
      </c>
      <c r="D19" s="7" t="s">
        <v>848</v>
      </c>
      <c r="E19" s="7" t="s">
        <v>849</v>
      </c>
      <c r="G19" s="7" t="s">
        <v>245</v>
      </c>
      <c r="H19" t="s">
        <v>341</v>
      </c>
      <c r="I19" t="s">
        <v>342</v>
      </c>
      <c r="J19" t="s">
        <v>25</v>
      </c>
      <c r="K19">
        <v>2018</v>
      </c>
      <c r="L19" t="s">
        <v>26</v>
      </c>
      <c r="M19" t="s">
        <v>343</v>
      </c>
      <c r="N19" t="s">
        <v>303</v>
      </c>
    </row>
    <row r="20" spans="1:14" x14ac:dyDescent="0.2">
      <c r="A20">
        <f t="shared" si="0"/>
        <v>19</v>
      </c>
      <c r="B20" s="7"/>
      <c r="C20" s="7" t="s">
        <v>919</v>
      </c>
      <c r="D20" s="7" t="s">
        <v>848</v>
      </c>
      <c r="E20" s="7" t="s">
        <v>849</v>
      </c>
      <c r="G20" s="7" t="s">
        <v>245</v>
      </c>
      <c r="H20" t="s">
        <v>459</v>
      </c>
      <c r="I20" t="s">
        <v>460</v>
      </c>
      <c r="J20" t="s">
        <v>14</v>
      </c>
      <c r="K20">
        <v>2018</v>
      </c>
      <c r="L20" t="s">
        <v>461</v>
      </c>
      <c r="M20" t="s">
        <v>462</v>
      </c>
      <c r="N20" t="s">
        <v>377</v>
      </c>
    </row>
    <row r="21" spans="1:14" x14ac:dyDescent="0.2">
      <c r="A21">
        <f t="shared" si="0"/>
        <v>20</v>
      </c>
      <c r="B21" s="7">
        <v>44918</v>
      </c>
      <c r="C21" s="7" t="s">
        <v>920</v>
      </c>
      <c r="D21" s="7" t="s">
        <v>849</v>
      </c>
      <c r="E21" s="7" t="s">
        <v>849</v>
      </c>
      <c r="F21" s="7" t="s">
        <v>923</v>
      </c>
      <c r="G21" s="7" t="s">
        <v>872</v>
      </c>
      <c r="H21" t="s">
        <v>344</v>
      </c>
      <c r="I21" t="s">
        <v>463</v>
      </c>
      <c r="J21" t="s">
        <v>13</v>
      </c>
      <c r="K21">
        <v>2018</v>
      </c>
      <c r="L21" t="s">
        <v>27</v>
      </c>
      <c r="M21" t="s">
        <v>345</v>
      </c>
      <c r="N21" t="s">
        <v>377</v>
      </c>
    </row>
    <row r="22" spans="1:14" x14ac:dyDescent="0.2">
      <c r="A22">
        <f t="shared" si="0"/>
        <v>21</v>
      </c>
      <c r="B22" s="7">
        <v>44918</v>
      </c>
      <c r="C22" s="7" t="s">
        <v>920</v>
      </c>
      <c r="D22" s="7" t="s">
        <v>849</v>
      </c>
      <c r="E22" s="7" t="s">
        <v>895</v>
      </c>
      <c r="F22" s="7" t="s">
        <v>918</v>
      </c>
      <c r="G22" s="7" t="s">
        <v>872</v>
      </c>
      <c r="H22" t="s">
        <v>349</v>
      </c>
      <c r="I22" t="s">
        <v>464</v>
      </c>
      <c r="J22" t="s">
        <v>10</v>
      </c>
      <c r="K22">
        <v>2018</v>
      </c>
      <c r="L22" t="s">
        <v>11</v>
      </c>
      <c r="M22" t="s">
        <v>350</v>
      </c>
      <c r="N22" t="s">
        <v>377</v>
      </c>
    </row>
    <row r="23" spans="1:14" x14ac:dyDescent="0.2">
      <c r="A23">
        <f t="shared" si="0"/>
        <v>22</v>
      </c>
      <c r="B23" s="7">
        <v>44918</v>
      </c>
      <c r="C23" s="7" t="s">
        <v>920</v>
      </c>
      <c r="D23" s="7" t="s">
        <v>849</v>
      </c>
      <c r="E23" s="7" t="s">
        <v>924</v>
      </c>
      <c r="F23" s="7" t="s">
        <v>925</v>
      </c>
      <c r="G23" s="7" t="s">
        <v>872</v>
      </c>
      <c r="H23" t="s">
        <v>346</v>
      </c>
      <c r="I23" t="s">
        <v>347</v>
      </c>
      <c r="J23" t="s">
        <v>8</v>
      </c>
      <c r="K23">
        <v>2018</v>
      </c>
      <c r="L23" t="s">
        <v>15</v>
      </c>
      <c r="M23" t="s">
        <v>348</v>
      </c>
      <c r="N23" t="s">
        <v>7</v>
      </c>
    </row>
    <row r="24" spans="1:14" x14ac:dyDescent="0.2">
      <c r="A24">
        <f t="shared" si="0"/>
        <v>23</v>
      </c>
      <c r="B24" s="7">
        <v>44918</v>
      </c>
      <c r="C24" s="7" t="s">
        <v>920</v>
      </c>
      <c r="D24" s="7" t="s">
        <v>849</v>
      </c>
      <c r="E24" s="7" t="s">
        <v>849</v>
      </c>
      <c r="F24" s="7" t="s">
        <v>926</v>
      </c>
      <c r="G24" s="7" t="s">
        <v>872</v>
      </c>
      <c r="H24" t="s">
        <v>465</v>
      </c>
      <c r="I24" t="s">
        <v>466</v>
      </c>
      <c r="J24" t="s">
        <v>411</v>
      </c>
      <c r="K24">
        <v>2018</v>
      </c>
      <c r="L24" t="s">
        <v>691</v>
      </c>
      <c r="M24" t="s">
        <v>692</v>
      </c>
      <c r="N24" t="s">
        <v>337</v>
      </c>
    </row>
    <row r="25" spans="1:14" x14ac:dyDescent="0.2">
      <c r="A25">
        <f t="shared" si="0"/>
        <v>24</v>
      </c>
      <c r="B25" s="7">
        <v>44918</v>
      </c>
      <c r="C25" s="7" t="s">
        <v>920</v>
      </c>
      <c r="D25" s="7" t="s">
        <v>848</v>
      </c>
      <c r="E25" s="7" t="s">
        <v>849</v>
      </c>
      <c r="G25" s="7" t="s">
        <v>245</v>
      </c>
      <c r="H25" t="s">
        <v>467</v>
      </c>
      <c r="I25" t="s">
        <v>468</v>
      </c>
      <c r="J25" t="s">
        <v>693</v>
      </c>
      <c r="K25">
        <v>2018</v>
      </c>
      <c r="L25" t="s">
        <v>469</v>
      </c>
      <c r="M25" t="s">
        <v>694</v>
      </c>
      <c r="N25" t="s">
        <v>337</v>
      </c>
    </row>
    <row r="26" spans="1:14" x14ac:dyDescent="0.2">
      <c r="A26">
        <f t="shared" si="0"/>
        <v>25</v>
      </c>
      <c r="B26" s="7">
        <v>44918</v>
      </c>
      <c r="C26" s="7" t="s">
        <v>849</v>
      </c>
      <c r="D26" s="7" t="s">
        <v>848</v>
      </c>
      <c r="E26" s="7" t="s">
        <v>849</v>
      </c>
      <c r="F26" s="7" t="s">
        <v>873</v>
      </c>
      <c r="G26" s="7" t="s">
        <v>872</v>
      </c>
      <c r="H26" t="s">
        <v>470</v>
      </c>
      <c r="I26" t="s">
        <v>471</v>
      </c>
      <c r="J26" t="s">
        <v>277</v>
      </c>
      <c r="K26">
        <v>2018</v>
      </c>
      <c r="L26" t="s">
        <v>695</v>
      </c>
      <c r="M26" t="s">
        <v>696</v>
      </c>
      <c r="N26" t="s">
        <v>337</v>
      </c>
    </row>
    <row r="27" spans="1:14" x14ac:dyDescent="0.2">
      <c r="A27">
        <f t="shared" si="0"/>
        <v>26</v>
      </c>
      <c r="B27" s="7"/>
      <c r="C27" s="7" t="s">
        <v>919</v>
      </c>
      <c r="D27" s="7" t="s">
        <v>848</v>
      </c>
      <c r="E27" s="7" t="s">
        <v>849</v>
      </c>
      <c r="G27" s="7" t="s">
        <v>245</v>
      </c>
      <c r="H27" t="s">
        <v>351</v>
      </c>
      <c r="I27" t="s">
        <v>352</v>
      </c>
      <c r="J27" t="s">
        <v>273</v>
      </c>
      <c r="K27">
        <v>2019</v>
      </c>
      <c r="L27" t="s">
        <v>274</v>
      </c>
      <c r="M27" t="s">
        <v>353</v>
      </c>
      <c r="N27" t="s">
        <v>303</v>
      </c>
    </row>
    <row r="28" spans="1:14" x14ac:dyDescent="0.2">
      <c r="A28">
        <f t="shared" si="0"/>
        <v>27</v>
      </c>
      <c r="C28" s="7" t="s">
        <v>920</v>
      </c>
      <c r="D28" s="7" t="s">
        <v>848</v>
      </c>
      <c r="E28" s="7" t="s">
        <v>849</v>
      </c>
      <c r="G28" s="7" t="s">
        <v>245</v>
      </c>
      <c r="H28" t="s">
        <v>472</v>
      </c>
      <c r="I28" t="s">
        <v>473</v>
      </c>
      <c r="J28" t="s">
        <v>12</v>
      </c>
      <c r="K28">
        <v>2019</v>
      </c>
      <c r="L28" t="s">
        <v>697</v>
      </c>
      <c r="M28" t="s">
        <v>698</v>
      </c>
      <c r="N28" t="s">
        <v>337</v>
      </c>
    </row>
    <row r="29" spans="1:14" x14ac:dyDescent="0.2">
      <c r="A29">
        <f t="shared" si="0"/>
        <v>28</v>
      </c>
      <c r="B29" s="7">
        <v>44918</v>
      </c>
      <c r="C29" s="7" t="s">
        <v>919</v>
      </c>
      <c r="D29" s="7" t="s">
        <v>849</v>
      </c>
      <c r="E29" s="7" t="s">
        <v>895</v>
      </c>
      <c r="F29" s="7" t="s">
        <v>896</v>
      </c>
      <c r="G29" s="7" t="s">
        <v>872</v>
      </c>
      <c r="H29" t="s">
        <v>474</v>
      </c>
      <c r="I29" t="s">
        <v>475</v>
      </c>
      <c r="J29" t="s">
        <v>13</v>
      </c>
      <c r="K29">
        <v>2019</v>
      </c>
      <c r="L29" t="s">
        <v>699</v>
      </c>
      <c r="M29" t="s">
        <v>700</v>
      </c>
      <c r="N29" t="s">
        <v>337</v>
      </c>
    </row>
    <row r="30" spans="1:14" x14ac:dyDescent="0.2">
      <c r="A30">
        <f t="shared" si="0"/>
        <v>29</v>
      </c>
      <c r="B30" s="7">
        <v>44918</v>
      </c>
      <c r="C30" s="7" t="s">
        <v>849</v>
      </c>
      <c r="D30" s="7" t="s">
        <v>849</v>
      </c>
      <c r="E30" s="7" t="s">
        <v>924</v>
      </c>
      <c r="F30" t="s">
        <v>927</v>
      </c>
      <c r="G30" s="7" t="s">
        <v>872</v>
      </c>
      <c r="H30" t="s">
        <v>476</v>
      </c>
      <c r="I30" t="s">
        <v>477</v>
      </c>
      <c r="J30" t="s">
        <v>478</v>
      </c>
      <c r="K30">
        <v>2019</v>
      </c>
      <c r="L30" t="s">
        <v>701</v>
      </c>
      <c r="M30" t="s">
        <v>702</v>
      </c>
      <c r="N30" t="s">
        <v>337</v>
      </c>
    </row>
    <row r="31" spans="1:14" x14ac:dyDescent="0.2">
      <c r="A31">
        <f t="shared" si="0"/>
        <v>30</v>
      </c>
      <c r="B31" s="7">
        <v>44918</v>
      </c>
      <c r="C31" s="7" t="s">
        <v>849</v>
      </c>
      <c r="D31" s="7" t="s">
        <v>849</v>
      </c>
      <c r="E31" s="7" t="s">
        <v>895</v>
      </c>
      <c r="F31" t="s">
        <v>928</v>
      </c>
      <c r="G31" s="7" t="s">
        <v>872</v>
      </c>
      <c r="H31" t="s">
        <v>479</v>
      </c>
      <c r="I31" t="s">
        <v>480</v>
      </c>
      <c r="J31" t="s">
        <v>21</v>
      </c>
      <c r="K31">
        <v>2019</v>
      </c>
      <c r="L31" t="s">
        <v>703</v>
      </c>
      <c r="M31" t="s">
        <v>704</v>
      </c>
      <c r="N31" t="s">
        <v>337</v>
      </c>
    </row>
    <row r="32" spans="1:14" x14ac:dyDescent="0.2">
      <c r="A32">
        <f t="shared" si="0"/>
        <v>31</v>
      </c>
      <c r="B32" s="7">
        <v>44918</v>
      </c>
      <c r="C32" s="7" t="s">
        <v>849</v>
      </c>
      <c r="D32" s="7" t="s">
        <v>849</v>
      </c>
      <c r="E32" s="7" t="s">
        <v>895</v>
      </c>
      <c r="F32" s="7" t="s">
        <v>916</v>
      </c>
      <c r="G32" s="7" t="s">
        <v>872</v>
      </c>
      <c r="H32" t="s">
        <v>481</v>
      </c>
      <c r="I32" t="s">
        <v>482</v>
      </c>
      <c r="J32" t="s">
        <v>10</v>
      </c>
      <c r="K32">
        <v>2019</v>
      </c>
      <c r="L32" t="s">
        <v>705</v>
      </c>
      <c r="M32" t="s">
        <v>706</v>
      </c>
      <c r="N32" t="s">
        <v>337</v>
      </c>
    </row>
    <row r="33" spans="1:14" x14ac:dyDescent="0.2">
      <c r="A33">
        <f t="shared" si="0"/>
        <v>32</v>
      </c>
      <c r="B33" s="7">
        <v>44918</v>
      </c>
      <c r="C33" s="7" t="s">
        <v>849</v>
      </c>
      <c r="D33" s="7" t="s">
        <v>848</v>
      </c>
      <c r="E33" s="7" t="s">
        <v>849</v>
      </c>
      <c r="F33" t="s">
        <v>873</v>
      </c>
      <c r="G33" s="7" t="s">
        <v>872</v>
      </c>
      <c r="H33" t="s">
        <v>483</v>
      </c>
      <c r="I33" t="s">
        <v>484</v>
      </c>
      <c r="J33" t="s">
        <v>8</v>
      </c>
      <c r="K33">
        <v>2019</v>
      </c>
      <c r="L33" t="s">
        <v>707</v>
      </c>
      <c r="M33" t="s">
        <v>708</v>
      </c>
      <c r="N33" t="s">
        <v>337</v>
      </c>
    </row>
    <row r="34" spans="1:14" x14ac:dyDescent="0.2">
      <c r="A34">
        <f t="shared" si="0"/>
        <v>33</v>
      </c>
      <c r="B34" s="7">
        <v>44918</v>
      </c>
      <c r="C34" s="7" t="s">
        <v>849</v>
      </c>
      <c r="D34" s="7" t="s">
        <v>848</v>
      </c>
      <c r="E34" s="7" t="s">
        <v>849</v>
      </c>
      <c r="F34" t="s">
        <v>873</v>
      </c>
      <c r="G34" s="7" t="s">
        <v>872</v>
      </c>
      <c r="H34" t="s">
        <v>485</v>
      </c>
      <c r="I34" t="s">
        <v>486</v>
      </c>
      <c r="J34" t="s">
        <v>381</v>
      </c>
      <c r="K34">
        <v>2019</v>
      </c>
      <c r="L34" t="s">
        <v>709</v>
      </c>
      <c r="M34" t="s">
        <v>710</v>
      </c>
      <c r="N34" t="s">
        <v>337</v>
      </c>
    </row>
    <row r="35" spans="1:14" x14ac:dyDescent="0.2">
      <c r="A35">
        <f t="shared" si="0"/>
        <v>34</v>
      </c>
      <c r="B35" s="7">
        <v>44918</v>
      </c>
      <c r="C35" s="7" t="s">
        <v>849</v>
      </c>
      <c r="D35" s="7" t="s">
        <v>849</v>
      </c>
      <c r="E35" s="7" t="s">
        <v>895</v>
      </c>
      <c r="F35" t="s">
        <v>929</v>
      </c>
      <c r="G35" s="7" t="s">
        <v>872</v>
      </c>
      <c r="H35" t="s">
        <v>487</v>
      </c>
      <c r="I35" t="s">
        <v>488</v>
      </c>
      <c r="J35" t="s">
        <v>277</v>
      </c>
      <c r="K35">
        <v>2019</v>
      </c>
      <c r="L35" t="s">
        <v>711</v>
      </c>
      <c r="M35" t="s">
        <v>712</v>
      </c>
      <c r="N35" t="s">
        <v>337</v>
      </c>
    </row>
    <row r="36" spans="1:14" x14ac:dyDescent="0.2">
      <c r="A36">
        <f t="shared" si="0"/>
        <v>35</v>
      </c>
      <c r="B36" s="7">
        <v>44918</v>
      </c>
      <c r="C36" s="7" t="s">
        <v>849</v>
      </c>
      <c r="D36" s="7" t="s">
        <v>848</v>
      </c>
      <c r="E36" s="7" t="s">
        <v>849</v>
      </c>
      <c r="F36" t="s">
        <v>930</v>
      </c>
      <c r="G36" s="7" t="s">
        <v>872</v>
      </c>
      <c r="H36" t="s">
        <v>489</v>
      </c>
      <c r="I36" t="s">
        <v>490</v>
      </c>
      <c r="J36" t="s">
        <v>24</v>
      </c>
      <c r="K36">
        <v>2019</v>
      </c>
      <c r="L36" t="s">
        <v>713</v>
      </c>
      <c r="M36" t="s">
        <v>714</v>
      </c>
      <c r="N36" t="s">
        <v>337</v>
      </c>
    </row>
    <row r="37" spans="1:14" x14ac:dyDescent="0.2">
      <c r="A37">
        <f t="shared" si="0"/>
        <v>36</v>
      </c>
      <c r="B37" s="7">
        <v>44918</v>
      </c>
      <c r="C37" s="7" t="s">
        <v>849</v>
      </c>
      <c r="D37" s="7" t="s">
        <v>848</v>
      </c>
      <c r="E37" s="7" t="s">
        <v>849</v>
      </c>
      <c r="F37" t="s">
        <v>873</v>
      </c>
      <c r="G37" s="7" t="s">
        <v>872</v>
      </c>
      <c r="H37" t="s">
        <v>491</v>
      </c>
      <c r="I37" t="s">
        <v>492</v>
      </c>
      <c r="J37" t="s">
        <v>715</v>
      </c>
      <c r="K37">
        <v>2019</v>
      </c>
      <c r="L37" t="s">
        <v>716</v>
      </c>
      <c r="M37" t="s">
        <v>717</v>
      </c>
      <c r="N37" t="s">
        <v>337</v>
      </c>
    </row>
    <row r="38" spans="1:14" x14ac:dyDescent="0.2">
      <c r="A38">
        <f t="shared" si="0"/>
        <v>37</v>
      </c>
      <c r="B38" s="7">
        <v>44918</v>
      </c>
      <c r="C38" s="7" t="s">
        <v>849</v>
      </c>
      <c r="D38" s="7" t="s">
        <v>849</v>
      </c>
      <c r="E38" s="7" t="s">
        <v>895</v>
      </c>
      <c r="F38" t="s">
        <v>929</v>
      </c>
      <c r="G38" s="7" t="s">
        <v>872</v>
      </c>
      <c r="H38" t="s">
        <v>493</v>
      </c>
      <c r="I38" t="s">
        <v>718</v>
      </c>
      <c r="J38" t="s">
        <v>721</v>
      </c>
      <c r="K38">
        <v>2019</v>
      </c>
      <c r="L38" t="s">
        <v>719</v>
      </c>
      <c r="M38" t="s">
        <v>720</v>
      </c>
      <c r="N38" t="s">
        <v>337</v>
      </c>
    </row>
    <row r="39" spans="1:14" x14ac:dyDescent="0.2">
      <c r="A39">
        <f t="shared" si="0"/>
        <v>38</v>
      </c>
      <c r="B39" s="7">
        <v>44918</v>
      </c>
      <c r="C39" s="7" t="s">
        <v>849</v>
      </c>
      <c r="D39" s="7" t="s">
        <v>849</v>
      </c>
      <c r="E39" s="7" t="s">
        <v>849</v>
      </c>
      <c r="F39" t="s">
        <v>896</v>
      </c>
      <c r="G39" s="7" t="s">
        <v>872</v>
      </c>
      <c r="H39" t="s">
        <v>494</v>
      </c>
      <c r="I39" t="s">
        <v>495</v>
      </c>
      <c r="J39" t="s">
        <v>21</v>
      </c>
      <c r="K39">
        <v>2019</v>
      </c>
      <c r="L39" t="s">
        <v>722</v>
      </c>
      <c r="M39" t="s">
        <v>723</v>
      </c>
      <c r="N39" t="s">
        <v>337</v>
      </c>
    </row>
    <row r="40" spans="1:14" x14ac:dyDescent="0.2">
      <c r="A40">
        <f t="shared" si="0"/>
        <v>39</v>
      </c>
      <c r="B40" s="7">
        <v>44918</v>
      </c>
      <c r="C40" s="7" t="s">
        <v>920</v>
      </c>
      <c r="D40" s="7" t="s">
        <v>848</v>
      </c>
      <c r="E40" s="7" t="s">
        <v>849</v>
      </c>
      <c r="F40" t="s">
        <v>931</v>
      </c>
      <c r="G40" s="7" t="s">
        <v>872</v>
      </c>
      <c r="H40" t="s">
        <v>354</v>
      </c>
      <c r="I40" t="s">
        <v>355</v>
      </c>
      <c r="J40" t="s">
        <v>14</v>
      </c>
      <c r="K40">
        <v>2020</v>
      </c>
      <c r="L40" t="s">
        <v>282</v>
      </c>
      <c r="M40" t="s">
        <v>356</v>
      </c>
      <c r="N40" t="s">
        <v>303</v>
      </c>
    </row>
    <row r="41" spans="1:14" x14ac:dyDescent="0.2">
      <c r="A41">
        <f t="shared" si="0"/>
        <v>40</v>
      </c>
      <c r="B41" s="7">
        <v>44916</v>
      </c>
      <c r="C41" s="7" t="s">
        <v>920</v>
      </c>
      <c r="D41" s="7" t="s">
        <v>849</v>
      </c>
      <c r="E41" s="7" t="s">
        <v>895</v>
      </c>
      <c r="F41" t="s">
        <v>896</v>
      </c>
      <c r="G41" s="7" t="s">
        <v>872</v>
      </c>
      <c r="H41" t="s">
        <v>357</v>
      </c>
      <c r="I41" t="s">
        <v>358</v>
      </c>
      <c r="J41" t="s">
        <v>510</v>
      </c>
      <c r="K41">
        <v>2020</v>
      </c>
      <c r="L41" t="s">
        <v>284</v>
      </c>
      <c r="M41" t="s">
        <v>359</v>
      </c>
      <c r="N41" t="s">
        <v>303</v>
      </c>
    </row>
    <row r="42" spans="1:14" x14ac:dyDescent="0.2">
      <c r="A42">
        <f t="shared" si="0"/>
        <v>41</v>
      </c>
      <c r="B42" s="7"/>
      <c r="C42" s="7" t="s">
        <v>920</v>
      </c>
      <c r="D42" t="s">
        <v>848</v>
      </c>
      <c r="E42" t="s">
        <v>849</v>
      </c>
      <c r="G42" s="7" t="s">
        <v>245</v>
      </c>
      <c r="H42" t="s">
        <v>360</v>
      </c>
      <c r="I42" t="s">
        <v>361</v>
      </c>
      <c r="J42" t="s">
        <v>275</v>
      </c>
      <c r="K42">
        <v>2020</v>
      </c>
      <c r="L42" t="s">
        <v>276</v>
      </c>
      <c r="M42" t="s">
        <v>362</v>
      </c>
      <c r="N42" t="s">
        <v>303</v>
      </c>
    </row>
    <row r="43" spans="1:14" x14ac:dyDescent="0.2">
      <c r="A43">
        <f t="shared" si="0"/>
        <v>42</v>
      </c>
      <c r="B43" s="7"/>
      <c r="C43" s="7"/>
      <c r="D43" s="7"/>
      <c r="E43" s="7"/>
      <c r="H43" t="s">
        <v>366</v>
      </c>
      <c r="I43" t="s">
        <v>496</v>
      </c>
      <c r="J43" t="s">
        <v>275</v>
      </c>
      <c r="K43">
        <v>2020</v>
      </c>
      <c r="L43" t="s">
        <v>280</v>
      </c>
      <c r="M43" t="s">
        <v>497</v>
      </c>
      <c r="N43" t="s">
        <v>303</v>
      </c>
    </row>
    <row r="44" spans="1:14" x14ac:dyDescent="0.2">
      <c r="A44">
        <f t="shared" si="0"/>
        <v>43</v>
      </c>
      <c r="B44" s="7"/>
      <c r="C44" s="7"/>
      <c r="D44" s="7"/>
      <c r="E44" s="7"/>
      <c r="H44" t="s">
        <v>498</v>
      </c>
      <c r="I44" t="s">
        <v>499</v>
      </c>
      <c r="J44" t="s">
        <v>24</v>
      </c>
      <c r="K44">
        <v>2020</v>
      </c>
      <c r="L44" t="s">
        <v>500</v>
      </c>
      <c r="M44" t="s">
        <v>501</v>
      </c>
      <c r="N44" t="s">
        <v>303</v>
      </c>
    </row>
    <row r="45" spans="1:14" x14ac:dyDescent="0.2">
      <c r="A45">
        <f t="shared" si="0"/>
        <v>44</v>
      </c>
      <c r="B45" s="7"/>
      <c r="C45" s="7"/>
      <c r="D45" s="7"/>
      <c r="E45" s="7"/>
      <c r="H45" t="s">
        <v>502</v>
      </c>
      <c r="I45" t="s">
        <v>503</v>
      </c>
      <c r="J45" t="s">
        <v>275</v>
      </c>
      <c r="K45">
        <v>2020</v>
      </c>
      <c r="L45" t="s">
        <v>504</v>
      </c>
      <c r="M45" t="s">
        <v>505</v>
      </c>
      <c r="N45" t="s">
        <v>303</v>
      </c>
    </row>
    <row r="46" spans="1:14" x14ac:dyDescent="0.2">
      <c r="A46">
        <f t="shared" si="0"/>
        <v>45</v>
      </c>
      <c r="B46" s="7"/>
      <c r="C46" s="7"/>
      <c r="D46" s="7"/>
      <c r="E46" s="7"/>
      <c r="H46" t="s">
        <v>363</v>
      </c>
      <c r="I46" t="s">
        <v>506</v>
      </c>
      <c r="J46" t="s">
        <v>278</v>
      </c>
      <c r="K46">
        <v>2020</v>
      </c>
      <c r="L46" t="s">
        <v>279</v>
      </c>
      <c r="M46" t="s">
        <v>507</v>
      </c>
      <c r="N46" t="s">
        <v>303</v>
      </c>
    </row>
    <row r="47" spans="1:14" x14ac:dyDescent="0.2">
      <c r="A47">
        <f t="shared" si="0"/>
        <v>46</v>
      </c>
      <c r="B47" s="7"/>
      <c r="C47" s="7"/>
      <c r="D47" s="7"/>
      <c r="E47" s="7"/>
      <c r="H47" t="s">
        <v>508</v>
      </c>
      <c r="I47" t="s">
        <v>509</v>
      </c>
      <c r="J47" t="s">
        <v>510</v>
      </c>
      <c r="K47">
        <v>2020</v>
      </c>
      <c r="L47" t="s">
        <v>511</v>
      </c>
      <c r="M47" t="s">
        <v>512</v>
      </c>
      <c r="N47" t="s">
        <v>377</v>
      </c>
    </row>
    <row r="48" spans="1:14" x14ac:dyDescent="0.2">
      <c r="A48">
        <f t="shared" si="0"/>
        <v>47</v>
      </c>
      <c r="B48" s="7"/>
      <c r="C48" s="7"/>
      <c r="D48" s="7"/>
      <c r="E48" s="7"/>
      <c r="H48" t="s">
        <v>364</v>
      </c>
      <c r="I48" t="s">
        <v>513</v>
      </c>
      <c r="J48" t="s">
        <v>25</v>
      </c>
      <c r="K48">
        <v>2020</v>
      </c>
      <c r="L48" t="s">
        <v>283</v>
      </c>
      <c r="M48" t="s">
        <v>365</v>
      </c>
      <c r="N48" t="s">
        <v>377</v>
      </c>
    </row>
    <row r="49" spans="1:16" x14ac:dyDescent="0.2">
      <c r="A49">
        <f t="shared" si="0"/>
        <v>48</v>
      </c>
      <c r="B49" s="7"/>
      <c r="C49" s="7"/>
      <c r="D49" s="7"/>
      <c r="E49" s="7"/>
      <c r="H49" t="s">
        <v>514</v>
      </c>
      <c r="I49" t="s">
        <v>515</v>
      </c>
      <c r="J49" t="s">
        <v>13</v>
      </c>
      <c r="K49">
        <v>2020</v>
      </c>
      <c r="L49" t="s">
        <v>516</v>
      </c>
      <c r="M49" t="s">
        <v>517</v>
      </c>
      <c r="N49" t="s">
        <v>377</v>
      </c>
    </row>
    <row r="50" spans="1:16" x14ac:dyDescent="0.2">
      <c r="A50">
        <f t="shared" si="0"/>
        <v>49</v>
      </c>
      <c r="B50" s="7"/>
      <c r="C50" s="7"/>
      <c r="D50" s="7"/>
      <c r="E50" s="7"/>
      <c r="H50" t="s">
        <v>518</v>
      </c>
      <c r="I50" t="s">
        <v>519</v>
      </c>
      <c r="J50" t="s">
        <v>520</v>
      </c>
      <c r="K50">
        <v>2020</v>
      </c>
      <c r="L50" t="s">
        <v>724</v>
      </c>
      <c r="M50" t="s">
        <v>725</v>
      </c>
      <c r="N50" t="s">
        <v>337</v>
      </c>
    </row>
    <row r="51" spans="1:16" x14ac:dyDescent="0.2">
      <c r="A51">
        <f t="shared" si="0"/>
        <v>50</v>
      </c>
      <c r="B51" s="7"/>
      <c r="C51" s="7"/>
      <c r="D51" s="7"/>
      <c r="E51" s="7"/>
      <c r="H51" t="s">
        <v>521</v>
      </c>
      <c r="I51" t="s">
        <v>522</v>
      </c>
      <c r="J51" t="s">
        <v>510</v>
      </c>
      <c r="K51">
        <v>2020</v>
      </c>
      <c r="L51" t="s">
        <v>511</v>
      </c>
      <c r="M51" t="s">
        <v>726</v>
      </c>
      <c r="N51" t="s">
        <v>337</v>
      </c>
    </row>
    <row r="52" spans="1:16" x14ac:dyDescent="0.2">
      <c r="A52">
        <f t="shared" si="0"/>
        <v>51</v>
      </c>
      <c r="B52" s="7"/>
      <c r="C52" s="7"/>
      <c r="D52" s="7"/>
      <c r="E52" s="7"/>
      <c r="H52" t="s">
        <v>523</v>
      </c>
      <c r="I52" t="s">
        <v>524</v>
      </c>
      <c r="J52" t="s">
        <v>277</v>
      </c>
      <c r="K52">
        <v>2020</v>
      </c>
      <c r="L52" t="s">
        <v>727</v>
      </c>
      <c r="M52" t="s">
        <v>728</v>
      </c>
      <c r="N52" t="s">
        <v>337</v>
      </c>
      <c r="P52" s="16"/>
    </row>
    <row r="53" spans="1:16" x14ac:dyDescent="0.2">
      <c r="A53">
        <f t="shared" si="0"/>
        <v>52</v>
      </c>
      <c r="G53" t="s">
        <v>847</v>
      </c>
      <c r="H53" t="s">
        <v>525</v>
      </c>
      <c r="I53" t="s">
        <v>382</v>
      </c>
      <c r="J53" t="s">
        <v>526</v>
      </c>
      <c r="K53">
        <v>2020</v>
      </c>
      <c r="L53" t="s">
        <v>527</v>
      </c>
      <c r="M53" t="s">
        <v>729</v>
      </c>
      <c r="N53" t="s">
        <v>337</v>
      </c>
      <c r="P53" s="17"/>
    </row>
    <row r="54" spans="1:16" x14ac:dyDescent="0.2">
      <c r="A54">
        <f t="shared" si="0"/>
        <v>53</v>
      </c>
      <c r="H54" t="s">
        <v>528</v>
      </c>
      <c r="I54" t="s">
        <v>529</v>
      </c>
      <c r="J54" t="s">
        <v>277</v>
      </c>
      <c r="K54">
        <v>2020</v>
      </c>
      <c r="L54" t="s">
        <v>730</v>
      </c>
      <c r="M54" t="s">
        <v>731</v>
      </c>
      <c r="N54" t="s">
        <v>337</v>
      </c>
      <c r="P54" s="17"/>
    </row>
    <row r="55" spans="1:16" x14ac:dyDescent="0.2">
      <c r="A55">
        <f t="shared" si="0"/>
        <v>54</v>
      </c>
      <c r="B55" s="7"/>
      <c r="C55" s="7"/>
      <c r="D55" s="7"/>
      <c r="E55" s="7"/>
      <c r="H55" t="s">
        <v>530</v>
      </c>
      <c r="I55" t="s">
        <v>531</v>
      </c>
      <c r="J55" t="s">
        <v>8</v>
      </c>
      <c r="K55">
        <v>2020</v>
      </c>
      <c r="L55" t="s">
        <v>732</v>
      </c>
      <c r="M55" t="s">
        <v>733</v>
      </c>
      <c r="N55" t="s">
        <v>337</v>
      </c>
    </row>
    <row r="56" spans="1:16" x14ac:dyDescent="0.2">
      <c r="A56">
        <f t="shared" si="0"/>
        <v>55</v>
      </c>
      <c r="G56" t="s">
        <v>847</v>
      </c>
      <c r="H56" t="s">
        <v>532</v>
      </c>
      <c r="I56" t="s">
        <v>533</v>
      </c>
      <c r="J56" t="s">
        <v>281</v>
      </c>
      <c r="K56">
        <v>2020</v>
      </c>
      <c r="L56" t="s">
        <v>734</v>
      </c>
      <c r="M56" t="s">
        <v>735</v>
      </c>
      <c r="N56" t="s">
        <v>337</v>
      </c>
      <c r="P56" s="17"/>
    </row>
    <row r="57" spans="1:16" x14ac:dyDescent="0.2">
      <c r="A57">
        <f t="shared" si="0"/>
        <v>56</v>
      </c>
      <c r="H57" t="s">
        <v>534</v>
      </c>
      <c r="I57" t="s">
        <v>535</v>
      </c>
      <c r="J57" t="s">
        <v>20</v>
      </c>
      <c r="K57">
        <v>2020</v>
      </c>
      <c r="L57" t="s">
        <v>736</v>
      </c>
      <c r="M57" t="s">
        <v>737</v>
      </c>
      <c r="N57" t="s">
        <v>337</v>
      </c>
      <c r="P57" s="16"/>
    </row>
    <row r="58" spans="1:16" x14ac:dyDescent="0.2">
      <c r="A58">
        <f t="shared" si="0"/>
        <v>57</v>
      </c>
      <c r="H58" t="s">
        <v>536</v>
      </c>
      <c r="I58" t="s">
        <v>537</v>
      </c>
      <c r="J58" t="s">
        <v>277</v>
      </c>
      <c r="K58">
        <v>2020</v>
      </c>
      <c r="L58" t="s">
        <v>738</v>
      </c>
      <c r="M58" t="s">
        <v>739</v>
      </c>
      <c r="N58" t="s">
        <v>337</v>
      </c>
      <c r="P58" s="17"/>
    </row>
    <row r="59" spans="1:16" x14ac:dyDescent="0.2">
      <c r="A59">
        <f t="shared" si="0"/>
        <v>58</v>
      </c>
      <c r="H59" t="s">
        <v>538</v>
      </c>
      <c r="I59" t="s">
        <v>539</v>
      </c>
      <c r="J59" t="s">
        <v>13</v>
      </c>
      <c r="K59">
        <v>2020</v>
      </c>
      <c r="L59" t="s">
        <v>740</v>
      </c>
      <c r="M59" t="s">
        <v>741</v>
      </c>
      <c r="N59" t="s">
        <v>337</v>
      </c>
      <c r="P59" s="17"/>
    </row>
    <row r="60" spans="1:16" x14ac:dyDescent="0.2">
      <c r="A60">
        <f t="shared" si="0"/>
        <v>59</v>
      </c>
      <c r="B60" s="7"/>
      <c r="C60" s="7"/>
      <c r="D60" s="7"/>
      <c r="E60" s="7"/>
      <c r="H60" t="s">
        <v>540</v>
      </c>
      <c r="I60" t="s">
        <v>541</v>
      </c>
      <c r="J60" t="s">
        <v>13</v>
      </c>
      <c r="K60">
        <v>2020</v>
      </c>
      <c r="L60" t="s">
        <v>742</v>
      </c>
      <c r="M60" t="s">
        <v>743</v>
      </c>
      <c r="N60" t="s">
        <v>337</v>
      </c>
      <c r="P60" s="16"/>
    </row>
    <row r="61" spans="1:16" x14ac:dyDescent="0.2">
      <c r="A61">
        <f t="shared" si="0"/>
        <v>60</v>
      </c>
      <c r="G61" t="s">
        <v>847</v>
      </c>
      <c r="H61" t="s">
        <v>542</v>
      </c>
      <c r="I61" t="s">
        <v>543</v>
      </c>
      <c r="J61" t="s">
        <v>13</v>
      </c>
      <c r="K61">
        <v>2020</v>
      </c>
      <c r="L61" t="s">
        <v>744</v>
      </c>
      <c r="M61" t="s">
        <v>745</v>
      </c>
      <c r="N61" t="s">
        <v>337</v>
      </c>
      <c r="P61" s="17"/>
    </row>
    <row r="62" spans="1:16" x14ac:dyDescent="0.2">
      <c r="A62">
        <f t="shared" si="0"/>
        <v>61</v>
      </c>
      <c r="B62" s="7"/>
      <c r="C62" s="7"/>
      <c r="D62" s="7"/>
      <c r="E62" s="7"/>
      <c r="H62" t="s">
        <v>544</v>
      </c>
      <c r="I62" t="s">
        <v>545</v>
      </c>
      <c r="J62" t="s">
        <v>290</v>
      </c>
      <c r="K62">
        <v>2020</v>
      </c>
      <c r="L62" t="s">
        <v>746</v>
      </c>
      <c r="M62" t="s">
        <v>747</v>
      </c>
      <c r="N62" t="s">
        <v>337</v>
      </c>
      <c r="P62" s="16"/>
    </row>
    <row r="63" spans="1:16" x14ac:dyDescent="0.2">
      <c r="A63">
        <f t="shared" si="0"/>
        <v>62</v>
      </c>
      <c r="B63" s="7"/>
      <c r="C63" s="7"/>
      <c r="D63" s="7"/>
      <c r="E63" s="7"/>
      <c r="H63" t="s">
        <v>546</v>
      </c>
      <c r="I63" t="s">
        <v>547</v>
      </c>
      <c r="J63" t="s">
        <v>13</v>
      </c>
      <c r="K63">
        <v>2020</v>
      </c>
      <c r="L63" t="s">
        <v>748</v>
      </c>
      <c r="M63" t="s">
        <v>749</v>
      </c>
      <c r="N63" t="s">
        <v>337</v>
      </c>
      <c r="P63" s="17"/>
    </row>
    <row r="64" spans="1:16" x14ac:dyDescent="0.2">
      <c r="A64">
        <f t="shared" si="0"/>
        <v>63</v>
      </c>
      <c r="B64" s="7"/>
      <c r="C64" s="7"/>
      <c r="D64" s="7"/>
      <c r="E64" s="7"/>
      <c r="H64" t="s">
        <v>548</v>
      </c>
      <c r="I64" t="s">
        <v>549</v>
      </c>
      <c r="J64" t="s">
        <v>715</v>
      </c>
      <c r="K64">
        <v>2020</v>
      </c>
      <c r="L64" t="s">
        <v>750</v>
      </c>
      <c r="M64" t="s">
        <v>751</v>
      </c>
      <c r="N64" t="s">
        <v>337</v>
      </c>
    </row>
    <row r="65" spans="1:16" x14ac:dyDescent="0.2">
      <c r="A65">
        <f t="shared" si="0"/>
        <v>64</v>
      </c>
      <c r="B65" s="7"/>
      <c r="C65" s="7"/>
      <c r="D65" s="7"/>
      <c r="E65" s="7"/>
      <c r="H65" t="s">
        <v>550</v>
      </c>
      <c r="I65" t="s">
        <v>551</v>
      </c>
      <c r="J65" t="s">
        <v>510</v>
      </c>
      <c r="K65">
        <v>2020</v>
      </c>
      <c r="L65" t="s">
        <v>552</v>
      </c>
      <c r="M65" t="s">
        <v>752</v>
      </c>
      <c r="N65" t="s">
        <v>337</v>
      </c>
      <c r="P65" s="16"/>
    </row>
    <row r="66" spans="1:16" x14ac:dyDescent="0.2">
      <c r="A66">
        <f t="shared" si="0"/>
        <v>65</v>
      </c>
      <c r="H66" t="s">
        <v>553</v>
      </c>
      <c r="I66" t="s">
        <v>554</v>
      </c>
      <c r="J66" t="s">
        <v>8</v>
      </c>
      <c r="K66">
        <v>2020</v>
      </c>
      <c r="L66" t="s">
        <v>754</v>
      </c>
      <c r="M66" t="s">
        <v>753</v>
      </c>
      <c r="N66" t="s">
        <v>337</v>
      </c>
      <c r="P66" s="17"/>
    </row>
    <row r="67" spans="1:16" x14ac:dyDescent="0.2">
      <c r="A67">
        <f t="shared" si="0"/>
        <v>66</v>
      </c>
      <c r="B67" s="7"/>
      <c r="C67" s="7"/>
      <c r="D67" s="7"/>
      <c r="E67" s="7"/>
      <c r="H67" t="s">
        <v>555</v>
      </c>
      <c r="I67" t="s">
        <v>556</v>
      </c>
      <c r="J67" t="s">
        <v>24</v>
      </c>
      <c r="K67">
        <v>2020</v>
      </c>
      <c r="L67" t="s">
        <v>755</v>
      </c>
      <c r="M67" t="s">
        <v>756</v>
      </c>
      <c r="N67" t="s">
        <v>337</v>
      </c>
      <c r="P67" s="16"/>
    </row>
    <row r="68" spans="1:16" x14ac:dyDescent="0.2">
      <c r="A68">
        <f t="shared" ref="A68:A128" si="1">A67+1</f>
        <v>67</v>
      </c>
      <c r="H68" t="s">
        <v>557</v>
      </c>
      <c r="I68" t="s">
        <v>558</v>
      </c>
      <c r="J68" t="s">
        <v>20</v>
      </c>
      <c r="K68">
        <v>2020</v>
      </c>
      <c r="L68" t="s">
        <v>757</v>
      </c>
      <c r="M68" t="s">
        <v>758</v>
      </c>
      <c r="N68" t="s">
        <v>337</v>
      </c>
      <c r="P68" s="17"/>
    </row>
    <row r="69" spans="1:16" x14ac:dyDescent="0.2">
      <c r="A69">
        <f t="shared" si="1"/>
        <v>68</v>
      </c>
      <c r="G69" t="s">
        <v>847</v>
      </c>
      <c r="H69" t="s">
        <v>559</v>
      </c>
      <c r="I69" t="s">
        <v>560</v>
      </c>
      <c r="J69" t="s">
        <v>561</v>
      </c>
      <c r="K69">
        <v>2020</v>
      </c>
      <c r="L69" t="s">
        <v>562</v>
      </c>
      <c r="M69" t="s">
        <v>759</v>
      </c>
      <c r="N69" t="s">
        <v>337</v>
      </c>
      <c r="P69" s="16"/>
    </row>
    <row r="70" spans="1:16" x14ac:dyDescent="0.2">
      <c r="A70">
        <f t="shared" si="1"/>
        <v>69</v>
      </c>
      <c r="H70" t="s">
        <v>563</v>
      </c>
      <c r="I70" t="s">
        <v>564</v>
      </c>
      <c r="J70" t="s">
        <v>8</v>
      </c>
      <c r="K70">
        <v>2020</v>
      </c>
      <c r="L70" t="s">
        <v>760</v>
      </c>
      <c r="M70" t="s">
        <v>761</v>
      </c>
      <c r="N70" t="s">
        <v>337</v>
      </c>
      <c r="P70" s="17"/>
    </row>
    <row r="71" spans="1:16" x14ac:dyDescent="0.2">
      <c r="A71">
        <f t="shared" si="1"/>
        <v>70</v>
      </c>
      <c r="B71" s="7"/>
      <c r="C71" s="7"/>
      <c r="D71" s="7"/>
      <c r="E71" s="7"/>
      <c r="H71" t="s">
        <v>367</v>
      </c>
      <c r="I71" t="s">
        <v>297</v>
      </c>
      <c r="J71" t="s">
        <v>412</v>
      </c>
      <c r="K71">
        <v>2021</v>
      </c>
      <c r="L71" t="s">
        <v>299</v>
      </c>
      <c r="M71" t="s">
        <v>301</v>
      </c>
      <c r="N71" t="s">
        <v>303</v>
      </c>
      <c r="P71" s="17"/>
    </row>
    <row r="72" spans="1:16" x14ac:dyDescent="0.2">
      <c r="A72">
        <f t="shared" si="1"/>
        <v>71</v>
      </c>
      <c r="H72" t="s">
        <v>368</v>
      </c>
      <c r="I72" t="s">
        <v>369</v>
      </c>
      <c r="J72" t="s">
        <v>25</v>
      </c>
      <c r="K72">
        <v>2021</v>
      </c>
      <c r="L72" t="s">
        <v>287</v>
      </c>
      <c r="M72" t="s">
        <v>370</v>
      </c>
      <c r="N72" t="s">
        <v>303</v>
      </c>
      <c r="P72" s="17"/>
    </row>
    <row r="73" spans="1:16" x14ac:dyDescent="0.2">
      <c r="A73">
        <f t="shared" si="1"/>
        <v>72</v>
      </c>
      <c r="H73" t="s">
        <v>371</v>
      </c>
      <c r="I73" t="s">
        <v>372</v>
      </c>
      <c r="J73" t="s">
        <v>288</v>
      </c>
      <c r="K73">
        <v>2021</v>
      </c>
      <c r="L73" t="s">
        <v>289</v>
      </c>
      <c r="M73" t="s">
        <v>373</v>
      </c>
      <c r="N73" t="s">
        <v>303</v>
      </c>
      <c r="P73" s="16"/>
    </row>
    <row r="74" spans="1:16" x14ac:dyDescent="0.2">
      <c r="A74">
        <f t="shared" si="1"/>
        <v>73</v>
      </c>
      <c r="B74" s="7">
        <v>44916</v>
      </c>
      <c r="C74" t="s">
        <v>919</v>
      </c>
      <c r="D74" t="s">
        <v>848</v>
      </c>
      <c r="E74" t="s">
        <v>849</v>
      </c>
      <c r="G74" t="s">
        <v>330</v>
      </c>
      <c r="H74" t="s">
        <v>565</v>
      </c>
      <c r="I74" t="s">
        <v>566</v>
      </c>
      <c r="J74" t="s">
        <v>25</v>
      </c>
      <c r="K74">
        <v>2021</v>
      </c>
      <c r="L74" t="s">
        <v>567</v>
      </c>
      <c r="M74" t="s">
        <v>568</v>
      </c>
      <c r="N74" t="s">
        <v>303</v>
      </c>
    </row>
    <row r="75" spans="1:16" x14ac:dyDescent="0.2">
      <c r="A75">
        <f t="shared" si="1"/>
        <v>74</v>
      </c>
      <c r="B75" s="7"/>
      <c r="C75" s="7"/>
      <c r="D75" s="7"/>
      <c r="E75" s="7"/>
      <c r="H75" t="s">
        <v>374</v>
      </c>
      <c r="I75" t="s">
        <v>375</v>
      </c>
      <c r="J75" t="s">
        <v>277</v>
      </c>
      <c r="K75">
        <v>2021</v>
      </c>
      <c r="L75" t="s">
        <v>286</v>
      </c>
      <c r="M75" t="s">
        <v>376</v>
      </c>
      <c r="N75" t="s">
        <v>377</v>
      </c>
      <c r="P75" s="16"/>
    </row>
    <row r="76" spans="1:16" x14ac:dyDescent="0.2">
      <c r="A76">
        <f t="shared" si="1"/>
        <v>75</v>
      </c>
      <c r="H76" t="s">
        <v>378</v>
      </c>
      <c r="I76" t="s">
        <v>379</v>
      </c>
      <c r="J76" t="s">
        <v>21</v>
      </c>
      <c r="K76">
        <v>2021</v>
      </c>
      <c r="L76" t="s">
        <v>285</v>
      </c>
      <c r="M76" t="s">
        <v>380</v>
      </c>
      <c r="N76" t="s">
        <v>7</v>
      </c>
      <c r="P76" s="17"/>
    </row>
    <row r="77" spans="1:16" x14ac:dyDescent="0.2">
      <c r="A77">
        <f t="shared" si="1"/>
        <v>76</v>
      </c>
      <c r="B77" s="7"/>
      <c r="C77" s="7"/>
      <c r="D77" s="7"/>
      <c r="E77" s="7"/>
      <c r="H77" t="s">
        <v>569</v>
      </c>
      <c r="I77" t="s">
        <v>570</v>
      </c>
      <c r="J77" t="s">
        <v>412</v>
      </c>
      <c r="K77">
        <v>2021</v>
      </c>
      <c r="L77" t="s">
        <v>762</v>
      </c>
      <c r="M77" t="s">
        <v>763</v>
      </c>
      <c r="N77" t="s">
        <v>337</v>
      </c>
      <c r="P77" s="17"/>
    </row>
    <row r="78" spans="1:16" x14ac:dyDescent="0.2">
      <c r="A78">
        <f t="shared" si="1"/>
        <v>77</v>
      </c>
      <c r="B78" s="7"/>
      <c r="C78" s="7"/>
      <c r="D78" s="7"/>
      <c r="E78" s="7"/>
      <c r="H78" t="s">
        <v>571</v>
      </c>
      <c r="I78" t="s">
        <v>572</v>
      </c>
      <c r="J78" t="s">
        <v>765</v>
      </c>
      <c r="K78">
        <v>2021</v>
      </c>
      <c r="L78" t="s">
        <v>766</v>
      </c>
      <c r="M78" t="s">
        <v>764</v>
      </c>
      <c r="N78" t="s">
        <v>337</v>
      </c>
      <c r="P78" s="16"/>
    </row>
    <row r="79" spans="1:16" x14ac:dyDescent="0.2">
      <c r="A79">
        <f t="shared" si="1"/>
        <v>78</v>
      </c>
      <c r="H79" t="s">
        <v>573</v>
      </c>
      <c r="I79" t="s">
        <v>574</v>
      </c>
      <c r="J79" t="s">
        <v>768</v>
      </c>
      <c r="K79">
        <v>2021</v>
      </c>
      <c r="L79" t="s">
        <v>575</v>
      </c>
      <c r="M79" t="s">
        <v>767</v>
      </c>
      <c r="N79" t="s">
        <v>337</v>
      </c>
    </row>
    <row r="80" spans="1:16" x14ac:dyDescent="0.2">
      <c r="A80">
        <f t="shared" si="1"/>
        <v>79</v>
      </c>
      <c r="B80" s="7"/>
      <c r="C80" s="7"/>
      <c r="D80" s="7"/>
      <c r="E80" s="7"/>
      <c r="H80" t="s">
        <v>576</v>
      </c>
      <c r="I80" t="s">
        <v>577</v>
      </c>
      <c r="J80" t="s">
        <v>25</v>
      </c>
      <c r="K80">
        <v>2021</v>
      </c>
      <c r="L80" t="s">
        <v>770</v>
      </c>
      <c r="M80" t="s">
        <v>769</v>
      </c>
      <c r="N80" t="s">
        <v>337</v>
      </c>
      <c r="P80" s="17"/>
    </row>
    <row r="81" spans="1:16" x14ac:dyDescent="0.2">
      <c r="A81">
        <f t="shared" si="1"/>
        <v>80</v>
      </c>
      <c r="H81" t="s">
        <v>578</v>
      </c>
      <c r="I81" t="s">
        <v>579</v>
      </c>
      <c r="J81" t="s">
        <v>10</v>
      </c>
      <c r="K81">
        <v>2021</v>
      </c>
      <c r="L81" t="s">
        <v>771</v>
      </c>
      <c r="M81" t="s">
        <v>772</v>
      </c>
      <c r="N81" t="s">
        <v>337</v>
      </c>
      <c r="P81" s="17"/>
    </row>
    <row r="82" spans="1:16" x14ac:dyDescent="0.2">
      <c r="A82">
        <f t="shared" si="1"/>
        <v>81</v>
      </c>
      <c r="B82" s="7"/>
      <c r="C82" s="7"/>
      <c r="D82" s="7"/>
      <c r="E82" s="7"/>
      <c r="H82" t="s">
        <v>580</v>
      </c>
      <c r="I82" t="s">
        <v>581</v>
      </c>
      <c r="J82" t="s">
        <v>281</v>
      </c>
      <c r="K82">
        <v>2021</v>
      </c>
      <c r="L82" t="s">
        <v>773</v>
      </c>
      <c r="M82" t="s">
        <v>774</v>
      </c>
      <c r="N82" t="s">
        <v>337</v>
      </c>
      <c r="P82" s="17"/>
    </row>
    <row r="83" spans="1:16" x14ac:dyDescent="0.2">
      <c r="A83">
        <f t="shared" si="1"/>
        <v>82</v>
      </c>
      <c r="H83" t="s">
        <v>582</v>
      </c>
      <c r="I83" t="s">
        <v>583</v>
      </c>
      <c r="J83" t="s">
        <v>13</v>
      </c>
      <c r="K83">
        <v>2021</v>
      </c>
      <c r="L83" t="s">
        <v>775</v>
      </c>
      <c r="M83" t="s">
        <v>776</v>
      </c>
      <c r="N83" t="s">
        <v>337</v>
      </c>
      <c r="P83" s="17"/>
    </row>
    <row r="84" spans="1:16" x14ac:dyDescent="0.2">
      <c r="A84">
        <f t="shared" si="1"/>
        <v>83</v>
      </c>
      <c r="H84" t="s">
        <v>584</v>
      </c>
      <c r="I84" t="s">
        <v>585</v>
      </c>
      <c r="J84" t="s">
        <v>281</v>
      </c>
      <c r="K84">
        <v>2021</v>
      </c>
      <c r="L84" t="s">
        <v>777</v>
      </c>
      <c r="M84" t="s">
        <v>778</v>
      </c>
      <c r="N84" t="s">
        <v>337</v>
      </c>
      <c r="P84" s="17"/>
    </row>
    <row r="85" spans="1:16" x14ac:dyDescent="0.2">
      <c r="A85">
        <f t="shared" si="1"/>
        <v>84</v>
      </c>
      <c r="B85" s="7">
        <v>44916</v>
      </c>
      <c r="C85" t="s">
        <v>849</v>
      </c>
      <c r="D85" t="s">
        <v>848</v>
      </c>
      <c r="E85" t="s">
        <v>849</v>
      </c>
      <c r="G85" t="s">
        <v>872</v>
      </c>
      <c r="H85" t="s">
        <v>586</v>
      </c>
      <c r="I85" t="s">
        <v>587</v>
      </c>
      <c r="J85" t="s">
        <v>290</v>
      </c>
      <c r="K85">
        <v>2021</v>
      </c>
      <c r="L85" t="s">
        <v>779</v>
      </c>
      <c r="M85" t="s">
        <v>780</v>
      </c>
      <c r="N85" t="s">
        <v>337</v>
      </c>
    </row>
    <row r="86" spans="1:16" x14ac:dyDescent="0.2">
      <c r="A86">
        <f t="shared" si="1"/>
        <v>85</v>
      </c>
      <c r="B86" s="7"/>
      <c r="C86" s="7"/>
      <c r="D86" s="7"/>
      <c r="E86" s="7"/>
      <c r="H86" t="s">
        <v>588</v>
      </c>
      <c r="I86" t="s">
        <v>589</v>
      </c>
      <c r="J86" t="s">
        <v>411</v>
      </c>
      <c r="K86">
        <v>2021</v>
      </c>
      <c r="L86" t="s">
        <v>781</v>
      </c>
      <c r="M86" t="s">
        <v>782</v>
      </c>
      <c r="N86" t="s">
        <v>337</v>
      </c>
      <c r="P86" s="16"/>
    </row>
    <row r="87" spans="1:16" x14ac:dyDescent="0.2">
      <c r="A87">
        <f t="shared" si="1"/>
        <v>86</v>
      </c>
      <c r="H87" t="s">
        <v>590</v>
      </c>
      <c r="I87" t="s">
        <v>591</v>
      </c>
      <c r="J87" t="s">
        <v>399</v>
      </c>
      <c r="K87">
        <v>2021</v>
      </c>
      <c r="L87" t="s">
        <v>783</v>
      </c>
      <c r="M87" t="s">
        <v>784</v>
      </c>
      <c r="N87" t="s">
        <v>337</v>
      </c>
      <c r="P87" s="17"/>
    </row>
    <row r="88" spans="1:16" x14ac:dyDescent="0.2">
      <c r="A88">
        <f t="shared" si="1"/>
        <v>87</v>
      </c>
      <c r="H88" t="s">
        <v>592</v>
      </c>
      <c r="I88" t="s">
        <v>593</v>
      </c>
      <c r="J88" t="s">
        <v>411</v>
      </c>
      <c r="K88">
        <v>2021</v>
      </c>
      <c r="L88" t="s">
        <v>785</v>
      </c>
      <c r="M88" t="s">
        <v>786</v>
      </c>
      <c r="N88" t="s">
        <v>337</v>
      </c>
      <c r="P88" s="16"/>
    </row>
    <row r="89" spans="1:16" x14ac:dyDescent="0.2">
      <c r="A89">
        <f t="shared" si="1"/>
        <v>88</v>
      </c>
      <c r="B89" s="7"/>
      <c r="C89" s="7"/>
      <c r="D89" s="7"/>
      <c r="E89" s="7"/>
      <c r="G89" t="s">
        <v>847</v>
      </c>
      <c r="H89" t="s">
        <v>594</v>
      </c>
      <c r="I89" t="s">
        <v>595</v>
      </c>
      <c r="J89" t="s">
        <v>383</v>
      </c>
      <c r="K89">
        <v>2021</v>
      </c>
      <c r="L89" t="s">
        <v>596</v>
      </c>
      <c r="M89" t="s">
        <v>787</v>
      </c>
      <c r="N89" t="s">
        <v>337</v>
      </c>
      <c r="P89" s="17"/>
    </row>
    <row r="90" spans="1:16" x14ac:dyDescent="0.2">
      <c r="A90">
        <f t="shared" si="1"/>
        <v>89</v>
      </c>
      <c r="H90" t="s">
        <v>597</v>
      </c>
      <c r="I90" t="s">
        <v>598</v>
      </c>
      <c r="J90" t="s">
        <v>788</v>
      </c>
      <c r="K90">
        <v>2021</v>
      </c>
      <c r="L90" t="s">
        <v>789</v>
      </c>
      <c r="M90" t="s">
        <v>790</v>
      </c>
      <c r="N90" t="s">
        <v>337</v>
      </c>
      <c r="P90" s="17"/>
    </row>
    <row r="91" spans="1:16" x14ac:dyDescent="0.2">
      <c r="A91">
        <f t="shared" si="1"/>
        <v>90</v>
      </c>
      <c r="B91" s="7"/>
      <c r="C91" s="7"/>
      <c r="D91" s="7"/>
      <c r="E91" s="7"/>
      <c r="H91" t="s">
        <v>599</v>
      </c>
      <c r="I91" t="s">
        <v>794</v>
      </c>
      <c r="J91" t="s">
        <v>791</v>
      </c>
      <c r="K91">
        <v>2021</v>
      </c>
      <c r="L91" t="s">
        <v>792</v>
      </c>
      <c r="M91" t="s">
        <v>793</v>
      </c>
      <c r="N91" t="s">
        <v>337</v>
      </c>
      <c r="P91" s="17"/>
    </row>
    <row r="92" spans="1:16" x14ac:dyDescent="0.2">
      <c r="A92">
        <f t="shared" si="1"/>
        <v>91</v>
      </c>
      <c r="B92" s="7"/>
      <c r="C92" s="7"/>
      <c r="D92" s="7"/>
      <c r="E92" s="7"/>
      <c r="H92" t="s">
        <v>600</v>
      </c>
      <c r="I92" t="s">
        <v>601</v>
      </c>
      <c r="J92" t="s">
        <v>795</v>
      </c>
      <c r="K92">
        <v>2021</v>
      </c>
      <c r="M92" t="s">
        <v>796</v>
      </c>
      <c r="N92" t="s">
        <v>337</v>
      </c>
      <c r="P92" s="17"/>
    </row>
    <row r="93" spans="1:16" x14ac:dyDescent="0.2">
      <c r="A93">
        <f t="shared" si="1"/>
        <v>92</v>
      </c>
      <c r="B93" s="7"/>
      <c r="C93" s="7"/>
      <c r="D93" s="7"/>
      <c r="E93" s="7"/>
      <c r="H93" t="s">
        <v>602</v>
      </c>
      <c r="I93" t="s">
        <v>603</v>
      </c>
      <c r="J93" t="s">
        <v>510</v>
      </c>
      <c r="K93">
        <v>2021</v>
      </c>
      <c r="L93" t="s">
        <v>604</v>
      </c>
      <c r="M93" t="s">
        <v>797</v>
      </c>
      <c r="N93" t="s">
        <v>337</v>
      </c>
      <c r="P93" s="17"/>
    </row>
    <row r="94" spans="1:16" x14ac:dyDescent="0.2">
      <c r="A94">
        <f t="shared" si="1"/>
        <v>93</v>
      </c>
      <c r="B94" s="7">
        <v>44916</v>
      </c>
      <c r="C94" s="7" t="s">
        <v>849</v>
      </c>
      <c r="D94" s="7" t="s">
        <v>848</v>
      </c>
      <c r="E94" s="7" t="s">
        <v>849</v>
      </c>
      <c r="F94" t="s">
        <v>873</v>
      </c>
      <c r="G94" t="s">
        <v>872</v>
      </c>
      <c r="H94" t="s">
        <v>605</v>
      </c>
      <c r="I94" t="s">
        <v>606</v>
      </c>
      <c r="J94" t="s">
        <v>799</v>
      </c>
      <c r="K94">
        <v>2021</v>
      </c>
      <c r="L94" t="s">
        <v>798</v>
      </c>
      <c r="M94" t="s">
        <v>800</v>
      </c>
      <c r="N94" t="s">
        <v>337</v>
      </c>
      <c r="P94" s="16"/>
    </row>
    <row r="95" spans="1:16" x14ac:dyDescent="0.2">
      <c r="A95">
        <f t="shared" si="1"/>
        <v>94</v>
      </c>
      <c r="B95" s="7"/>
      <c r="C95" s="7"/>
      <c r="D95" s="7"/>
      <c r="E95" s="7"/>
      <c r="G95" t="s">
        <v>847</v>
      </c>
      <c r="H95" t="s">
        <v>607</v>
      </c>
      <c r="I95" t="s">
        <v>608</v>
      </c>
      <c r="J95" t="s">
        <v>801</v>
      </c>
      <c r="K95">
        <v>2021</v>
      </c>
      <c r="L95" t="s">
        <v>609</v>
      </c>
      <c r="M95" t="s">
        <v>802</v>
      </c>
      <c r="N95" t="s">
        <v>337</v>
      </c>
      <c r="P95" s="16"/>
    </row>
    <row r="96" spans="1:16" x14ac:dyDescent="0.2">
      <c r="A96">
        <f t="shared" si="1"/>
        <v>95</v>
      </c>
      <c r="H96" t="s">
        <v>610</v>
      </c>
      <c r="I96" t="s">
        <v>611</v>
      </c>
      <c r="J96" t="s">
        <v>290</v>
      </c>
      <c r="K96">
        <v>2021</v>
      </c>
      <c r="L96" t="s">
        <v>803</v>
      </c>
      <c r="M96" t="s">
        <v>804</v>
      </c>
      <c r="N96" t="s">
        <v>337</v>
      </c>
      <c r="P96" s="17"/>
    </row>
    <row r="97" spans="1:16" x14ac:dyDescent="0.2">
      <c r="A97">
        <f t="shared" si="1"/>
        <v>96</v>
      </c>
      <c r="H97" t="s">
        <v>403</v>
      </c>
      <c r="I97" t="s">
        <v>404</v>
      </c>
      <c r="J97" t="s">
        <v>405</v>
      </c>
      <c r="K97">
        <v>2021</v>
      </c>
      <c r="L97" t="s">
        <v>406</v>
      </c>
      <c r="M97" t="s">
        <v>407</v>
      </c>
      <c r="N97" t="s">
        <v>9</v>
      </c>
      <c r="P97" s="17"/>
    </row>
    <row r="98" spans="1:16" x14ac:dyDescent="0.2">
      <c r="A98">
        <f t="shared" si="1"/>
        <v>97</v>
      </c>
      <c r="H98" t="s">
        <v>408</v>
      </c>
      <c r="I98" t="s">
        <v>409</v>
      </c>
      <c r="J98" t="s">
        <v>8</v>
      </c>
      <c r="K98">
        <v>2021</v>
      </c>
      <c r="L98" t="s">
        <v>296</v>
      </c>
      <c r="M98" t="s">
        <v>410</v>
      </c>
      <c r="N98" t="s">
        <v>9</v>
      </c>
      <c r="P98" s="16"/>
    </row>
    <row r="99" spans="1:16" x14ac:dyDescent="0.2">
      <c r="A99">
        <f t="shared" si="1"/>
        <v>98</v>
      </c>
      <c r="H99" t="s">
        <v>384</v>
      </c>
      <c r="I99" t="s">
        <v>385</v>
      </c>
      <c r="J99" t="s">
        <v>14</v>
      </c>
      <c r="K99">
        <v>2022</v>
      </c>
      <c r="L99" t="s">
        <v>291</v>
      </c>
      <c r="M99" t="s">
        <v>386</v>
      </c>
      <c r="N99" t="s">
        <v>303</v>
      </c>
      <c r="P99" s="16"/>
    </row>
    <row r="100" spans="1:16" x14ac:dyDescent="0.2">
      <c r="A100">
        <f t="shared" si="1"/>
        <v>99</v>
      </c>
      <c r="B100" s="7"/>
      <c r="C100" s="7"/>
      <c r="D100" s="7"/>
      <c r="E100" s="7"/>
      <c r="H100" t="s">
        <v>394</v>
      </c>
      <c r="I100" t="s">
        <v>612</v>
      </c>
      <c r="J100" t="s">
        <v>25</v>
      </c>
      <c r="K100">
        <v>2022</v>
      </c>
      <c r="L100" t="s">
        <v>293</v>
      </c>
      <c r="M100" t="s">
        <v>613</v>
      </c>
      <c r="N100" t="s">
        <v>303</v>
      </c>
    </row>
    <row r="101" spans="1:16" x14ac:dyDescent="0.2">
      <c r="A101">
        <f t="shared" si="1"/>
        <v>100</v>
      </c>
      <c r="H101" t="s">
        <v>614</v>
      </c>
      <c r="I101" t="s">
        <v>615</v>
      </c>
      <c r="J101" t="s">
        <v>805</v>
      </c>
      <c r="K101">
        <v>2022</v>
      </c>
      <c r="L101" t="s">
        <v>616</v>
      </c>
      <c r="M101" t="s">
        <v>617</v>
      </c>
      <c r="N101" t="s">
        <v>303</v>
      </c>
      <c r="P101" s="16"/>
    </row>
    <row r="102" spans="1:16" x14ac:dyDescent="0.2">
      <c r="A102">
        <f t="shared" si="1"/>
        <v>101</v>
      </c>
      <c r="B102" s="7"/>
      <c r="C102" s="7"/>
      <c r="D102" s="7"/>
      <c r="E102" s="7"/>
      <c r="H102" t="s">
        <v>387</v>
      </c>
      <c r="I102" t="s">
        <v>388</v>
      </c>
      <c r="J102" t="s">
        <v>281</v>
      </c>
      <c r="K102">
        <v>2022</v>
      </c>
      <c r="L102" t="s">
        <v>294</v>
      </c>
      <c r="M102" t="s">
        <v>389</v>
      </c>
      <c r="N102" t="s">
        <v>377</v>
      </c>
      <c r="P102" s="16"/>
    </row>
    <row r="103" spans="1:16" x14ac:dyDescent="0.2">
      <c r="A103">
        <f t="shared" si="1"/>
        <v>102</v>
      </c>
      <c r="B103" s="7"/>
      <c r="C103" s="7"/>
      <c r="D103" s="7"/>
      <c r="E103" s="7"/>
      <c r="H103" t="s">
        <v>398</v>
      </c>
      <c r="I103" t="s">
        <v>618</v>
      </c>
      <c r="J103" t="s">
        <v>25</v>
      </c>
      <c r="K103">
        <v>2022</v>
      </c>
      <c r="L103" t="s">
        <v>414</v>
      </c>
      <c r="M103" t="s">
        <v>619</v>
      </c>
      <c r="N103" t="s">
        <v>377</v>
      </c>
      <c r="P103" s="16"/>
    </row>
    <row r="104" spans="1:16" x14ac:dyDescent="0.2">
      <c r="A104">
        <f t="shared" si="1"/>
        <v>103</v>
      </c>
      <c r="H104" t="s">
        <v>620</v>
      </c>
      <c r="I104" t="s">
        <v>621</v>
      </c>
      <c r="J104" t="s">
        <v>8</v>
      </c>
      <c r="K104">
        <v>2022</v>
      </c>
      <c r="L104" t="s">
        <v>622</v>
      </c>
      <c r="M104" t="s">
        <v>623</v>
      </c>
      <c r="N104" t="s">
        <v>377</v>
      </c>
      <c r="P104" s="17"/>
    </row>
    <row r="105" spans="1:16" x14ac:dyDescent="0.2">
      <c r="A105">
        <f t="shared" si="1"/>
        <v>104</v>
      </c>
      <c r="B105" s="7"/>
      <c r="C105" s="7"/>
      <c r="D105" s="7"/>
      <c r="E105" s="7"/>
      <c r="H105" t="s">
        <v>390</v>
      </c>
      <c r="I105" t="s">
        <v>391</v>
      </c>
      <c r="J105" t="s">
        <v>392</v>
      </c>
      <c r="K105">
        <v>2022</v>
      </c>
      <c r="L105" t="s">
        <v>300</v>
      </c>
      <c r="M105" t="s">
        <v>393</v>
      </c>
      <c r="N105" t="s">
        <v>377</v>
      </c>
    </row>
    <row r="106" spans="1:16" x14ac:dyDescent="0.2">
      <c r="A106">
        <f t="shared" si="1"/>
        <v>105</v>
      </c>
      <c r="H106" t="s">
        <v>395</v>
      </c>
      <c r="I106" t="s">
        <v>396</v>
      </c>
      <c r="J106" t="s">
        <v>281</v>
      </c>
      <c r="K106">
        <v>2022</v>
      </c>
      <c r="L106" t="s">
        <v>292</v>
      </c>
      <c r="M106" t="s">
        <v>397</v>
      </c>
      <c r="N106" t="s">
        <v>7</v>
      </c>
      <c r="P106" s="17"/>
    </row>
    <row r="107" spans="1:16" x14ac:dyDescent="0.2">
      <c r="A107">
        <f t="shared" si="1"/>
        <v>106</v>
      </c>
      <c r="H107" t="s">
        <v>624</v>
      </c>
      <c r="I107" t="s">
        <v>611</v>
      </c>
      <c r="J107" t="s">
        <v>290</v>
      </c>
      <c r="K107">
        <v>2022</v>
      </c>
      <c r="L107" t="s">
        <v>806</v>
      </c>
      <c r="M107" t="s">
        <v>807</v>
      </c>
      <c r="N107" t="s">
        <v>337</v>
      </c>
    </row>
    <row r="108" spans="1:16" x14ac:dyDescent="0.2">
      <c r="A108">
        <f t="shared" si="1"/>
        <v>107</v>
      </c>
      <c r="B108" s="7"/>
      <c r="C108" s="7"/>
      <c r="D108" s="7"/>
      <c r="E108" s="7"/>
      <c r="H108" t="s">
        <v>625</v>
      </c>
      <c r="I108" t="s">
        <v>626</v>
      </c>
      <c r="J108" t="s">
        <v>411</v>
      </c>
      <c r="K108">
        <v>2022</v>
      </c>
      <c r="L108" t="s">
        <v>808</v>
      </c>
      <c r="M108" t="s">
        <v>809</v>
      </c>
      <c r="N108" t="s">
        <v>337</v>
      </c>
      <c r="P108" s="17"/>
    </row>
    <row r="109" spans="1:16" x14ac:dyDescent="0.2">
      <c r="A109">
        <f t="shared" si="1"/>
        <v>108</v>
      </c>
      <c r="G109" t="s">
        <v>847</v>
      </c>
      <c r="H109" t="s">
        <v>627</v>
      </c>
      <c r="I109" t="s">
        <v>628</v>
      </c>
      <c r="J109" t="s">
        <v>399</v>
      </c>
      <c r="K109">
        <v>2022</v>
      </c>
      <c r="L109" t="s">
        <v>810</v>
      </c>
      <c r="M109" t="s">
        <v>811</v>
      </c>
      <c r="N109" t="s">
        <v>337</v>
      </c>
      <c r="P109" s="16"/>
    </row>
    <row r="110" spans="1:16" x14ac:dyDescent="0.2">
      <c r="A110">
        <f t="shared" si="1"/>
        <v>109</v>
      </c>
      <c r="G110" t="s">
        <v>847</v>
      </c>
      <c r="H110" t="s">
        <v>629</v>
      </c>
      <c r="I110" t="s">
        <v>630</v>
      </c>
      <c r="J110" t="s">
        <v>412</v>
      </c>
      <c r="K110">
        <v>2022</v>
      </c>
      <c r="L110" t="s">
        <v>812</v>
      </c>
      <c r="M110" t="s">
        <v>813</v>
      </c>
      <c r="N110" t="s">
        <v>337</v>
      </c>
      <c r="P110" s="16"/>
    </row>
    <row r="111" spans="1:16" x14ac:dyDescent="0.2">
      <c r="A111">
        <f t="shared" si="1"/>
        <v>110</v>
      </c>
      <c r="H111" t="s">
        <v>631</v>
      </c>
      <c r="I111" t="s">
        <v>632</v>
      </c>
      <c r="J111" t="s">
        <v>277</v>
      </c>
      <c r="K111">
        <v>2022</v>
      </c>
      <c r="L111" t="s">
        <v>814</v>
      </c>
      <c r="M111" t="s">
        <v>815</v>
      </c>
      <c r="N111" t="s">
        <v>337</v>
      </c>
      <c r="P111" s="16"/>
    </row>
    <row r="112" spans="1:16" x14ac:dyDescent="0.2">
      <c r="A112">
        <f t="shared" si="1"/>
        <v>111</v>
      </c>
      <c r="B112" s="7"/>
      <c r="C112" s="7"/>
      <c r="D112" s="7"/>
      <c r="E112" s="7"/>
      <c r="H112" t="s">
        <v>633</v>
      </c>
      <c r="I112" t="s">
        <v>634</v>
      </c>
      <c r="J112" t="s">
        <v>13</v>
      </c>
      <c r="K112">
        <v>2022</v>
      </c>
      <c r="L112" t="s">
        <v>816</v>
      </c>
      <c r="M112" t="s">
        <v>817</v>
      </c>
      <c r="N112" t="s">
        <v>337</v>
      </c>
      <c r="P112" s="16"/>
    </row>
    <row r="113" spans="1:17" x14ac:dyDescent="0.2">
      <c r="A113">
        <f t="shared" si="1"/>
        <v>112</v>
      </c>
      <c r="H113" t="s">
        <v>635</v>
      </c>
      <c r="I113" t="s">
        <v>636</v>
      </c>
      <c r="J113" t="s">
        <v>818</v>
      </c>
      <c r="K113">
        <v>2022</v>
      </c>
      <c r="L113" t="s">
        <v>637</v>
      </c>
      <c r="M113" t="s">
        <v>819</v>
      </c>
      <c r="N113" t="s">
        <v>337</v>
      </c>
      <c r="P113" s="17"/>
    </row>
    <row r="114" spans="1:17" x14ac:dyDescent="0.2">
      <c r="A114">
        <f t="shared" si="1"/>
        <v>113</v>
      </c>
      <c r="H114" t="s">
        <v>638</v>
      </c>
      <c r="I114" t="s">
        <v>639</v>
      </c>
      <c r="J114" t="s">
        <v>640</v>
      </c>
      <c r="K114">
        <v>2022</v>
      </c>
      <c r="L114" t="s">
        <v>641</v>
      </c>
      <c r="M114" t="s">
        <v>820</v>
      </c>
      <c r="N114" t="s">
        <v>337</v>
      </c>
      <c r="P114" s="17"/>
    </row>
    <row r="115" spans="1:17" x14ac:dyDescent="0.2">
      <c r="A115">
        <f t="shared" si="1"/>
        <v>114</v>
      </c>
      <c r="B115" s="7"/>
      <c r="C115" s="7"/>
      <c r="D115" s="7"/>
      <c r="E115" s="7"/>
      <c r="H115" t="s">
        <v>642</v>
      </c>
      <c r="I115" t="s">
        <v>643</v>
      </c>
      <c r="J115" t="s">
        <v>281</v>
      </c>
      <c r="K115">
        <v>2022</v>
      </c>
      <c r="L115" t="s">
        <v>821</v>
      </c>
      <c r="M115" t="s">
        <v>822</v>
      </c>
      <c r="N115" t="s">
        <v>337</v>
      </c>
      <c r="P115" s="16"/>
    </row>
    <row r="116" spans="1:17" x14ac:dyDescent="0.2">
      <c r="A116">
        <f t="shared" si="1"/>
        <v>115</v>
      </c>
      <c r="H116" t="s">
        <v>644</v>
      </c>
      <c r="I116" t="s">
        <v>645</v>
      </c>
      <c r="J116" t="s">
        <v>823</v>
      </c>
      <c r="K116">
        <v>2022</v>
      </c>
      <c r="L116" t="s">
        <v>824</v>
      </c>
      <c r="M116" t="s">
        <v>825</v>
      </c>
      <c r="N116" t="s">
        <v>337</v>
      </c>
      <c r="P116" s="16"/>
    </row>
    <row r="117" spans="1:17" x14ac:dyDescent="0.2">
      <c r="A117">
        <f t="shared" si="1"/>
        <v>116</v>
      </c>
      <c r="B117" s="7"/>
      <c r="C117" s="7"/>
      <c r="D117" s="7"/>
      <c r="E117" s="7"/>
      <c r="H117" t="s">
        <v>646</v>
      </c>
      <c r="I117" t="s">
        <v>647</v>
      </c>
      <c r="J117" t="s">
        <v>826</v>
      </c>
      <c r="K117">
        <v>2022</v>
      </c>
      <c r="L117" t="s">
        <v>827</v>
      </c>
      <c r="M117" t="s">
        <v>828</v>
      </c>
      <c r="N117" t="s">
        <v>337</v>
      </c>
      <c r="P117" s="16"/>
    </row>
    <row r="118" spans="1:17" x14ac:dyDescent="0.2">
      <c r="A118">
        <f t="shared" si="1"/>
        <v>117</v>
      </c>
      <c r="B118" s="7"/>
      <c r="C118" s="7"/>
      <c r="D118" s="7"/>
      <c r="E118" s="7"/>
      <c r="H118" t="s">
        <v>648</v>
      </c>
      <c r="I118" t="s">
        <v>649</v>
      </c>
      <c r="J118" t="s">
        <v>12</v>
      </c>
      <c r="K118">
        <v>2022</v>
      </c>
      <c r="L118" t="s">
        <v>829</v>
      </c>
      <c r="M118" t="s">
        <v>830</v>
      </c>
      <c r="N118" t="s">
        <v>337</v>
      </c>
    </row>
    <row r="119" spans="1:17" x14ac:dyDescent="0.2">
      <c r="A119">
        <f t="shared" si="1"/>
        <v>118</v>
      </c>
      <c r="B119" s="7"/>
      <c r="C119" s="7"/>
      <c r="D119" s="7"/>
      <c r="E119" s="7"/>
      <c r="H119" t="s">
        <v>650</v>
      </c>
      <c r="I119" t="s">
        <v>651</v>
      </c>
      <c r="J119" t="s">
        <v>8</v>
      </c>
      <c r="K119">
        <v>2022</v>
      </c>
      <c r="L119" t="s">
        <v>831</v>
      </c>
      <c r="M119" t="s">
        <v>832</v>
      </c>
      <c r="N119" t="s">
        <v>337</v>
      </c>
    </row>
    <row r="120" spans="1:17" x14ac:dyDescent="0.2">
      <c r="A120">
        <f t="shared" si="1"/>
        <v>119</v>
      </c>
      <c r="H120" t="s">
        <v>652</v>
      </c>
      <c r="I120" t="s">
        <v>653</v>
      </c>
      <c r="J120" t="s">
        <v>411</v>
      </c>
      <c r="K120">
        <v>2022</v>
      </c>
      <c r="L120" t="s">
        <v>833</v>
      </c>
      <c r="M120" t="s">
        <v>834</v>
      </c>
      <c r="N120" t="s">
        <v>337</v>
      </c>
    </row>
    <row r="121" spans="1:17" x14ac:dyDescent="0.2">
      <c r="A121">
        <f t="shared" si="1"/>
        <v>120</v>
      </c>
      <c r="B121" s="7"/>
      <c r="C121" s="7"/>
      <c r="D121" s="7"/>
      <c r="E121" s="7"/>
      <c r="H121" t="s">
        <v>654</v>
      </c>
      <c r="I121" t="s">
        <v>655</v>
      </c>
      <c r="J121" t="s">
        <v>281</v>
      </c>
      <c r="K121">
        <v>2022</v>
      </c>
      <c r="L121" t="s">
        <v>835</v>
      </c>
      <c r="M121" t="s">
        <v>836</v>
      </c>
      <c r="N121" t="s">
        <v>337</v>
      </c>
      <c r="Q121" s="17"/>
    </row>
    <row r="122" spans="1:17" x14ac:dyDescent="0.2">
      <c r="A122">
        <f t="shared" si="1"/>
        <v>121</v>
      </c>
      <c r="B122" s="7"/>
      <c r="C122" s="7"/>
      <c r="D122" s="7"/>
      <c r="E122" s="7"/>
      <c r="H122" t="s">
        <v>656</v>
      </c>
      <c r="I122" t="s">
        <v>657</v>
      </c>
      <c r="J122" t="s">
        <v>290</v>
      </c>
      <c r="K122">
        <v>2022</v>
      </c>
      <c r="L122" t="s">
        <v>837</v>
      </c>
      <c r="M122" t="s">
        <v>838</v>
      </c>
      <c r="N122" t="s">
        <v>337</v>
      </c>
    </row>
    <row r="123" spans="1:17" x14ac:dyDescent="0.2">
      <c r="A123">
        <f t="shared" si="1"/>
        <v>122</v>
      </c>
      <c r="B123" s="7"/>
      <c r="C123" s="7"/>
      <c r="D123" s="7"/>
      <c r="E123" s="7"/>
      <c r="H123" t="s">
        <v>658</v>
      </c>
      <c r="I123" t="s">
        <v>659</v>
      </c>
      <c r="J123" t="s">
        <v>413</v>
      </c>
      <c r="K123">
        <v>2022</v>
      </c>
      <c r="L123" t="s">
        <v>839</v>
      </c>
      <c r="M123" t="s">
        <v>840</v>
      </c>
      <c r="N123" t="s">
        <v>337</v>
      </c>
    </row>
    <row r="124" spans="1:17" x14ac:dyDescent="0.2">
      <c r="A124">
        <f t="shared" si="1"/>
        <v>123</v>
      </c>
      <c r="B124" s="7"/>
      <c r="C124" s="7"/>
      <c r="D124" s="7"/>
      <c r="E124" s="7"/>
      <c r="H124" t="s">
        <v>660</v>
      </c>
      <c r="I124" t="s">
        <v>661</v>
      </c>
      <c r="J124" t="s">
        <v>687</v>
      </c>
      <c r="K124">
        <v>2022</v>
      </c>
      <c r="L124" t="s">
        <v>841</v>
      </c>
      <c r="M124" t="s">
        <v>842</v>
      </c>
      <c r="N124" t="s">
        <v>337</v>
      </c>
    </row>
    <row r="125" spans="1:17" x14ac:dyDescent="0.2">
      <c r="A125">
        <f t="shared" si="1"/>
        <v>124</v>
      </c>
      <c r="G125" t="s">
        <v>847</v>
      </c>
      <c r="H125" t="s">
        <v>662</v>
      </c>
      <c r="I125" t="s">
        <v>663</v>
      </c>
      <c r="J125" t="s">
        <v>281</v>
      </c>
      <c r="K125">
        <v>2022</v>
      </c>
      <c r="L125" t="s">
        <v>843</v>
      </c>
      <c r="M125" t="s">
        <v>844</v>
      </c>
      <c r="N125" t="s">
        <v>337</v>
      </c>
    </row>
    <row r="126" spans="1:17" x14ac:dyDescent="0.2">
      <c r="A126">
        <f t="shared" si="1"/>
        <v>125</v>
      </c>
      <c r="G126" t="s">
        <v>847</v>
      </c>
      <c r="H126" t="s">
        <v>664</v>
      </c>
      <c r="I126" t="s">
        <v>665</v>
      </c>
      <c r="J126" t="s">
        <v>281</v>
      </c>
      <c r="K126">
        <v>2022</v>
      </c>
      <c r="L126" t="s">
        <v>845</v>
      </c>
      <c r="M126" t="s">
        <v>846</v>
      </c>
      <c r="N126" t="s">
        <v>337</v>
      </c>
    </row>
    <row r="127" spans="1:17" x14ac:dyDescent="0.2">
      <c r="A127">
        <f t="shared" si="1"/>
        <v>126</v>
      </c>
      <c r="H127" t="s">
        <v>402</v>
      </c>
      <c r="I127" t="s">
        <v>298</v>
      </c>
      <c r="J127" t="s">
        <v>392</v>
      </c>
      <c r="K127">
        <v>2022</v>
      </c>
      <c r="L127" t="s">
        <v>300</v>
      </c>
      <c r="M127" t="s">
        <v>302</v>
      </c>
      <c r="N127" t="s">
        <v>303</v>
      </c>
    </row>
    <row r="128" spans="1:17" x14ac:dyDescent="0.2">
      <c r="A128">
        <f t="shared" si="1"/>
        <v>127</v>
      </c>
      <c r="B128" s="7"/>
      <c r="C128" s="7"/>
      <c r="D128" s="7"/>
      <c r="E128" s="7"/>
      <c r="H128" t="s">
        <v>400</v>
      </c>
      <c r="I128" t="s">
        <v>666</v>
      </c>
      <c r="J128" t="s">
        <v>19</v>
      </c>
      <c r="K128">
        <v>2023</v>
      </c>
      <c r="L128" t="s">
        <v>295</v>
      </c>
      <c r="M128" t="s">
        <v>401</v>
      </c>
      <c r="N128" t="s">
        <v>377</v>
      </c>
    </row>
  </sheetData>
  <autoFilter ref="A1:N139" xr:uid="{1CCC84C4-D214-284B-90BC-6A2481F38F31}">
    <sortState xmlns:xlrd2="http://schemas.microsoft.com/office/spreadsheetml/2017/richdata2" ref="A2:N128">
      <sortCondition ref="K1:K139"/>
    </sortState>
  </autoFilter>
  <sortState xmlns:xlrd2="http://schemas.microsoft.com/office/spreadsheetml/2017/richdata2" ref="A2:N123">
    <sortCondition ref="K2:K123"/>
  </sortState>
  <conditionalFormatting sqref="G90:G121 G123:G128 G7:G11 G2:G5 G35:G59 G61:G88 G14:G33">
    <cfRule type="containsText" dxfId="46" priority="46" stopIfTrue="1" operator="containsText" text="NetworkProblem">
      <formula>NOT(ISERROR(SEARCH("NetworkProblem",G2)))</formula>
    </cfRule>
    <cfRule type="containsText" dxfId="45" priority="47" stopIfTrue="1" operator="containsText" text="MultiProblem">
      <formula>NOT(ISERROR(SEARCH("MultiProblem",G2)))</formula>
    </cfRule>
    <cfRule type="containsText" dxfId="44" priority="48" stopIfTrue="1" operator="containsText" text="SingleProblem">
      <formula>NOT(ISERROR(SEARCH("SingleProblem",G2)))</formula>
    </cfRule>
    <cfRule type="containsText" dxfId="43" priority="50" stopIfTrue="1" operator="containsText" text="Stand-by">
      <formula>NOT(ISERROR(SEARCH("Stand-by",G2)))</formula>
    </cfRule>
    <cfRule type="notContainsText" dxfId="42" priority="52" operator="notContains" text="OK">
      <formula>ISERROR(SEARCH("OK",G2))</formula>
    </cfRule>
  </conditionalFormatting>
  <conditionalFormatting sqref="G6">
    <cfRule type="containsText" dxfId="41" priority="36" stopIfTrue="1" operator="containsText" text="NetworkProblem">
      <formula>NOT(ISERROR(SEARCH("NetworkProblem",G6)))</formula>
    </cfRule>
    <cfRule type="containsText" dxfId="40" priority="37" stopIfTrue="1" operator="containsText" text="MultiProblem">
      <formula>NOT(ISERROR(SEARCH("MultiProblem",G6)))</formula>
    </cfRule>
    <cfRule type="containsText" dxfId="39" priority="38" stopIfTrue="1" operator="containsText" text="SingleProblem">
      <formula>NOT(ISERROR(SEARCH("SingleProblem",G6)))</formula>
    </cfRule>
    <cfRule type="containsText" dxfId="38" priority="39" stopIfTrue="1" operator="containsText" text="Stand-by">
      <formula>NOT(ISERROR(SEARCH("Stand-by",G6)))</formula>
    </cfRule>
    <cfRule type="notContainsText" dxfId="37" priority="40" operator="notContains" text="OK">
      <formula>ISERROR(SEARCH("OK",G6))</formula>
    </cfRule>
  </conditionalFormatting>
  <conditionalFormatting sqref="G12">
    <cfRule type="containsText" dxfId="36" priority="31" stopIfTrue="1" operator="containsText" text="NetworkProblem">
      <formula>NOT(ISERROR(SEARCH("NetworkProblem",G12)))</formula>
    </cfRule>
    <cfRule type="containsText" dxfId="35" priority="32" stopIfTrue="1" operator="containsText" text="MultiProblem">
      <formula>NOT(ISERROR(SEARCH("MultiProblem",G12)))</formula>
    </cfRule>
    <cfRule type="containsText" dxfId="34" priority="33" stopIfTrue="1" operator="containsText" text="SingleProblem">
      <formula>NOT(ISERROR(SEARCH("SingleProblem",G12)))</formula>
    </cfRule>
    <cfRule type="containsText" dxfId="33" priority="34" stopIfTrue="1" operator="containsText" text="Stand-by">
      <formula>NOT(ISERROR(SEARCH("Stand-by",G12)))</formula>
    </cfRule>
    <cfRule type="notContainsText" dxfId="32" priority="35" operator="notContains" text="OK">
      <formula>ISERROR(SEARCH("OK",G12))</formula>
    </cfRule>
  </conditionalFormatting>
  <conditionalFormatting sqref="G13">
    <cfRule type="containsText" dxfId="31" priority="26" stopIfTrue="1" operator="containsText" text="NetworkProblem">
      <formula>NOT(ISERROR(SEARCH("NetworkProblem",G13)))</formula>
    </cfRule>
    <cfRule type="containsText" dxfId="30" priority="27" stopIfTrue="1" operator="containsText" text="MultiProblem">
      <formula>NOT(ISERROR(SEARCH("MultiProblem",G13)))</formula>
    </cfRule>
    <cfRule type="containsText" dxfId="29" priority="28" stopIfTrue="1" operator="containsText" text="SingleProblem">
      <formula>NOT(ISERROR(SEARCH("SingleProblem",G13)))</formula>
    </cfRule>
    <cfRule type="containsText" dxfId="28" priority="29" stopIfTrue="1" operator="containsText" text="Stand-by">
      <formula>NOT(ISERROR(SEARCH("Stand-by",G13)))</formula>
    </cfRule>
    <cfRule type="notContainsText" dxfId="27" priority="30" operator="notContains" text="OK">
      <formula>ISERROR(SEARCH("OK",G13))</formula>
    </cfRule>
  </conditionalFormatting>
  <conditionalFormatting sqref="G34">
    <cfRule type="containsText" dxfId="26" priority="21" stopIfTrue="1" operator="containsText" text="NetworkProblem">
      <formula>NOT(ISERROR(SEARCH("NetworkProblem",G34)))</formula>
    </cfRule>
    <cfRule type="containsText" dxfId="25" priority="22" stopIfTrue="1" operator="containsText" text="MultiProblem">
      <formula>NOT(ISERROR(SEARCH("MultiProblem",G34)))</formula>
    </cfRule>
    <cfRule type="containsText" dxfId="24" priority="23" stopIfTrue="1" operator="containsText" text="SingleProblem">
      <formula>NOT(ISERROR(SEARCH("SingleProblem",G34)))</formula>
    </cfRule>
    <cfRule type="containsText" dxfId="23" priority="24" stopIfTrue="1" operator="containsText" text="Stand-by">
      <formula>NOT(ISERROR(SEARCH("Stand-by",G34)))</formula>
    </cfRule>
    <cfRule type="notContainsText" dxfId="22" priority="25" operator="notContains" text="OK">
      <formula>ISERROR(SEARCH("OK",G34))</formula>
    </cfRule>
  </conditionalFormatting>
  <conditionalFormatting sqref="G60">
    <cfRule type="containsText" dxfId="21" priority="16" stopIfTrue="1" operator="containsText" text="NetworkProblem">
      <formula>NOT(ISERROR(SEARCH("NetworkProblem",G60)))</formula>
    </cfRule>
    <cfRule type="containsText" dxfId="20" priority="17" stopIfTrue="1" operator="containsText" text="MultiProblem">
      <formula>NOT(ISERROR(SEARCH("MultiProblem",G60)))</formula>
    </cfRule>
    <cfRule type="containsText" dxfId="19" priority="18" stopIfTrue="1" operator="containsText" text="SingleProblem">
      <formula>NOT(ISERROR(SEARCH("SingleProblem",G60)))</formula>
    </cfRule>
    <cfRule type="containsText" dxfId="18" priority="19" stopIfTrue="1" operator="containsText" text="Stand-by">
      <formula>NOT(ISERROR(SEARCH("Stand-by",G60)))</formula>
    </cfRule>
    <cfRule type="notContainsText" dxfId="17" priority="20" operator="notContains" text="OK">
      <formula>ISERROR(SEARCH("OK",G60))</formula>
    </cfRule>
  </conditionalFormatting>
  <conditionalFormatting sqref="G89">
    <cfRule type="containsText" dxfId="16" priority="11" stopIfTrue="1" operator="containsText" text="NetworkProblem">
      <formula>NOT(ISERROR(SEARCH("NetworkProblem",G89)))</formula>
    </cfRule>
    <cfRule type="containsText" dxfId="15" priority="12" stopIfTrue="1" operator="containsText" text="MultiProblem">
      <formula>NOT(ISERROR(SEARCH("MultiProblem",G89)))</formula>
    </cfRule>
    <cfRule type="containsText" dxfId="14" priority="13" stopIfTrue="1" operator="containsText" text="SingleProblem">
      <formula>NOT(ISERROR(SEARCH("SingleProblem",G89)))</formula>
    </cfRule>
    <cfRule type="containsText" dxfId="13" priority="14" stopIfTrue="1" operator="containsText" text="Stand-by">
      <formula>NOT(ISERROR(SEARCH("Stand-by",G89)))</formula>
    </cfRule>
    <cfRule type="notContainsText" dxfId="12" priority="15" operator="notContains" text="OK">
      <formula>ISERROR(SEARCH("OK",G89))</formula>
    </cfRule>
  </conditionalFormatting>
  <conditionalFormatting sqref="G122">
    <cfRule type="containsText" dxfId="11" priority="6" stopIfTrue="1" operator="containsText" text="NetworkProblem">
      <formula>NOT(ISERROR(SEARCH("NetworkProblem",G122)))</formula>
    </cfRule>
    <cfRule type="containsText" dxfId="10" priority="7" stopIfTrue="1" operator="containsText" text="MultiProblem">
      <formula>NOT(ISERROR(SEARCH("MultiProblem",G122)))</formula>
    </cfRule>
    <cfRule type="containsText" dxfId="9" priority="8" stopIfTrue="1" operator="containsText" text="SingleProblem">
      <formula>NOT(ISERROR(SEARCH("SingleProblem",G122)))</formula>
    </cfRule>
    <cfRule type="containsText" dxfId="8" priority="9" stopIfTrue="1" operator="containsText" text="Stand-by">
      <formula>NOT(ISERROR(SEARCH("Stand-by",G122)))</formula>
    </cfRule>
    <cfRule type="notContainsText" dxfId="7" priority="10" operator="notContains" text="OK">
      <formula>ISERROR(SEARCH("OK",G122))</formula>
    </cfRule>
  </conditionalFormatting>
  <conditionalFormatting sqref="H2:H128">
    <cfRule type="containsText" dxfId="6" priority="4" stopIfTrue="1" operator="containsText" text="survey">
      <formula>NOT(ISERROR(SEARCH("survey",H2)))</formula>
    </cfRule>
    <cfRule type="containsText" dxfId="5" priority="5" operator="containsText" text="review">
      <formula>NOT(ISERROR(SEARCH("review",H2)))</formula>
    </cfRule>
  </conditionalFormatting>
  <conditionalFormatting sqref="C2:C128">
    <cfRule type="containsText" dxfId="4" priority="1" operator="containsText" text="Tri-level">
      <formula>NOT(ISERROR(SEARCH("Tri-level",C2)))</formula>
    </cfRule>
    <cfRule type="containsText" dxfId="3" priority="3" operator="containsText" text="Bi-level">
      <formula>NOT(ISERROR(SEARCH("Bi-level",C2)))</formula>
    </cfRule>
  </conditionalFormatting>
  <conditionalFormatting sqref="D2:D128">
    <cfRule type="containsText" dxfId="2" priority="2" operator="containsText" text="Yes">
      <formula>NOT(ISERROR(SEARCH("Yes",D2)))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U34"/>
  <sheetViews>
    <sheetView zoomScale="151" workbookViewId="0"/>
  </sheetViews>
  <sheetFormatPr baseColWidth="10" defaultRowHeight="16" customHeight="1" x14ac:dyDescent="0.15"/>
  <cols>
    <col min="1" max="1" width="1.6640625" style="32" customWidth="1"/>
    <col min="2" max="2" width="10.1640625" style="32" bestFit="1" customWidth="1"/>
    <col min="3" max="3" width="12.33203125" style="32" bestFit="1" customWidth="1"/>
    <col min="4" max="4" width="11" style="32" bestFit="1" customWidth="1"/>
    <col min="5" max="5" width="13.6640625" style="32" bestFit="1" customWidth="1"/>
    <col min="6" max="6" width="7.1640625" style="32" bestFit="1" customWidth="1"/>
    <col min="7" max="7" width="10.5" style="32" bestFit="1" customWidth="1"/>
    <col min="8" max="8" width="14.6640625" style="32" bestFit="1" customWidth="1"/>
    <col min="9" max="9" width="12.1640625" style="32" bestFit="1" customWidth="1"/>
    <col min="10" max="10" width="1.6640625" style="32" customWidth="1"/>
    <col min="11" max="11" width="13.1640625" style="32" bestFit="1" customWidth="1"/>
    <col min="12" max="12" width="15.6640625" style="32" bestFit="1" customWidth="1"/>
    <col min="13" max="13" width="19.83203125" style="32" bestFit="1" customWidth="1"/>
    <col min="14" max="14" width="5" style="32" bestFit="1" customWidth="1"/>
    <col min="15" max="15" width="9.6640625" style="32" bestFit="1" customWidth="1"/>
    <col min="16" max="16" width="10.83203125" style="32" bestFit="1" customWidth="1"/>
    <col min="17" max="17" width="16.5" style="32" bestFit="1" customWidth="1"/>
    <col min="18" max="18" width="12.33203125" style="32" bestFit="1" customWidth="1"/>
    <col min="19" max="19" width="16.5" style="32" bestFit="1" customWidth="1"/>
    <col min="20" max="20" width="17.1640625" style="32" bestFit="1" customWidth="1"/>
    <col min="21" max="21" width="21.33203125" style="32" bestFit="1" customWidth="1"/>
    <col min="22" max="254" width="10.83203125" style="32"/>
    <col min="255" max="255" width="12.5" style="32" bestFit="1" customWidth="1"/>
    <col min="256" max="256" width="12.5" style="32" customWidth="1"/>
    <col min="257" max="257" width="14.6640625" style="32" bestFit="1" customWidth="1"/>
    <col min="258" max="258" width="12.5" style="32" bestFit="1" customWidth="1"/>
    <col min="259" max="259" width="1.83203125" style="32" customWidth="1"/>
    <col min="260" max="260" width="13" style="32" bestFit="1" customWidth="1"/>
    <col min="261" max="510" width="10.83203125" style="32"/>
    <col min="511" max="511" width="12.5" style="32" bestFit="1" customWidth="1"/>
    <col min="512" max="512" width="12.5" style="32" customWidth="1"/>
    <col min="513" max="513" width="14.6640625" style="32" bestFit="1" customWidth="1"/>
    <col min="514" max="514" width="12.5" style="32" bestFit="1" customWidth="1"/>
    <col min="515" max="515" width="1.83203125" style="32" customWidth="1"/>
    <col min="516" max="516" width="13" style="32" bestFit="1" customWidth="1"/>
    <col min="517" max="766" width="10.83203125" style="32"/>
    <col min="767" max="767" width="12.5" style="32" bestFit="1" customWidth="1"/>
    <col min="768" max="768" width="12.5" style="32" customWidth="1"/>
    <col min="769" max="769" width="14.6640625" style="32" bestFit="1" customWidth="1"/>
    <col min="770" max="770" width="12.5" style="32" bestFit="1" customWidth="1"/>
    <col min="771" max="771" width="1.83203125" style="32" customWidth="1"/>
    <col min="772" max="772" width="13" style="32" bestFit="1" customWidth="1"/>
    <col min="773" max="1022" width="10.83203125" style="32"/>
    <col min="1023" max="1023" width="12.5" style="32" bestFit="1" customWidth="1"/>
    <col min="1024" max="1024" width="12.5" style="32" customWidth="1"/>
    <col min="1025" max="1025" width="14.6640625" style="32" bestFit="1" customWidth="1"/>
    <col min="1026" max="1026" width="12.5" style="32" bestFit="1" customWidth="1"/>
    <col min="1027" max="1027" width="1.83203125" style="32" customWidth="1"/>
    <col min="1028" max="1028" width="13" style="32" bestFit="1" customWidth="1"/>
    <col min="1029" max="1278" width="10.83203125" style="32"/>
    <col min="1279" max="1279" width="12.5" style="32" bestFit="1" customWidth="1"/>
    <col min="1280" max="1280" width="12.5" style="32" customWidth="1"/>
    <col min="1281" max="1281" width="14.6640625" style="32" bestFit="1" customWidth="1"/>
    <col min="1282" max="1282" width="12.5" style="32" bestFit="1" customWidth="1"/>
    <col min="1283" max="1283" width="1.83203125" style="32" customWidth="1"/>
    <col min="1284" max="1284" width="13" style="32" bestFit="1" customWidth="1"/>
    <col min="1285" max="1534" width="10.83203125" style="32"/>
    <col min="1535" max="1535" width="12.5" style="32" bestFit="1" customWidth="1"/>
    <col min="1536" max="1536" width="12.5" style="32" customWidth="1"/>
    <col min="1537" max="1537" width="14.6640625" style="32" bestFit="1" customWidth="1"/>
    <col min="1538" max="1538" width="12.5" style="32" bestFit="1" customWidth="1"/>
    <col min="1539" max="1539" width="1.83203125" style="32" customWidth="1"/>
    <col min="1540" max="1540" width="13" style="32" bestFit="1" customWidth="1"/>
    <col min="1541" max="1790" width="10.83203125" style="32"/>
    <col min="1791" max="1791" width="12.5" style="32" bestFit="1" customWidth="1"/>
    <col min="1792" max="1792" width="12.5" style="32" customWidth="1"/>
    <col min="1793" max="1793" width="14.6640625" style="32" bestFit="1" customWidth="1"/>
    <col min="1794" max="1794" width="12.5" style="32" bestFit="1" customWidth="1"/>
    <col min="1795" max="1795" width="1.83203125" style="32" customWidth="1"/>
    <col min="1796" max="1796" width="13" style="32" bestFit="1" customWidth="1"/>
    <col min="1797" max="2046" width="10.83203125" style="32"/>
    <col min="2047" max="2047" width="12.5" style="32" bestFit="1" customWidth="1"/>
    <col min="2048" max="2048" width="12.5" style="32" customWidth="1"/>
    <col min="2049" max="2049" width="14.6640625" style="32" bestFit="1" customWidth="1"/>
    <col min="2050" max="2050" width="12.5" style="32" bestFit="1" customWidth="1"/>
    <col min="2051" max="2051" width="1.83203125" style="32" customWidth="1"/>
    <col min="2052" max="2052" width="13" style="32" bestFit="1" customWidth="1"/>
    <col min="2053" max="2302" width="10.83203125" style="32"/>
    <col min="2303" max="2303" width="12.5" style="32" bestFit="1" customWidth="1"/>
    <col min="2304" max="2304" width="12.5" style="32" customWidth="1"/>
    <col min="2305" max="2305" width="14.6640625" style="32" bestFit="1" customWidth="1"/>
    <col min="2306" max="2306" width="12.5" style="32" bestFit="1" customWidth="1"/>
    <col min="2307" max="2307" width="1.83203125" style="32" customWidth="1"/>
    <col min="2308" max="2308" width="13" style="32" bestFit="1" customWidth="1"/>
    <col min="2309" max="2558" width="10.83203125" style="32"/>
    <col min="2559" max="2559" width="12.5" style="32" bestFit="1" customWidth="1"/>
    <col min="2560" max="2560" width="12.5" style="32" customWidth="1"/>
    <col min="2561" max="2561" width="14.6640625" style="32" bestFit="1" customWidth="1"/>
    <col min="2562" max="2562" width="12.5" style="32" bestFit="1" customWidth="1"/>
    <col min="2563" max="2563" width="1.83203125" style="32" customWidth="1"/>
    <col min="2564" max="2564" width="13" style="32" bestFit="1" customWidth="1"/>
    <col min="2565" max="2814" width="10.83203125" style="32"/>
    <col min="2815" max="2815" width="12.5" style="32" bestFit="1" customWidth="1"/>
    <col min="2816" max="2816" width="12.5" style="32" customWidth="1"/>
    <col min="2817" max="2817" width="14.6640625" style="32" bestFit="1" customWidth="1"/>
    <col min="2818" max="2818" width="12.5" style="32" bestFit="1" customWidth="1"/>
    <col min="2819" max="2819" width="1.83203125" style="32" customWidth="1"/>
    <col min="2820" max="2820" width="13" style="32" bestFit="1" customWidth="1"/>
    <col min="2821" max="3070" width="10.83203125" style="32"/>
    <col min="3071" max="3071" width="12.5" style="32" bestFit="1" customWidth="1"/>
    <col min="3072" max="3072" width="12.5" style="32" customWidth="1"/>
    <col min="3073" max="3073" width="14.6640625" style="32" bestFit="1" customWidth="1"/>
    <col min="3074" max="3074" width="12.5" style="32" bestFit="1" customWidth="1"/>
    <col min="3075" max="3075" width="1.83203125" style="32" customWidth="1"/>
    <col min="3076" max="3076" width="13" style="32" bestFit="1" customWidth="1"/>
    <col min="3077" max="3326" width="10.83203125" style="32"/>
    <col min="3327" max="3327" width="12.5" style="32" bestFit="1" customWidth="1"/>
    <col min="3328" max="3328" width="12.5" style="32" customWidth="1"/>
    <col min="3329" max="3329" width="14.6640625" style="32" bestFit="1" customWidth="1"/>
    <col min="3330" max="3330" width="12.5" style="32" bestFit="1" customWidth="1"/>
    <col min="3331" max="3331" width="1.83203125" style="32" customWidth="1"/>
    <col min="3332" max="3332" width="13" style="32" bestFit="1" customWidth="1"/>
    <col min="3333" max="3582" width="10.83203125" style="32"/>
    <col min="3583" max="3583" width="12.5" style="32" bestFit="1" customWidth="1"/>
    <col min="3584" max="3584" width="12.5" style="32" customWidth="1"/>
    <col min="3585" max="3585" width="14.6640625" style="32" bestFit="1" customWidth="1"/>
    <col min="3586" max="3586" width="12.5" style="32" bestFit="1" customWidth="1"/>
    <col min="3587" max="3587" width="1.83203125" style="32" customWidth="1"/>
    <col min="3588" max="3588" width="13" style="32" bestFit="1" customWidth="1"/>
    <col min="3589" max="3838" width="10.83203125" style="32"/>
    <col min="3839" max="3839" width="12.5" style="32" bestFit="1" customWidth="1"/>
    <col min="3840" max="3840" width="12.5" style="32" customWidth="1"/>
    <col min="3841" max="3841" width="14.6640625" style="32" bestFit="1" customWidth="1"/>
    <col min="3842" max="3842" width="12.5" style="32" bestFit="1" customWidth="1"/>
    <col min="3843" max="3843" width="1.83203125" style="32" customWidth="1"/>
    <col min="3844" max="3844" width="13" style="32" bestFit="1" customWidth="1"/>
    <col min="3845" max="4094" width="10.83203125" style="32"/>
    <col min="4095" max="4095" width="12.5" style="32" bestFit="1" customWidth="1"/>
    <col min="4096" max="4096" width="12.5" style="32" customWidth="1"/>
    <col min="4097" max="4097" width="14.6640625" style="32" bestFit="1" customWidth="1"/>
    <col min="4098" max="4098" width="12.5" style="32" bestFit="1" customWidth="1"/>
    <col min="4099" max="4099" width="1.83203125" style="32" customWidth="1"/>
    <col min="4100" max="4100" width="13" style="32" bestFit="1" customWidth="1"/>
    <col min="4101" max="4350" width="10.83203125" style="32"/>
    <col min="4351" max="4351" width="12.5" style="32" bestFit="1" customWidth="1"/>
    <col min="4352" max="4352" width="12.5" style="32" customWidth="1"/>
    <col min="4353" max="4353" width="14.6640625" style="32" bestFit="1" customWidth="1"/>
    <col min="4354" max="4354" width="12.5" style="32" bestFit="1" customWidth="1"/>
    <col min="4355" max="4355" width="1.83203125" style="32" customWidth="1"/>
    <col min="4356" max="4356" width="13" style="32" bestFit="1" customWidth="1"/>
    <col min="4357" max="4606" width="10.83203125" style="32"/>
    <col min="4607" max="4607" width="12.5" style="32" bestFit="1" customWidth="1"/>
    <col min="4608" max="4608" width="12.5" style="32" customWidth="1"/>
    <col min="4609" max="4609" width="14.6640625" style="32" bestFit="1" customWidth="1"/>
    <col min="4610" max="4610" width="12.5" style="32" bestFit="1" customWidth="1"/>
    <col min="4611" max="4611" width="1.83203125" style="32" customWidth="1"/>
    <col min="4612" max="4612" width="13" style="32" bestFit="1" customWidth="1"/>
    <col min="4613" max="4862" width="10.83203125" style="32"/>
    <col min="4863" max="4863" width="12.5" style="32" bestFit="1" customWidth="1"/>
    <col min="4864" max="4864" width="12.5" style="32" customWidth="1"/>
    <col min="4865" max="4865" width="14.6640625" style="32" bestFit="1" customWidth="1"/>
    <col min="4866" max="4866" width="12.5" style="32" bestFit="1" customWidth="1"/>
    <col min="4867" max="4867" width="1.83203125" style="32" customWidth="1"/>
    <col min="4868" max="4868" width="13" style="32" bestFit="1" customWidth="1"/>
    <col min="4869" max="5118" width="10.83203125" style="32"/>
    <col min="5119" max="5119" width="12.5" style="32" bestFit="1" customWidth="1"/>
    <col min="5120" max="5120" width="12.5" style="32" customWidth="1"/>
    <col min="5121" max="5121" width="14.6640625" style="32" bestFit="1" customWidth="1"/>
    <col min="5122" max="5122" width="12.5" style="32" bestFit="1" customWidth="1"/>
    <col min="5123" max="5123" width="1.83203125" style="32" customWidth="1"/>
    <col min="5124" max="5124" width="13" style="32" bestFit="1" customWidth="1"/>
    <col min="5125" max="5374" width="10.83203125" style="32"/>
    <col min="5375" max="5375" width="12.5" style="32" bestFit="1" customWidth="1"/>
    <col min="5376" max="5376" width="12.5" style="32" customWidth="1"/>
    <col min="5377" max="5377" width="14.6640625" style="32" bestFit="1" customWidth="1"/>
    <col min="5378" max="5378" width="12.5" style="32" bestFit="1" customWidth="1"/>
    <col min="5379" max="5379" width="1.83203125" style="32" customWidth="1"/>
    <col min="5380" max="5380" width="13" style="32" bestFit="1" customWidth="1"/>
    <col min="5381" max="5630" width="10.83203125" style="32"/>
    <col min="5631" max="5631" width="12.5" style="32" bestFit="1" customWidth="1"/>
    <col min="5632" max="5632" width="12.5" style="32" customWidth="1"/>
    <col min="5633" max="5633" width="14.6640625" style="32" bestFit="1" customWidth="1"/>
    <col min="5634" max="5634" width="12.5" style="32" bestFit="1" customWidth="1"/>
    <col min="5635" max="5635" width="1.83203125" style="32" customWidth="1"/>
    <col min="5636" max="5636" width="13" style="32" bestFit="1" customWidth="1"/>
    <col min="5637" max="5886" width="10.83203125" style="32"/>
    <col min="5887" max="5887" width="12.5" style="32" bestFit="1" customWidth="1"/>
    <col min="5888" max="5888" width="12.5" style="32" customWidth="1"/>
    <col min="5889" max="5889" width="14.6640625" style="32" bestFit="1" customWidth="1"/>
    <col min="5890" max="5890" width="12.5" style="32" bestFit="1" customWidth="1"/>
    <col min="5891" max="5891" width="1.83203125" style="32" customWidth="1"/>
    <col min="5892" max="5892" width="13" style="32" bestFit="1" customWidth="1"/>
    <col min="5893" max="6142" width="10.83203125" style="32"/>
    <col min="6143" max="6143" width="12.5" style="32" bestFit="1" customWidth="1"/>
    <col min="6144" max="6144" width="12.5" style="32" customWidth="1"/>
    <col min="6145" max="6145" width="14.6640625" style="32" bestFit="1" customWidth="1"/>
    <col min="6146" max="6146" width="12.5" style="32" bestFit="1" customWidth="1"/>
    <col min="6147" max="6147" width="1.83203125" style="32" customWidth="1"/>
    <col min="6148" max="6148" width="13" style="32" bestFit="1" customWidth="1"/>
    <col min="6149" max="6398" width="10.83203125" style="32"/>
    <col min="6399" max="6399" width="12.5" style="32" bestFit="1" customWidth="1"/>
    <col min="6400" max="6400" width="12.5" style="32" customWidth="1"/>
    <col min="6401" max="6401" width="14.6640625" style="32" bestFit="1" customWidth="1"/>
    <col min="6402" max="6402" width="12.5" style="32" bestFit="1" customWidth="1"/>
    <col min="6403" max="6403" width="1.83203125" style="32" customWidth="1"/>
    <col min="6404" max="6404" width="13" style="32" bestFit="1" customWidth="1"/>
    <col min="6405" max="6654" width="10.83203125" style="32"/>
    <col min="6655" max="6655" width="12.5" style="32" bestFit="1" customWidth="1"/>
    <col min="6656" max="6656" width="12.5" style="32" customWidth="1"/>
    <col min="6657" max="6657" width="14.6640625" style="32" bestFit="1" customWidth="1"/>
    <col min="6658" max="6658" width="12.5" style="32" bestFit="1" customWidth="1"/>
    <col min="6659" max="6659" width="1.83203125" style="32" customWidth="1"/>
    <col min="6660" max="6660" width="13" style="32" bestFit="1" customWidth="1"/>
    <col min="6661" max="6910" width="10.83203125" style="32"/>
    <col min="6911" max="6911" width="12.5" style="32" bestFit="1" customWidth="1"/>
    <col min="6912" max="6912" width="12.5" style="32" customWidth="1"/>
    <col min="6913" max="6913" width="14.6640625" style="32" bestFit="1" customWidth="1"/>
    <col min="6914" max="6914" width="12.5" style="32" bestFit="1" customWidth="1"/>
    <col min="6915" max="6915" width="1.83203125" style="32" customWidth="1"/>
    <col min="6916" max="6916" width="13" style="32" bestFit="1" customWidth="1"/>
    <col min="6917" max="7166" width="10.83203125" style="32"/>
    <col min="7167" max="7167" width="12.5" style="32" bestFit="1" customWidth="1"/>
    <col min="7168" max="7168" width="12.5" style="32" customWidth="1"/>
    <col min="7169" max="7169" width="14.6640625" style="32" bestFit="1" customWidth="1"/>
    <col min="7170" max="7170" width="12.5" style="32" bestFit="1" customWidth="1"/>
    <col min="7171" max="7171" width="1.83203125" style="32" customWidth="1"/>
    <col min="7172" max="7172" width="13" style="32" bestFit="1" customWidth="1"/>
    <col min="7173" max="7422" width="10.83203125" style="32"/>
    <col min="7423" max="7423" width="12.5" style="32" bestFit="1" customWidth="1"/>
    <col min="7424" max="7424" width="12.5" style="32" customWidth="1"/>
    <col min="7425" max="7425" width="14.6640625" style="32" bestFit="1" customWidth="1"/>
    <col min="7426" max="7426" width="12.5" style="32" bestFit="1" customWidth="1"/>
    <col min="7427" max="7427" width="1.83203125" style="32" customWidth="1"/>
    <col min="7428" max="7428" width="13" style="32" bestFit="1" customWidth="1"/>
    <col min="7429" max="7678" width="10.83203125" style="32"/>
    <col min="7679" max="7679" width="12.5" style="32" bestFit="1" customWidth="1"/>
    <col min="7680" max="7680" width="12.5" style="32" customWidth="1"/>
    <col min="7681" max="7681" width="14.6640625" style="32" bestFit="1" customWidth="1"/>
    <col min="7682" max="7682" width="12.5" style="32" bestFit="1" customWidth="1"/>
    <col min="7683" max="7683" width="1.83203125" style="32" customWidth="1"/>
    <col min="7684" max="7684" width="13" style="32" bestFit="1" customWidth="1"/>
    <col min="7685" max="7934" width="10.83203125" style="32"/>
    <col min="7935" max="7935" width="12.5" style="32" bestFit="1" customWidth="1"/>
    <col min="7936" max="7936" width="12.5" style="32" customWidth="1"/>
    <col min="7937" max="7937" width="14.6640625" style="32" bestFit="1" customWidth="1"/>
    <col min="7938" max="7938" width="12.5" style="32" bestFit="1" customWidth="1"/>
    <col min="7939" max="7939" width="1.83203125" style="32" customWidth="1"/>
    <col min="7940" max="7940" width="13" style="32" bestFit="1" customWidth="1"/>
    <col min="7941" max="8190" width="10.83203125" style="32"/>
    <col min="8191" max="8191" width="12.5" style="32" bestFit="1" customWidth="1"/>
    <col min="8192" max="8192" width="12.5" style="32" customWidth="1"/>
    <col min="8193" max="8193" width="14.6640625" style="32" bestFit="1" customWidth="1"/>
    <col min="8194" max="8194" width="12.5" style="32" bestFit="1" customWidth="1"/>
    <col min="8195" max="8195" width="1.83203125" style="32" customWidth="1"/>
    <col min="8196" max="8196" width="13" style="32" bestFit="1" customWidth="1"/>
    <col min="8197" max="8446" width="10.83203125" style="32"/>
    <col min="8447" max="8447" width="12.5" style="32" bestFit="1" customWidth="1"/>
    <col min="8448" max="8448" width="12.5" style="32" customWidth="1"/>
    <col min="8449" max="8449" width="14.6640625" style="32" bestFit="1" customWidth="1"/>
    <col min="8450" max="8450" width="12.5" style="32" bestFit="1" customWidth="1"/>
    <col min="8451" max="8451" width="1.83203125" style="32" customWidth="1"/>
    <col min="8452" max="8452" width="13" style="32" bestFit="1" customWidth="1"/>
    <col min="8453" max="8702" width="10.83203125" style="32"/>
    <col min="8703" max="8703" width="12.5" style="32" bestFit="1" customWidth="1"/>
    <col min="8704" max="8704" width="12.5" style="32" customWidth="1"/>
    <col min="8705" max="8705" width="14.6640625" style="32" bestFit="1" customWidth="1"/>
    <col min="8706" max="8706" width="12.5" style="32" bestFit="1" customWidth="1"/>
    <col min="8707" max="8707" width="1.83203125" style="32" customWidth="1"/>
    <col min="8708" max="8708" width="13" style="32" bestFit="1" customWidth="1"/>
    <col min="8709" max="8958" width="10.83203125" style="32"/>
    <col min="8959" max="8959" width="12.5" style="32" bestFit="1" customWidth="1"/>
    <col min="8960" max="8960" width="12.5" style="32" customWidth="1"/>
    <col min="8961" max="8961" width="14.6640625" style="32" bestFit="1" customWidth="1"/>
    <col min="8962" max="8962" width="12.5" style="32" bestFit="1" customWidth="1"/>
    <col min="8963" max="8963" width="1.83203125" style="32" customWidth="1"/>
    <col min="8964" max="8964" width="13" style="32" bestFit="1" customWidth="1"/>
    <col min="8965" max="9214" width="10.83203125" style="32"/>
    <col min="9215" max="9215" width="12.5" style="32" bestFit="1" customWidth="1"/>
    <col min="9216" max="9216" width="12.5" style="32" customWidth="1"/>
    <col min="9217" max="9217" width="14.6640625" style="32" bestFit="1" customWidth="1"/>
    <col min="9218" max="9218" width="12.5" style="32" bestFit="1" customWidth="1"/>
    <col min="9219" max="9219" width="1.83203125" style="32" customWidth="1"/>
    <col min="9220" max="9220" width="13" style="32" bestFit="1" customWidth="1"/>
    <col min="9221" max="9470" width="10.83203125" style="32"/>
    <col min="9471" max="9471" width="12.5" style="32" bestFit="1" customWidth="1"/>
    <col min="9472" max="9472" width="12.5" style="32" customWidth="1"/>
    <col min="9473" max="9473" width="14.6640625" style="32" bestFit="1" customWidth="1"/>
    <col min="9474" max="9474" width="12.5" style="32" bestFit="1" customWidth="1"/>
    <col min="9475" max="9475" width="1.83203125" style="32" customWidth="1"/>
    <col min="9476" max="9476" width="13" style="32" bestFit="1" customWidth="1"/>
    <col min="9477" max="9726" width="10.83203125" style="32"/>
    <col min="9727" max="9727" width="12.5" style="32" bestFit="1" customWidth="1"/>
    <col min="9728" max="9728" width="12.5" style="32" customWidth="1"/>
    <col min="9729" max="9729" width="14.6640625" style="32" bestFit="1" customWidth="1"/>
    <col min="9730" max="9730" width="12.5" style="32" bestFit="1" customWidth="1"/>
    <col min="9731" max="9731" width="1.83203125" style="32" customWidth="1"/>
    <col min="9732" max="9732" width="13" style="32" bestFit="1" customWidth="1"/>
    <col min="9733" max="9982" width="10.83203125" style="32"/>
    <col min="9983" max="9983" width="12.5" style="32" bestFit="1" customWidth="1"/>
    <col min="9984" max="9984" width="12.5" style="32" customWidth="1"/>
    <col min="9985" max="9985" width="14.6640625" style="32" bestFit="1" customWidth="1"/>
    <col min="9986" max="9986" width="12.5" style="32" bestFit="1" customWidth="1"/>
    <col min="9987" max="9987" width="1.83203125" style="32" customWidth="1"/>
    <col min="9988" max="9988" width="13" style="32" bestFit="1" customWidth="1"/>
    <col min="9989" max="10238" width="10.83203125" style="32"/>
    <col min="10239" max="10239" width="12.5" style="32" bestFit="1" customWidth="1"/>
    <col min="10240" max="10240" width="12.5" style="32" customWidth="1"/>
    <col min="10241" max="10241" width="14.6640625" style="32" bestFit="1" customWidth="1"/>
    <col min="10242" max="10242" width="12.5" style="32" bestFit="1" customWidth="1"/>
    <col min="10243" max="10243" width="1.83203125" style="32" customWidth="1"/>
    <col min="10244" max="10244" width="13" style="32" bestFit="1" customWidth="1"/>
    <col min="10245" max="10494" width="10.83203125" style="32"/>
    <col min="10495" max="10495" width="12.5" style="32" bestFit="1" customWidth="1"/>
    <col min="10496" max="10496" width="12.5" style="32" customWidth="1"/>
    <col min="10497" max="10497" width="14.6640625" style="32" bestFit="1" customWidth="1"/>
    <col min="10498" max="10498" width="12.5" style="32" bestFit="1" customWidth="1"/>
    <col min="10499" max="10499" width="1.83203125" style="32" customWidth="1"/>
    <col min="10500" max="10500" width="13" style="32" bestFit="1" customWidth="1"/>
    <col min="10501" max="10750" width="10.83203125" style="32"/>
    <col min="10751" max="10751" width="12.5" style="32" bestFit="1" customWidth="1"/>
    <col min="10752" max="10752" width="12.5" style="32" customWidth="1"/>
    <col min="10753" max="10753" width="14.6640625" style="32" bestFit="1" customWidth="1"/>
    <col min="10754" max="10754" width="12.5" style="32" bestFit="1" customWidth="1"/>
    <col min="10755" max="10755" width="1.83203125" style="32" customWidth="1"/>
    <col min="10756" max="10756" width="13" style="32" bestFit="1" customWidth="1"/>
    <col min="10757" max="11006" width="10.83203125" style="32"/>
    <col min="11007" max="11007" width="12.5" style="32" bestFit="1" customWidth="1"/>
    <col min="11008" max="11008" width="12.5" style="32" customWidth="1"/>
    <col min="11009" max="11009" width="14.6640625" style="32" bestFit="1" customWidth="1"/>
    <col min="11010" max="11010" width="12.5" style="32" bestFit="1" customWidth="1"/>
    <col min="11011" max="11011" width="1.83203125" style="32" customWidth="1"/>
    <col min="11012" max="11012" width="13" style="32" bestFit="1" customWidth="1"/>
    <col min="11013" max="11262" width="10.83203125" style="32"/>
    <col min="11263" max="11263" width="12.5" style="32" bestFit="1" customWidth="1"/>
    <col min="11264" max="11264" width="12.5" style="32" customWidth="1"/>
    <col min="11265" max="11265" width="14.6640625" style="32" bestFit="1" customWidth="1"/>
    <col min="11266" max="11266" width="12.5" style="32" bestFit="1" customWidth="1"/>
    <col min="11267" max="11267" width="1.83203125" style="32" customWidth="1"/>
    <col min="11268" max="11268" width="13" style="32" bestFit="1" customWidth="1"/>
    <col min="11269" max="11518" width="10.83203125" style="32"/>
    <col min="11519" max="11519" width="12.5" style="32" bestFit="1" customWidth="1"/>
    <col min="11520" max="11520" width="12.5" style="32" customWidth="1"/>
    <col min="11521" max="11521" width="14.6640625" style="32" bestFit="1" customWidth="1"/>
    <col min="11522" max="11522" width="12.5" style="32" bestFit="1" customWidth="1"/>
    <col min="11523" max="11523" width="1.83203125" style="32" customWidth="1"/>
    <col min="11524" max="11524" width="13" style="32" bestFit="1" customWidth="1"/>
    <col min="11525" max="11774" width="10.83203125" style="32"/>
    <col min="11775" max="11775" width="12.5" style="32" bestFit="1" customWidth="1"/>
    <col min="11776" max="11776" width="12.5" style="32" customWidth="1"/>
    <col min="11777" max="11777" width="14.6640625" style="32" bestFit="1" customWidth="1"/>
    <col min="11778" max="11778" width="12.5" style="32" bestFit="1" customWidth="1"/>
    <col min="11779" max="11779" width="1.83203125" style="32" customWidth="1"/>
    <col min="11780" max="11780" width="13" style="32" bestFit="1" customWidth="1"/>
    <col min="11781" max="12030" width="10.83203125" style="32"/>
    <col min="12031" max="12031" width="12.5" style="32" bestFit="1" customWidth="1"/>
    <col min="12032" max="12032" width="12.5" style="32" customWidth="1"/>
    <col min="12033" max="12033" width="14.6640625" style="32" bestFit="1" customWidth="1"/>
    <col min="12034" max="12034" width="12.5" style="32" bestFit="1" customWidth="1"/>
    <col min="12035" max="12035" width="1.83203125" style="32" customWidth="1"/>
    <col min="12036" max="12036" width="13" style="32" bestFit="1" customWidth="1"/>
    <col min="12037" max="12286" width="10.83203125" style="32"/>
    <col min="12287" max="12287" width="12.5" style="32" bestFit="1" customWidth="1"/>
    <col min="12288" max="12288" width="12.5" style="32" customWidth="1"/>
    <col min="12289" max="12289" width="14.6640625" style="32" bestFit="1" customWidth="1"/>
    <col min="12290" max="12290" width="12.5" style="32" bestFit="1" customWidth="1"/>
    <col min="12291" max="12291" width="1.83203125" style="32" customWidth="1"/>
    <col min="12292" max="12292" width="13" style="32" bestFit="1" customWidth="1"/>
    <col min="12293" max="12542" width="10.83203125" style="32"/>
    <col min="12543" max="12543" width="12.5" style="32" bestFit="1" customWidth="1"/>
    <col min="12544" max="12544" width="12.5" style="32" customWidth="1"/>
    <col min="12545" max="12545" width="14.6640625" style="32" bestFit="1" customWidth="1"/>
    <col min="12546" max="12546" width="12.5" style="32" bestFit="1" customWidth="1"/>
    <col min="12547" max="12547" width="1.83203125" style="32" customWidth="1"/>
    <col min="12548" max="12548" width="13" style="32" bestFit="1" customWidth="1"/>
    <col min="12549" max="12798" width="10.83203125" style="32"/>
    <col min="12799" max="12799" width="12.5" style="32" bestFit="1" customWidth="1"/>
    <col min="12800" max="12800" width="12.5" style="32" customWidth="1"/>
    <col min="12801" max="12801" width="14.6640625" style="32" bestFit="1" customWidth="1"/>
    <col min="12802" max="12802" width="12.5" style="32" bestFit="1" customWidth="1"/>
    <col min="12803" max="12803" width="1.83203125" style="32" customWidth="1"/>
    <col min="12804" max="12804" width="13" style="32" bestFit="1" customWidth="1"/>
    <col min="12805" max="13054" width="10.83203125" style="32"/>
    <col min="13055" max="13055" width="12.5" style="32" bestFit="1" customWidth="1"/>
    <col min="13056" max="13056" width="12.5" style="32" customWidth="1"/>
    <col min="13057" max="13057" width="14.6640625" style="32" bestFit="1" customWidth="1"/>
    <col min="13058" max="13058" width="12.5" style="32" bestFit="1" customWidth="1"/>
    <col min="13059" max="13059" width="1.83203125" style="32" customWidth="1"/>
    <col min="13060" max="13060" width="13" style="32" bestFit="1" customWidth="1"/>
    <col min="13061" max="13310" width="10.83203125" style="32"/>
    <col min="13311" max="13311" width="12.5" style="32" bestFit="1" customWidth="1"/>
    <col min="13312" max="13312" width="12.5" style="32" customWidth="1"/>
    <col min="13313" max="13313" width="14.6640625" style="32" bestFit="1" customWidth="1"/>
    <col min="13314" max="13314" width="12.5" style="32" bestFit="1" customWidth="1"/>
    <col min="13315" max="13315" width="1.83203125" style="32" customWidth="1"/>
    <col min="13316" max="13316" width="13" style="32" bestFit="1" customWidth="1"/>
    <col min="13317" max="13566" width="10.83203125" style="32"/>
    <col min="13567" max="13567" width="12.5" style="32" bestFit="1" customWidth="1"/>
    <col min="13568" max="13568" width="12.5" style="32" customWidth="1"/>
    <col min="13569" max="13569" width="14.6640625" style="32" bestFit="1" customWidth="1"/>
    <col min="13570" max="13570" width="12.5" style="32" bestFit="1" customWidth="1"/>
    <col min="13571" max="13571" width="1.83203125" style="32" customWidth="1"/>
    <col min="13572" max="13572" width="13" style="32" bestFit="1" customWidth="1"/>
    <col min="13573" max="13822" width="10.83203125" style="32"/>
    <col min="13823" max="13823" width="12.5" style="32" bestFit="1" customWidth="1"/>
    <col min="13824" max="13824" width="12.5" style="32" customWidth="1"/>
    <col min="13825" max="13825" width="14.6640625" style="32" bestFit="1" customWidth="1"/>
    <col min="13826" max="13826" width="12.5" style="32" bestFit="1" customWidth="1"/>
    <col min="13827" max="13827" width="1.83203125" style="32" customWidth="1"/>
    <col min="13828" max="13828" width="13" style="32" bestFit="1" customWidth="1"/>
    <col min="13829" max="14078" width="10.83203125" style="32"/>
    <col min="14079" max="14079" width="12.5" style="32" bestFit="1" customWidth="1"/>
    <col min="14080" max="14080" width="12.5" style="32" customWidth="1"/>
    <col min="14081" max="14081" width="14.6640625" style="32" bestFit="1" customWidth="1"/>
    <col min="14082" max="14082" width="12.5" style="32" bestFit="1" customWidth="1"/>
    <col min="14083" max="14083" width="1.83203125" style="32" customWidth="1"/>
    <col min="14084" max="14084" width="13" style="32" bestFit="1" customWidth="1"/>
    <col min="14085" max="14334" width="10.83203125" style="32"/>
    <col min="14335" max="14335" width="12.5" style="32" bestFit="1" customWidth="1"/>
    <col min="14336" max="14336" width="12.5" style="32" customWidth="1"/>
    <col min="14337" max="14337" width="14.6640625" style="32" bestFit="1" customWidth="1"/>
    <col min="14338" max="14338" width="12.5" style="32" bestFit="1" customWidth="1"/>
    <col min="14339" max="14339" width="1.83203125" style="32" customWidth="1"/>
    <col min="14340" max="14340" width="13" style="32" bestFit="1" customWidth="1"/>
    <col min="14341" max="14590" width="10.83203125" style="32"/>
    <col min="14591" max="14591" width="12.5" style="32" bestFit="1" customWidth="1"/>
    <col min="14592" max="14592" width="12.5" style="32" customWidth="1"/>
    <col min="14593" max="14593" width="14.6640625" style="32" bestFit="1" customWidth="1"/>
    <col min="14594" max="14594" width="12.5" style="32" bestFit="1" customWidth="1"/>
    <col min="14595" max="14595" width="1.83203125" style="32" customWidth="1"/>
    <col min="14596" max="14596" width="13" style="32" bestFit="1" customWidth="1"/>
    <col min="14597" max="14846" width="10.83203125" style="32"/>
    <col min="14847" max="14847" width="12.5" style="32" bestFit="1" customWidth="1"/>
    <col min="14848" max="14848" width="12.5" style="32" customWidth="1"/>
    <col min="14849" max="14849" width="14.6640625" style="32" bestFit="1" customWidth="1"/>
    <col min="14850" max="14850" width="12.5" style="32" bestFit="1" customWidth="1"/>
    <col min="14851" max="14851" width="1.83203125" style="32" customWidth="1"/>
    <col min="14852" max="14852" width="13" style="32" bestFit="1" customWidth="1"/>
    <col min="14853" max="15102" width="10.83203125" style="32"/>
    <col min="15103" max="15103" width="12.5" style="32" bestFit="1" customWidth="1"/>
    <col min="15104" max="15104" width="12.5" style="32" customWidth="1"/>
    <col min="15105" max="15105" width="14.6640625" style="32" bestFit="1" customWidth="1"/>
    <col min="15106" max="15106" width="12.5" style="32" bestFit="1" customWidth="1"/>
    <col min="15107" max="15107" width="1.83203125" style="32" customWidth="1"/>
    <col min="15108" max="15108" width="13" style="32" bestFit="1" customWidth="1"/>
    <col min="15109" max="15358" width="10.83203125" style="32"/>
    <col min="15359" max="15359" width="12.5" style="32" bestFit="1" customWidth="1"/>
    <col min="15360" max="15360" width="12.5" style="32" customWidth="1"/>
    <col min="15361" max="15361" width="14.6640625" style="32" bestFit="1" customWidth="1"/>
    <col min="15362" max="15362" width="12.5" style="32" bestFit="1" customWidth="1"/>
    <col min="15363" max="15363" width="1.83203125" style="32" customWidth="1"/>
    <col min="15364" max="15364" width="13" style="32" bestFit="1" customWidth="1"/>
    <col min="15365" max="15614" width="10.83203125" style="32"/>
    <col min="15615" max="15615" width="12.5" style="32" bestFit="1" customWidth="1"/>
    <col min="15616" max="15616" width="12.5" style="32" customWidth="1"/>
    <col min="15617" max="15617" width="14.6640625" style="32" bestFit="1" customWidth="1"/>
    <col min="15618" max="15618" width="12.5" style="32" bestFit="1" customWidth="1"/>
    <col min="15619" max="15619" width="1.83203125" style="32" customWidth="1"/>
    <col min="15620" max="15620" width="13" style="32" bestFit="1" customWidth="1"/>
    <col min="15621" max="15870" width="10.83203125" style="32"/>
    <col min="15871" max="15871" width="12.5" style="32" bestFit="1" customWidth="1"/>
    <col min="15872" max="15872" width="12.5" style="32" customWidth="1"/>
    <col min="15873" max="15873" width="14.6640625" style="32" bestFit="1" customWidth="1"/>
    <col min="15874" max="15874" width="12.5" style="32" bestFit="1" customWidth="1"/>
    <col min="15875" max="15875" width="1.83203125" style="32" customWidth="1"/>
    <col min="15876" max="15876" width="13" style="32" bestFit="1" customWidth="1"/>
    <col min="15877" max="16126" width="10.83203125" style="32"/>
    <col min="16127" max="16127" width="12.5" style="32" bestFit="1" customWidth="1"/>
    <col min="16128" max="16128" width="12.5" style="32" customWidth="1"/>
    <col min="16129" max="16129" width="14.6640625" style="32" bestFit="1" customWidth="1"/>
    <col min="16130" max="16130" width="12.5" style="32" bestFit="1" customWidth="1"/>
    <col min="16131" max="16131" width="1.83203125" style="32" customWidth="1"/>
    <col min="16132" max="16132" width="13" style="32" bestFit="1" customWidth="1"/>
    <col min="16133" max="16384" width="10.83203125" style="32"/>
  </cols>
  <sheetData>
    <row r="1" spans="2:21" ht="16" customHeight="1" x14ac:dyDescent="0.15">
      <c r="C1" s="34" t="s">
        <v>243</v>
      </c>
      <c r="D1" s="35"/>
      <c r="E1" s="36"/>
      <c r="K1" s="38" t="s">
        <v>934</v>
      </c>
      <c r="L1" s="38"/>
      <c r="M1" s="38"/>
      <c r="N1" s="38"/>
    </row>
    <row r="2" spans="2:21" ht="16" customHeight="1" x14ac:dyDescent="0.15">
      <c r="C2" s="37" t="s">
        <v>332</v>
      </c>
      <c r="D2" s="37" t="s">
        <v>333</v>
      </c>
      <c r="E2" s="37" t="s">
        <v>330</v>
      </c>
      <c r="F2" s="37" t="s">
        <v>244</v>
      </c>
      <c r="G2" s="37" t="s">
        <v>245</v>
      </c>
      <c r="H2" s="37" t="s">
        <v>246</v>
      </c>
      <c r="I2" s="37" t="s">
        <v>247</v>
      </c>
      <c r="K2" s="37" t="s">
        <v>6</v>
      </c>
      <c r="L2" s="43" t="s">
        <v>932</v>
      </c>
      <c r="M2" s="43" t="s">
        <v>933</v>
      </c>
      <c r="N2" s="37" t="s">
        <v>250</v>
      </c>
    </row>
    <row r="3" spans="2:21" ht="16" customHeight="1" x14ac:dyDescent="0.15">
      <c r="B3" s="37" t="s">
        <v>248</v>
      </c>
      <c r="C3" s="37">
        <f>COUNTIF(ReadingList!$G$2:$G$123,C2)</f>
        <v>0</v>
      </c>
      <c r="D3" s="37">
        <f>COUNTIF(ReadingList!$G$2:$G$123,D2)</f>
        <v>1</v>
      </c>
      <c r="E3" s="37">
        <f>COUNTIF(ReadingList!$G$2:$G$123,E2)</f>
        <v>1</v>
      </c>
      <c r="F3" s="37">
        <f>COUNTIF(ReadingList!G1:G123,"Abstract")</f>
        <v>0</v>
      </c>
      <c r="G3" s="37">
        <f>COUNTIF(ReadingList!G1:G123,"Stand-by")</f>
        <v>6</v>
      </c>
      <c r="H3" s="37">
        <f>COUNTIF(ReadingList!G1:G123,"Literature review")</f>
        <v>8</v>
      </c>
      <c r="I3" s="37">
        <f>COUNTIF(ReadingList!G1:G123,"No access")</f>
        <v>0</v>
      </c>
      <c r="K3" s="44" t="s">
        <v>889</v>
      </c>
      <c r="L3" s="43">
        <f>COUNTIFS(ReadingList!$D$2:$D$128,"No",ReadingList!$N$2:$N$128,"GoogleScholar")</f>
        <v>13</v>
      </c>
      <c r="M3" s="43">
        <f>COUNTIFS(ReadingList!$C$2:$C$128,"No",ReadingList!$N$2:$N$128,"GoogleScholar")</f>
        <v>21</v>
      </c>
      <c r="N3" s="37">
        <f>COUNTIFS(ReadingList!$C$2:$C$128,"No",ReadingList!$D$2:$D$128,"No",ReadingList!$N$2:$N$128,"GoogleScholar")</f>
        <v>8</v>
      </c>
    </row>
    <row r="4" spans="2:21" ht="16" customHeight="1" x14ac:dyDescent="0.15">
      <c r="K4" s="44" t="s">
        <v>303</v>
      </c>
      <c r="L4" s="43">
        <f>COUNTIFS(ReadingList!$D$2:$D$128,"No",ReadingList!$N$2:$N$128,"WoS")</f>
        <v>2</v>
      </c>
      <c r="M4" s="43">
        <f>COUNTIFS(ReadingList!$C$2:$C$128,"No",ReadingList!$N$2:$N$128,"WoS")</f>
        <v>0</v>
      </c>
      <c r="N4" s="37">
        <f>COUNTIFS(ReadingList!$C$2:$C$128,"No",ReadingList!$D$2:$D$128,"No",ReadingList!$N$2:$N$128,"WoS")</f>
        <v>0</v>
      </c>
    </row>
    <row r="5" spans="2:21" ht="16" customHeight="1" x14ac:dyDescent="0.2">
      <c r="B5" s="37" t="s">
        <v>250</v>
      </c>
      <c r="C5" s="38" t="s">
        <v>249</v>
      </c>
      <c r="D5" s="38"/>
      <c r="E5" s="37" t="s">
        <v>251</v>
      </c>
      <c r="F5" s="37" t="s">
        <v>311</v>
      </c>
      <c r="G5" s="37" t="s">
        <v>329</v>
      </c>
      <c r="H5" s="37" t="s">
        <v>917</v>
      </c>
      <c r="I5" s="37" t="s">
        <v>915</v>
      </c>
      <c r="J5" s="39"/>
      <c r="K5" s="44" t="s">
        <v>377</v>
      </c>
      <c r="L5" s="43">
        <f>COUNTIFS(ReadingList!$D$2:$D$128,"No",ReadingList!$N$2:$N$128,"Scopus")</f>
        <v>2</v>
      </c>
      <c r="M5" s="43">
        <f>COUNTIFS(ReadingList!$C$2:$C$128,"No",ReadingList!$N$2:$N$128,"Scopus")</f>
        <v>0</v>
      </c>
      <c r="N5" s="37">
        <f>COUNTIFS(ReadingList!$C$2:$C$128,"No",ReadingList!$D$2:$D$128,"No",ReadingList!$N$2:$N$128,"Scopus")</f>
        <v>0</v>
      </c>
      <c r="O5" s="33"/>
      <c r="P5" s="33"/>
      <c r="Q5" s="33"/>
      <c r="R5" s="33"/>
      <c r="S5" s="33"/>
      <c r="T5" s="33"/>
      <c r="U5" s="33"/>
    </row>
    <row r="6" spans="2:21" ht="16" customHeight="1" x14ac:dyDescent="0.2">
      <c r="B6" s="37">
        <f>COUNT(ReadingList!A:A)</f>
        <v>127</v>
      </c>
      <c r="C6" s="37">
        <f>COUNTIF(ReadingList!G2:G123,C2) + COUNTIF(ReadingList!G2:G123,D2) + COUNTIF(ReadingList!G2:G123,E2) + COUNTIF(ReadingList!G1:G123,"Body")</f>
        <v>38</v>
      </c>
      <c r="D6" s="6">
        <f>C6/F6</f>
        <v>0.31932773109243695</v>
      </c>
      <c r="E6" s="6">
        <f>IFERROR(SUM(C3:E3)/F6, 0)</f>
        <v>1.680672268907563E-2</v>
      </c>
      <c r="F6" s="37">
        <f>B6-F3-H3-I3</f>
        <v>119</v>
      </c>
      <c r="G6" s="37">
        <f>E6*F6</f>
        <v>2</v>
      </c>
      <c r="H6" s="37">
        <v>5</v>
      </c>
      <c r="I6" s="40">
        <f ca="1">OFFSET(B9,ROUNDUP(F6/AVERAGEIF(D9:D33,"&gt;0"),0)-1,0)</f>
        <v>44929</v>
      </c>
      <c r="J6" s="39"/>
      <c r="K6" s="44" t="s">
        <v>7</v>
      </c>
      <c r="L6" s="43">
        <f>COUNTIFS(ReadingList!$D$2:$D$128,"No",ReadingList!$N$2:$N$128,"Compendex")</f>
        <v>2</v>
      </c>
      <c r="M6" s="43">
        <f>COUNTIFS(ReadingList!$C$2:$C$128,"No",ReadingList!$N$2:$N$128,"Compendex")</f>
        <v>1</v>
      </c>
      <c r="N6" s="37">
        <f>COUNTIFS(ReadingList!$C$2:$C$128,"No",ReadingList!$D$2:$D$128,"No",ReadingList!$N$2:$N$128,"Compendex")</f>
        <v>0</v>
      </c>
      <c r="O6" s="33"/>
      <c r="P6" s="33"/>
      <c r="Q6" s="33"/>
      <c r="R6" s="33"/>
      <c r="S6" s="33"/>
      <c r="T6" s="33"/>
      <c r="U6" s="33"/>
    </row>
    <row r="7" spans="2:21" ht="16" customHeight="1" x14ac:dyDescent="0.2">
      <c r="K7" s="44" t="s">
        <v>9</v>
      </c>
      <c r="L7" s="43">
        <f>COUNTIFS(ReadingList!$D$2:$D$128,"No",ReadingList!$N$2:$N$128,"Inspec")</f>
        <v>0</v>
      </c>
      <c r="M7" s="43">
        <f>COUNTIFS(ReadingList!$C$2:$C$128,"No",ReadingList!$N$2:$N$128,"Inspec")</f>
        <v>0</v>
      </c>
      <c r="N7" s="37">
        <f>COUNTIFS(ReadingList!$C$2:$C$128,"No",ReadingList!$D$2:$D$128,"No",ReadingList!$N$2:$N$128,"Inspec")</f>
        <v>0</v>
      </c>
      <c r="O7" s="33"/>
      <c r="P7" s="33"/>
      <c r="Q7" s="33"/>
      <c r="R7" s="33"/>
      <c r="S7" s="33"/>
      <c r="T7" s="33"/>
      <c r="U7" s="33"/>
    </row>
    <row r="8" spans="2:21" ht="16" customHeight="1" x14ac:dyDescent="0.2">
      <c r="B8" s="37" t="s">
        <v>252</v>
      </c>
      <c r="C8" s="37" t="s">
        <v>244</v>
      </c>
      <c r="D8" s="37" t="s">
        <v>249</v>
      </c>
      <c r="E8" s="37" t="s">
        <v>243</v>
      </c>
      <c r="F8" s="37" t="s">
        <v>250</v>
      </c>
      <c r="G8" s="37" t="s">
        <v>251</v>
      </c>
      <c r="H8" s="37" t="s">
        <v>326</v>
      </c>
      <c r="I8" s="41"/>
      <c r="J8" s="39"/>
      <c r="K8" s="33"/>
      <c r="L8" s="33"/>
      <c r="M8" s="33"/>
      <c r="N8" s="33"/>
      <c r="O8" s="33"/>
      <c r="P8" s="33"/>
      <c r="Q8" s="33"/>
      <c r="R8" s="33"/>
      <c r="S8" s="33"/>
      <c r="T8" s="33"/>
      <c r="U8" s="33"/>
    </row>
    <row r="9" spans="2:21" ht="16" customHeight="1" x14ac:dyDescent="0.2">
      <c r="B9" s="40">
        <v>44916</v>
      </c>
      <c r="C9" s="37">
        <f>COUNTIFS(ReadingList!$B$2:$B$123,"&lt;="&amp;B9, ReadingList!$G$2:$G$123, "Abstract") + COUNTIFS(ReadingList!$B$2:$B$123,"&lt;="&amp;B9, ReadingList!$G$2:$G$123, "No access")</f>
        <v>0</v>
      </c>
      <c r="D9" s="37">
        <f>COUNTIFS(ReadingList!$B$2:$B$123,"&lt;="&amp;B9, ReadingList!$G$2:$G$123, C2) + COUNTIFS(ReadingList!$B$2:$B$123,"&lt;="&amp;B9, ReadingList!$G$2:$G$123, D2) + COUNTIFS(ReadingList!$B$2:$B$123,"&lt;="&amp;B9, ReadingList!$G$2:$G$123, E2) + COUNTIFS(ReadingList!$B$2:$B$123,"&lt;="&amp;B9, ReadingList!$G$2:$G$123, "Body")</f>
        <v>5</v>
      </c>
      <c r="E9" s="37">
        <f>COUNTIFS(ReadingList!$B$2:$B$123,"&lt;="&amp;B9,ReadingList!$G$2:$G$123,C2)+COUNTIFS(ReadingList!$B$2:$B$123,"&lt;="&amp;B9,ReadingList!$G$2:$G$123,D2)+COUNTIFS(ReadingList!$B$2:$B$123,"&lt;="&amp;B9,ReadingList!$G$2:$G$123,E2)</f>
        <v>1</v>
      </c>
      <c r="F9" s="14">
        <f>SUM(C9:D9)/$B$6</f>
        <v>3.937007874015748E-2</v>
      </c>
      <c r="G9" s="6">
        <f>IFERROR(E9/D9, 0)</f>
        <v>0.2</v>
      </c>
      <c r="H9" s="37" t="s">
        <v>271</v>
      </c>
      <c r="I9" s="39"/>
      <c r="J9" s="39"/>
      <c r="K9" s="33"/>
      <c r="L9" s="33"/>
      <c r="M9" s="33"/>
      <c r="N9" s="33"/>
      <c r="O9" s="33"/>
      <c r="P9" s="33"/>
      <c r="Q9" s="33"/>
      <c r="R9" s="33"/>
      <c r="S9" s="33"/>
      <c r="T9" s="33"/>
      <c r="U9" s="33"/>
    </row>
    <row r="10" spans="2:21" ht="16" customHeight="1" x14ac:dyDescent="0.2">
      <c r="B10" s="40">
        <f>B9+IF(WEEKDAY(B9)=6, 3, 1)</f>
        <v>44917</v>
      </c>
      <c r="C10" s="37">
        <f>COUNTIFS(ReadingList!$B$2:$B$123,"&lt;="&amp;B10, ReadingList!$B$2:$B$123,"&gt;"&amp;B9, ReadingList!$G$2:$G$123, "Abstract") + COUNTIFS(ReadingList!$B$2:$B$123,"&lt;="&amp;B10, ReadingList!$B$2:$B$123,"&gt;"&amp;B9, ReadingList!$G$2:$G$123, "No access")</f>
        <v>0</v>
      </c>
      <c r="D10" s="37">
        <f>COUNTIFS(ReadingList!$B$2:$B$123,"&lt;="&amp;B10, ReadingList!$B$2:$B$123,"&gt;"&amp;B9, ReadingList!$G$2:$G$123, $C$2) + COUNTIFS(ReadingList!$B$2:$B$123,"&lt;="&amp;B10, ReadingList!$B$2:$B$123,"&gt;"&amp;B9, ReadingList!$G$2:$G$123, $D$2) + COUNTIFS(ReadingList!$B$2:$B$123,"&lt;="&amp;B10, ReadingList!$B$2:$B$123,"&gt;"&amp;B9, ReadingList!$G$2:$G$123, $E$2) + COUNTIFS(ReadingList!$B$2:$B$123,"&lt;="&amp;B10, ReadingList!$B$2:$B$123,"&gt;"&amp;B9, ReadingList!$G$2:$G$123, "Body")</f>
        <v>6</v>
      </c>
      <c r="E10" s="37">
        <f>COUNTIFS(ReadingList!$B$2:$B$123,"&lt;="&amp;B10, ReadingList!$B$2:$B$123,"&gt;"&amp;B9,ReadingList!$G$2:$G$123,$C$2) + COUNTIFS(ReadingList!$B$2:$B$123,"&lt;="&amp;B10, ReadingList!$B$2:$B$123,"&gt;"&amp;B9,ReadingList!$G$2:$G$123,$D$2) + COUNTIFS(ReadingList!$B$2:$B$123,"&lt;="&amp;B10, ReadingList!$B$2:$B$123,"&gt;"&amp;B9,ReadingList!$G$2:$G$123,$E$2)</f>
        <v>1</v>
      </c>
      <c r="F10" s="14">
        <f t="shared" ref="F10:F33" si="0">SUM(C10:D10)/$B$6</f>
        <v>4.7244094488188976E-2</v>
      </c>
      <c r="G10" s="6">
        <f t="shared" ref="G10:G33" si="1">IFERROR(E10/D10, 0)</f>
        <v>0.16666666666666666</v>
      </c>
      <c r="H10" s="37" t="str">
        <f>IF(SUM($D$9:D10)&gt;=$F$6,"Finished",IF(SUM($D$9:D10)&gt;=$H$6*COUNT($B$9:B10), "Yes", "No"))</f>
        <v>Yes</v>
      </c>
      <c r="I10" s="39"/>
      <c r="K10" s="33"/>
      <c r="L10" s="33"/>
      <c r="M10" s="33"/>
      <c r="N10" s="33"/>
      <c r="O10" s="33"/>
      <c r="P10" s="33"/>
      <c r="Q10" s="33"/>
      <c r="R10" s="33"/>
      <c r="S10" s="33"/>
      <c r="T10" s="33"/>
      <c r="U10" s="33"/>
    </row>
    <row r="11" spans="2:21" ht="16" customHeight="1" x14ac:dyDescent="0.2">
      <c r="B11" s="40">
        <f t="shared" ref="B11:B33" si="2">B10+IF(WEEKDAY(B10)=6, 3, 1)</f>
        <v>44918</v>
      </c>
      <c r="C11" s="37">
        <f>COUNTIFS(ReadingList!$B$2:$B$123,"&lt;="&amp;B11, ReadingList!$B$2:$B$123,"&gt;"&amp;B10, ReadingList!$G$2:$G$123, "Abstract") + COUNTIFS(ReadingList!$B$2:$B$123,"&lt;="&amp;B11, ReadingList!$B$2:$B$123,"&gt;"&amp;B10, ReadingList!$G$2:$G$123, "No access")</f>
        <v>0</v>
      </c>
      <c r="D11" s="37">
        <f>COUNTIFS(ReadingList!$B$2:$B$123,"&lt;="&amp;B11, ReadingList!$B$2:$B$123,"&gt;"&amp;B10, ReadingList!$G$2:$G$123, $C$2) + COUNTIFS(ReadingList!$B$2:$B$123,"&lt;="&amp;B11, ReadingList!$B$2:$B$123,"&gt;"&amp;B10, ReadingList!$G$2:$G$123, $D$2) + COUNTIFS(ReadingList!$B$2:$B$123,"&lt;="&amp;B11, ReadingList!$B$2:$B$123,"&gt;"&amp;B10, ReadingList!$G$2:$G$123, $E$2) + COUNTIFS(ReadingList!$B$2:$B$123,"&lt;="&amp;B11, ReadingList!$B$2:$B$123,"&gt;"&amp;B10, ReadingList!$G$2:$G$123, "Body")</f>
        <v>27</v>
      </c>
      <c r="E11" s="37">
        <f>COUNTIFS(ReadingList!$B$2:$B$123,"&lt;="&amp;B11, ReadingList!$B$2:$B$123,"&gt;"&amp;B10,ReadingList!$G$2:$G$123,$C$2) + COUNTIFS(ReadingList!$B$2:$B$123,"&lt;="&amp;B11, ReadingList!$B$2:$B$123,"&gt;"&amp;B10,ReadingList!$G$2:$G$123,$D$2) + COUNTIFS(ReadingList!$B$2:$B$123,"&lt;="&amp;B11, ReadingList!$B$2:$B$123,"&gt;"&amp;B10,ReadingList!$G$2:$G$123,$E$2)</f>
        <v>0</v>
      </c>
      <c r="F11" s="14">
        <f t="shared" si="0"/>
        <v>0.2125984251968504</v>
      </c>
      <c r="G11" s="6">
        <f t="shared" si="1"/>
        <v>0</v>
      </c>
      <c r="H11" s="37" t="str">
        <f>IF(SUM($D$9:D11)&gt;=$F$6,"Finished",IF(SUM($D$9:D11)&gt;=$H$6*COUNT($B$9:B11), "Yes", "No"))</f>
        <v>Yes</v>
      </c>
      <c r="I11" s="39"/>
      <c r="J11" s="39"/>
      <c r="K11" s="33"/>
      <c r="L11" s="33"/>
      <c r="M11" s="33"/>
      <c r="N11" s="33"/>
      <c r="O11" s="33"/>
      <c r="P11" s="33"/>
      <c r="Q11" s="33"/>
      <c r="R11" s="33"/>
      <c r="S11" s="33"/>
      <c r="T11" s="33"/>
      <c r="U11" s="33"/>
    </row>
    <row r="12" spans="2:21" ht="16" customHeight="1" x14ac:dyDescent="0.2">
      <c r="B12" s="40">
        <f t="shared" si="2"/>
        <v>44921</v>
      </c>
      <c r="C12" s="37">
        <f>COUNTIFS(ReadingList!$B$2:$B$123,"&lt;="&amp;B12, ReadingList!$B$2:$B$123,"&gt;"&amp;B11, ReadingList!$G$2:$G$123, "Abstract") + COUNTIFS(ReadingList!$B$2:$B$123,"&lt;="&amp;B12, ReadingList!$B$2:$B$123,"&gt;"&amp;B11, ReadingList!$G$2:$G$123, "No access")</f>
        <v>0</v>
      </c>
      <c r="D12" s="37">
        <f>COUNTIFS(ReadingList!$B$2:$B$123,"&lt;="&amp;B12, ReadingList!$B$2:$B$123,"&gt;"&amp;B11, ReadingList!$G$2:$G$123, $C$2) + COUNTIFS(ReadingList!$B$2:$B$123,"&lt;="&amp;B12, ReadingList!$B$2:$B$123,"&gt;"&amp;B11, ReadingList!$G$2:$G$123, $D$2) + COUNTIFS(ReadingList!$B$2:$B$123,"&lt;="&amp;B12, ReadingList!$B$2:$B$123,"&gt;"&amp;B11, ReadingList!$G$2:$G$123, $E$2) + COUNTIFS(ReadingList!$B$2:$B$123,"&lt;="&amp;B12, ReadingList!$B$2:$B$123,"&gt;"&amp;B11, ReadingList!$G$2:$G$123, "Body")</f>
        <v>0</v>
      </c>
      <c r="E12" s="37">
        <f>COUNTIFS(ReadingList!$B$2:$B$123,"&lt;="&amp;B12, ReadingList!$B$2:$B$123,"&gt;"&amp;B11,ReadingList!$G$2:$G$123,$C$2) + COUNTIFS(ReadingList!$B$2:$B$123,"&lt;="&amp;B12, ReadingList!$B$2:$B$123,"&gt;"&amp;B11,ReadingList!$G$2:$G$123,$D$2) + COUNTIFS(ReadingList!$B$2:$B$123,"&lt;="&amp;B12, ReadingList!$B$2:$B$123,"&gt;"&amp;B11,ReadingList!$G$2:$G$123,$E$2)</f>
        <v>0</v>
      </c>
      <c r="F12" s="14">
        <f t="shared" si="0"/>
        <v>0</v>
      </c>
      <c r="G12" s="6">
        <f t="shared" si="1"/>
        <v>0</v>
      </c>
      <c r="H12" s="37" t="str">
        <f>IF(SUM($D$9:D12)&gt;=$F$6,"Finished",IF(SUM($D$9:D12)&gt;=$H$6*COUNT($B$9:B12), "Yes", "No"))</f>
        <v>Yes</v>
      </c>
      <c r="I12" s="39"/>
      <c r="J12" s="39"/>
      <c r="K12" s="33"/>
      <c r="L12" s="33"/>
      <c r="M12" s="33"/>
      <c r="N12" s="33"/>
      <c r="O12" s="33"/>
      <c r="P12" s="33"/>
      <c r="Q12" s="33"/>
      <c r="R12" s="33"/>
      <c r="S12" s="33"/>
      <c r="T12" s="33"/>
      <c r="U12" s="33"/>
    </row>
    <row r="13" spans="2:21" ht="16" customHeight="1" x14ac:dyDescent="0.2">
      <c r="B13" s="40">
        <f t="shared" si="2"/>
        <v>44922</v>
      </c>
      <c r="C13" s="37">
        <f>COUNTIFS(ReadingList!$B$2:$B$123,"&lt;="&amp;B13, ReadingList!$B$2:$B$123,"&gt;"&amp;B12, ReadingList!$G$2:$G$123, "Abstract") + COUNTIFS(ReadingList!$B$2:$B$123,"&lt;="&amp;B13, ReadingList!$B$2:$B$123,"&gt;"&amp;B12, ReadingList!$G$2:$G$123, "No access")</f>
        <v>0</v>
      </c>
      <c r="D13" s="37">
        <f>COUNTIFS(ReadingList!$B$2:$B$123,"&lt;="&amp;B13, ReadingList!$B$2:$B$123,"&gt;"&amp;B12, ReadingList!$G$2:$G$123, $C$2) + COUNTIFS(ReadingList!$B$2:$B$123,"&lt;="&amp;B13, ReadingList!$B$2:$B$123,"&gt;"&amp;B12, ReadingList!$G$2:$G$123, $D$2) + COUNTIFS(ReadingList!$B$2:$B$123,"&lt;="&amp;B13, ReadingList!$B$2:$B$123,"&gt;"&amp;B12, ReadingList!$G$2:$G$123, $E$2) + COUNTIFS(ReadingList!$B$2:$B$123,"&lt;="&amp;B13, ReadingList!$B$2:$B$123,"&gt;"&amp;B12, ReadingList!$G$2:$G$123, "Body")</f>
        <v>0</v>
      </c>
      <c r="E13" s="37">
        <f>COUNTIFS(ReadingList!$B$2:$B$123,"&lt;="&amp;B13, ReadingList!$B$2:$B$123,"&gt;"&amp;B12,ReadingList!$G$2:$G$123,$C$2) + COUNTIFS(ReadingList!$B$2:$B$123,"&lt;="&amp;B13, ReadingList!$B$2:$B$123,"&gt;"&amp;B12,ReadingList!$G$2:$G$123,$D$2) + COUNTIFS(ReadingList!$B$2:$B$123,"&lt;="&amp;B13, ReadingList!$B$2:$B$123,"&gt;"&amp;B12,ReadingList!$G$2:$G$123,$E$2)</f>
        <v>0</v>
      </c>
      <c r="F13" s="14">
        <f t="shared" si="0"/>
        <v>0</v>
      </c>
      <c r="G13" s="6">
        <f t="shared" si="1"/>
        <v>0</v>
      </c>
      <c r="H13" s="37" t="str">
        <f>IF(SUM($D$9:D13)&gt;=$F$6,"Finished",IF(SUM($D$9:D13)&gt;=$H$6*COUNT($B$9:B13), "Yes", "No"))</f>
        <v>Yes</v>
      </c>
      <c r="I13" s="39"/>
      <c r="J13" s="39"/>
      <c r="K13" s="33"/>
      <c r="L13" s="33"/>
      <c r="M13" s="33"/>
      <c r="N13" s="33"/>
      <c r="O13" s="33"/>
      <c r="P13" s="33"/>
      <c r="Q13" s="33"/>
      <c r="R13" s="33"/>
      <c r="S13" s="33"/>
      <c r="T13" s="33"/>
      <c r="U13" s="33"/>
    </row>
    <row r="14" spans="2:21" ht="16" customHeight="1" x14ac:dyDescent="0.2">
      <c r="B14" s="40">
        <f t="shared" si="2"/>
        <v>44923</v>
      </c>
      <c r="C14" s="37">
        <f>COUNTIFS(ReadingList!$B$2:$B$123,"&lt;="&amp;B14, ReadingList!$B$2:$B$123,"&gt;"&amp;B13, ReadingList!$G$2:$G$123, "Abstract") + COUNTIFS(ReadingList!$B$2:$B$123,"&lt;="&amp;B14, ReadingList!$B$2:$B$123,"&gt;"&amp;B13, ReadingList!$G$2:$G$123, "No access")</f>
        <v>0</v>
      </c>
      <c r="D14" s="37">
        <f>COUNTIFS(ReadingList!$B$2:$B$123,"&lt;="&amp;B14, ReadingList!$B$2:$B$123,"&gt;"&amp;B13, ReadingList!$G$2:$G$123, $C$2) + COUNTIFS(ReadingList!$B$2:$B$123,"&lt;="&amp;B14, ReadingList!$B$2:$B$123,"&gt;"&amp;B13, ReadingList!$G$2:$G$123, $D$2) + COUNTIFS(ReadingList!$B$2:$B$123,"&lt;="&amp;B14, ReadingList!$B$2:$B$123,"&gt;"&amp;B13, ReadingList!$G$2:$G$123, $E$2) + COUNTIFS(ReadingList!$B$2:$B$123,"&lt;="&amp;B14, ReadingList!$B$2:$B$123,"&gt;"&amp;B13, ReadingList!$G$2:$G$123, "Body")</f>
        <v>0</v>
      </c>
      <c r="E14" s="37">
        <f>COUNTIFS(ReadingList!$B$2:$B$123,"&lt;="&amp;B14, ReadingList!$B$2:$B$123,"&gt;"&amp;B13,ReadingList!$G$2:$G$123,$C$2) + COUNTIFS(ReadingList!$B$2:$B$123,"&lt;="&amp;B14, ReadingList!$B$2:$B$123,"&gt;"&amp;B13,ReadingList!$G$2:$G$123,$D$2) + COUNTIFS(ReadingList!$B$2:$B$123,"&lt;="&amp;B14, ReadingList!$B$2:$B$123,"&gt;"&amp;B13,ReadingList!$G$2:$G$123,$E$2)</f>
        <v>0</v>
      </c>
      <c r="F14" s="14">
        <f t="shared" si="0"/>
        <v>0</v>
      </c>
      <c r="G14" s="6">
        <f t="shared" si="1"/>
        <v>0</v>
      </c>
      <c r="H14" s="37" t="str">
        <f>IF(SUM($D$9:D14)&gt;=$F$6,"Finished",IF(SUM($D$9:D14)&gt;=$H$6*COUNT($B$9:B14), "Yes", "No"))</f>
        <v>Yes</v>
      </c>
      <c r="I14" s="39"/>
      <c r="J14" s="39"/>
      <c r="K14" s="33"/>
      <c r="L14" s="33"/>
      <c r="M14" s="33"/>
      <c r="N14" s="33"/>
      <c r="O14" s="33"/>
      <c r="P14" s="33"/>
      <c r="Q14" s="33"/>
      <c r="R14" s="33"/>
      <c r="S14" s="33"/>
      <c r="T14" s="33"/>
      <c r="U14" s="33"/>
    </row>
    <row r="15" spans="2:21" ht="16" customHeight="1" x14ac:dyDescent="0.2">
      <c r="B15" s="40">
        <f t="shared" si="2"/>
        <v>44924</v>
      </c>
      <c r="C15" s="37">
        <f>COUNTIFS(ReadingList!$B$2:$B$123,"&lt;="&amp;B15, ReadingList!$B$2:$B$123,"&gt;"&amp;B14, ReadingList!$G$2:$G$123, "Abstract") + COUNTIFS(ReadingList!$B$2:$B$123,"&lt;="&amp;B15, ReadingList!$B$2:$B$123,"&gt;"&amp;B14, ReadingList!$G$2:$G$123, "No access")</f>
        <v>0</v>
      </c>
      <c r="D15" s="37">
        <f>COUNTIFS(ReadingList!$B$2:$B$123,"&lt;="&amp;B15, ReadingList!$B$2:$B$123,"&gt;"&amp;B14, ReadingList!$G$2:$G$123, $C$2) + COUNTIFS(ReadingList!$B$2:$B$123,"&lt;="&amp;B15, ReadingList!$B$2:$B$123,"&gt;"&amp;B14, ReadingList!$G$2:$G$123, $D$2) + COUNTIFS(ReadingList!$B$2:$B$123,"&lt;="&amp;B15, ReadingList!$B$2:$B$123,"&gt;"&amp;B14, ReadingList!$G$2:$G$123, $E$2) + COUNTIFS(ReadingList!$B$2:$B$123,"&lt;="&amp;B15, ReadingList!$B$2:$B$123,"&gt;"&amp;B14, ReadingList!$G$2:$G$123, "Body")</f>
        <v>0</v>
      </c>
      <c r="E15" s="37">
        <f>COUNTIFS(ReadingList!$B$2:$B$123,"&lt;="&amp;B15, ReadingList!$B$2:$B$123,"&gt;"&amp;B14,ReadingList!$G$2:$G$123,$C$2) + COUNTIFS(ReadingList!$B$2:$B$123,"&lt;="&amp;B15, ReadingList!$B$2:$B$123,"&gt;"&amp;B14,ReadingList!$G$2:$G$123,$D$2) + COUNTIFS(ReadingList!$B$2:$B$123,"&lt;="&amp;B15, ReadingList!$B$2:$B$123,"&gt;"&amp;B14,ReadingList!$G$2:$G$123,$E$2)</f>
        <v>0</v>
      </c>
      <c r="F15" s="14">
        <f t="shared" si="0"/>
        <v>0</v>
      </c>
      <c r="G15" s="6">
        <f t="shared" si="1"/>
        <v>0</v>
      </c>
      <c r="H15" s="37" t="str">
        <f>IF(SUM($D$9:D15)&gt;=$F$6,"Finished",IF(SUM($D$9:D15)&gt;=$H$6*COUNT($B$9:B15), "Yes", "No"))</f>
        <v>Yes</v>
      </c>
      <c r="I15" s="39"/>
      <c r="J15" s="39"/>
      <c r="K15" s="33"/>
      <c r="L15" s="33"/>
      <c r="M15" s="33"/>
      <c r="N15" s="33"/>
      <c r="O15" s="33"/>
      <c r="P15" s="33"/>
      <c r="Q15" s="33"/>
      <c r="R15" s="33"/>
      <c r="S15" s="33"/>
      <c r="T15" s="33"/>
      <c r="U15" s="33"/>
    </row>
    <row r="16" spans="2:21" ht="16" customHeight="1" x14ac:dyDescent="0.2">
      <c r="B16" s="40">
        <f t="shared" si="2"/>
        <v>44925</v>
      </c>
      <c r="C16" s="37">
        <f>COUNTIFS(ReadingList!$B$2:$B$123,"&lt;="&amp;B16, ReadingList!$B$2:$B$123,"&gt;"&amp;B15, ReadingList!$G$2:$G$123, "Abstract") + COUNTIFS(ReadingList!$B$2:$B$123,"&lt;="&amp;B16, ReadingList!$B$2:$B$123,"&gt;"&amp;B15, ReadingList!$G$2:$G$123, "No access")</f>
        <v>0</v>
      </c>
      <c r="D16" s="37">
        <f>COUNTIFS(ReadingList!$B$2:$B$123,"&lt;="&amp;B16, ReadingList!$B$2:$B$123,"&gt;"&amp;B15, ReadingList!$G$2:$G$123, $C$2) + COUNTIFS(ReadingList!$B$2:$B$123,"&lt;="&amp;B16, ReadingList!$B$2:$B$123,"&gt;"&amp;B15, ReadingList!$G$2:$G$123, $D$2) + COUNTIFS(ReadingList!$B$2:$B$123,"&lt;="&amp;B16, ReadingList!$B$2:$B$123,"&gt;"&amp;B15, ReadingList!$G$2:$G$123, $E$2) + COUNTIFS(ReadingList!$B$2:$B$123,"&lt;="&amp;B16, ReadingList!$B$2:$B$123,"&gt;"&amp;B15, ReadingList!$G$2:$G$123, "Body")</f>
        <v>0</v>
      </c>
      <c r="E16" s="37">
        <f>COUNTIFS(ReadingList!$B$2:$B$123,"&lt;="&amp;B16, ReadingList!$B$2:$B$123,"&gt;"&amp;B15,ReadingList!$G$2:$G$123,$C$2) + COUNTIFS(ReadingList!$B$2:$B$123,"&lt;="&amp;B16, ReadingList!$B$2:$B$123,"&gt;"&amp;B15,ReadingList!$G$2:$G$123,$D$2) + COUNTIFS(ReadingList!$B$2:$B$123,"&lt;="&amp;B16, ReadingList!$B$2:$B$123,"&gt;"&amp;B15,ReadingList!$G$2:$G$123,$E$2)</f>
        <v>0</v>
      </c>
      <c r="F16" s="14">
        <f t="shared" si="0"/>
        <v>0</v>
      </c>
      <c r="G16" s="6">
        <f t="shared" si="1"/>
        <v>0</v>
      </c>
      <c r="H16" s="37" t="str">
        <f>IF(SUM($D$9:D16)&gt;=$F$6,"Finished",IF(SUM($D$9:D16)&gt;=$H$6*COUNT($B$9:B16), "Yes", "No"))</f>
        <v>No</v>
      </c>
      <c r="I16" s="39"/>
      <c r="J16" s="39"/>
      <c r="K16" s="33"/>
      <c r="L16" s="33"/>
      <c r="M16" s="33"/>
      <c r="N16" s="33"/>
      <c r="O16" s="33"/>
      <c r="P16" s="33"/>
      <c r="Q16" s="33"/>
      <c r="R16" s="33"/>
      <c r="S16" s="33"/>
      <c r="T16" s="33"/>
      <c r="U16" s="33"/>
    </row>
    <row r="17" spans="2:21" ht="16" customHeight="1" x14ac:dyDescent="0.2">
      <c r="B17" s="40">
        <f t="shared" si="2"/>
        <v>44928</v>
      </c>
      <c r="C17" s="37">
        <f>COUNTIFS(ReadingList!$B$2:$B$123,"&lt;="&amp;B17, ReadingList!$B$2:$B$123,"&gt;"&amp;B16, ReadingList!$G$2:$G$123, "Abstract") + COUNTIFS(ReadingList!$B$2:$B$123,"&lt;="&amp;B17, ReadingList!$B$2:$B$123,"&gt;"&amp;B16, ReadingList!$G$2:$G$123, "No access")</f>
        <v>0</v>
      </c>
      <c r="D17" s="37">
        <f>COUNTIFS(ReadingList!$B$2:$B$123,"&lt;="&amp;B17, ReadingList!$B$2:$B$123,"&gt;"&amp;B16, ReadingList!$G$2:$G$123, $C$2) + COUNTIFS(ReadingList!$B$2:$B$123,"&lt;="&amp;B17, ReadingList!$B$2:$B$123,"&gt;"&amp;B16, ReadingList!$G$2:$G$123, $D$2) + COUNTIFS(ReadingList!$B$2:$B$123,"&lt;="&amp;B17, ReadingList!$B$2:$B$123,"&gt;"&amp;B16, ReadingList!$G$2:$G$123, $E$2) + COUNTIFS(ReadingList!$B$2:$B$123,"&lt;="&amp;B17, ReadingList!$B$2:$B$123,"&gt;"&amp;B16, ReadingList!$G$2:$G$123, "Body")</f>
        <v>0</v>
      </c>
      <c r="E17" s="37">
        <f>COUNTIFS(ReadingList!$B$2:$B$123,"&lt;="&amp;B17, ReadingList!$B$2:$B$123,"&gt;"&amp;B16,ReadingList!$G$2:$G$123,$C$2) + COUNTIFS(ReadingList!$B$2:$B$123,"&lt;="&amp;B17, ReadingList!$B$2:$B$123,"&gt;"&amp;B16,ReadingList!$G$2:$G$123,$D$2) + COUNTIFS(ReadingList!$B$2:$B$123,"&lt;="&amp;B17, ReadingList!$B$2:$B$123,"&gt;"&amp;B16,ReadingList!$G$2:$G$123,$E$2)</f>
        <v>0</v>
      </c>
      <c r="F17" s="14">
        <f t="shared" si="0"/>
        <v>0</v>
      </c>
      <c r="G17" s="6">
        <f t="shared" si="1"/>
        <v>0</v>
      </c>
      <c r="H17" s="37" t="str">
        <f>IF(SUM($D$9:D17)&gt;=$F$6,"Finished",IF(SUM($D$9:D17)&gt;=$H$6*COUNT($B$9:B17), "Yes", "No"))</f>
        <v>No</v>
      </c>
      <c r="I17" s="39"/>
      <c r="J17" s="39"/>
      <c r="K17" s="33"/>
      <c r="L17" s="33"/>
      <c r="M17" s="33"/>
      <c r="N17" s="33"/>
      <c r="O17" s="33"/>
      <c r="P17" s="33"/>
      <c r="Q17" s="33"/>
      <c r="R17" s="33"/>
      <c r="S17" s="33"/>
      <c r="T17" s="33"/>
      <c r="U17" s="33"/>
    </row>
    <row r="18" spans="2:21" ht="16" customHeight="1" x14ac:dyDescent="0.2">
      <c r="B18" s="40">
        <f t="shared" si="2"/>
        <v>44929</v>
      </c>
      <c r="C18" s="37">
        <f>COUNTIFS(ReadingList!$B$2:$B$123,"&lt;="&amp;B18, ReadingList!$B$2:$B$123,"&gt;"&amp;B17, ReadingList!$G$2:$G$123, "Abstract") + COUNTIFS(ReadingList!$B$2:$B$123,"&lt;="&amp;B18, ReadingList!$B$2:$B$123,"&gt;"&amp;B17, ReadingList!$G$2:$G$123, "No access")</f>
        <v>0</v>
      </c>
      <c r="D18" s="37">
        <f>COUNTIFS(ReadingList!$B$2:$B$123,"&lt;="&amp;B18, ReadingList!$B$2:$B$123,"&gt;"&amp;B17, ReadingList!$G$2:$G$123, $C$2) + COUNTIFS(ReadingList!$B$2:$B$123,"&lt;="&amp;B18, ReadingList!$B$2:$B$123,"&gt;"&amp;B17, ReadingList!$G$2:$G$123, $D$2) + COUNTIFS(ReadingList!$B$2:$B$123,"&lt;="&amp;B18, ReadingList!$B$2:$B$123,"&gt;"&amp;B17, ReadingList!$G$2:$G$123, $E$2) + COUNTIFS(ReadingList!$B$2:$B$123,"&lt;="&amp;B18, ReadingList!$B$2:$B$123,"&gt;"&amp;B17, ReadingList!$G$2:$G$123, "Body")</f>
        <v>0</v>
      </c>
      <c r="E18" s="37">
        <f>COUNTIFS(ReadingList!$B$2:$B$123,"&lt;="&amp;B18, ReadingList!$B$2:$B$123,"&gt;"&amp;B17,ReadingList!$G$2:$G$123,$C$2) + COUNTIFS(ReadingList!$B$2:$B$123,"&lt;="&amp;B18, ReadingList!$B$2:$B$123,"&gt;"&amp;B17,ReadingList!$G$2:$G$123,$D$2) + COUNTIFS(ReadingList!$B$2:$B$123,"&lt;="&amp;B18, ReadingList!$B$2:$B$123,"&gt;"&amp;B17,ReadingList!$G$2:$G$123,$E$2)</f>
        <v>0</v>
      </c>
      <c r="F18" s="14">
        <f t="shared" si="0"/>
        <v>0</v>
      </c>
      <c r="G18" s="6">
        <f t="shared" si="1"/>
        <v>0</v>
      </c>
      <c r="H18" s="37" t="str">
        <f>IF(SUM($D$9:D18)&gt;=$F$6,"Finished",IF(SUM($D$9:D18)&gt;=$H$6*COUNT($B$9:B18), "Yes", "No"))</f>
        <v>No</v>
      </c>
      <c r="I18" s="39"/>
      <c r="J18" s="39"/>
      <c r="K18" s="33"/>
      <c r="L18" s="33"/>
      <c r="M18" s="33"/>
      <c r="N18" s="33"/>
      <c r="O18" s="33"/>
      <c r="P18" s="33"/>
      <c r="Q18" s="33"/>
      <c r="R18" s="33"/>
      <c r="S18" s="33"/>
      <c r="T18" s="33"/>
      <c r="U18" s="33"/>
    </row>
    <row r="19" spans="2:21" ht="16" customHeight="1" x14ac:dyDescent="0.2">
      <c r="B19" s="40">
        <f t="shared" si="2"/>
        <v>44930</v>
      </c>
      <c r="C19" s="37">
        <f>COUNTIFS(ReadingList!$B$2:$B$123,"&lt;="&amp;B19, ReadingList!$B$2:$B$123,"&gt;"&amp;B18, ReadingList!$G$2:$G$123, "Abstract") + COUNTIFS(ReadingList!$B$2:$B$123,"&lt;="&amp;B19, ReadingList!$B$2:$B$123,"&gt;"&amp;B18, ReadingList!$G$2:$G$123, "No access")</f>
        <v>0</v>
      </c>
      <c r="D19" s="37">
        <f>COUNTIFS(ReadingList!$B$2:$B$123,"&lt;="&amp;B19, ReadingList!$B$2:$B$123,"&gt;"&amp;B18, ReadingList!$G$2:$G$123, $C$2) + COUNTIFS(ReadingList!$B$2:$B$123,"&lt;="&amp;B19, ReadingList!$B$2:$B$123,"&gt;"&amp;B18, ReadingList!$G$2:$G$123, $D$2) + COUNTIFS(ReadingList!$B$2:$B$123,"&lt;="&amp;B19, ReadingList!$B$2:$B$123,"&gt;"&amp;B18, ReadingList!$G$2:$G$123, $E$2) + COUNTIFS(ReadingList!$B$2:$B$123,"&lt;="&amp;B19, ReadingList!$B$2:$B$123,"&gt;"&amp;B18, ReadingList!$G$2:$G$123, "Body")</f>
        <v>0</v>
      </c>
      <c r="E19" s="37">
        <f>COUNTIFS(ReadingList!$B$2:$B$123,"&lt;="&amp;B19, ReadingList!$B$2:$B$123,"&gt;"&amp;B18,ReadingList!$G$2:$G$123,$C$2) + COUNTIFS(ReadingList!$B$2:$B$123,"&lt;="&amp;B19, ReadingList!$B$2:$B$123,"&gt;"&amp;B18,ReadingList!$G$2:$G$123,$D$2) + COUNTIFS(ReadingList!$B$2:$B$123,"&lt;="&amp;B19, ReadingList!$B$2:$B$123,"&gt;"&amp;B18,ReadingList!$G$2:$G$123,$E$2)</f>
        <v>0</v>
      </c>
      <c r="F19" s="14">
        <f t="shared" si="0"/>
        <v>0</v>
      </c>
      <c r="G19" s="6">
        <f t="shared" si="1"/>
        <v>0</v>
      </c>
      <c r="H19" s="37" t="str">
        <f>IF(SUM($D$9:D19)&gt;=$F$6,"Finished",IF(SUM($D$9:D19)&gt;=$H$6*COUNT($B$9:B19), "Yes", "No"))</f>
        <v>No</v>
      </c>
      <c r="I19" s="39"/>
      <c r="J19" s="39"/>
      <c r="K19" s="33"/>
      <c r="L19" s="33"/>
      <c r="M19" s="33"/>
      <c r="N19" s="33"/>
      <c r="O19" s="33"/>
      <c r="P19" s="33"/>
      <c r="Q19" s="33"/>
      <c r="R19" s="33"/>
      <c r="S19" s="33"/>
      <c r="T19" s="33"/>
      <c r="U19" s="33"/>
    </row>
    <row r="20" spans="2:21" ht="16" customHeight="1" x14ac:dyDescent="0.2">
      <c r="B20" s="40">
        <f t="shared" si="2"/>
        <v>44931</v>
      </c>
      <c r="C20" s="37">
        <f>COUNTIFS(ReadingList!$B$2:$B$123,"&lt;="&amp;B20, ReadingList!$B$2:$B$123,"&gt;"&amp;B19, ReadingList!$G$2:$G$123, "Abstract") + COUNTIFS(ReadingList!$B$2:$B$123,"&lt;="&amp;B20, ReadingList!$B$2:$B$123,"&gt;"&amp;B19, ReadingList!$G$2:$G$123, "No access")</f>
        <v>0</v>
      </c>
      <c r="D20" s="37">
        <f>COUNTIFS(ReadingList!$B$2:$B$123,"&lt;="&amp;B20, ReadingList!$B$2:$B$123,"&gt;"&amp;B19, ReadingList!$G$2:$G$123, $C$2) + COUNTIFS(ReadingList!$B$2:$B$123,"&lt;="&amp;B20, ReadingList!$B$2:$B$123,"&gt;"&amp;B19, ReadingList!$G$2:$G$123, $D$2) + COUNTIFS(ReadingList!$B$2:$B$123,"&lt;="&amp;B20, ReadingList!$B$2:$B$123,"&gt;"&amp;B19, ReadingList!$G$2:$G$123, $E$2) + COUNTIFS(ReadingList!$B$2:$B$123,"&lt;="&amp;B20, ReadingList!$B$2:$B$123,"&gt;"&amp;B19, ReadingList!$G$2:$G$123, "Body")</f>
        <v>0</v>
      </c>
      <c r="E20" s="37">
        <f>COUNTIFS(ReadingList!$B$2:$B$123,"&lt;="&amp;B20, ReadingList!$B$2:$B$123,"&gt;"&amp;B19,ReadingList!$G$2:$G$123,$C$2) + COUNTIFS(ReadingList!$B$2:$B$123,"&lt;="&amp;B20, ReadingList!$B$2:$B$123,"&gt;"&amp;B19,ReadingList!$G$2:$G$123,$D$2) + COUNTIFS(ReadingList!$B$2:$B$123,"&lt;="&amp;B20, ReadingList!$B$2:$B$123,"&gt;"&amp;B19,ReadingList!$G$2:$G$123,$E$2)</f>
        <v>0</v>
      </c>
      <c r="F20" s="14">
        <f t="shared" si="0"/>
        <v>0</v>
      </c>
      <c r="G20" s="6">
        <f t="shared" si="1"/>
        <v>0</v>
      </c>
      <c r="H20" s="37" t="str">
        <f>IF(SUM($D$9:D20)&gt;=$F$6,"Finished",IF(SUM($D$9:D20)&gt;=$H$6*COUNT($B$9:B20), "Yes", "No"))</f>
        <v>No</v>
      </c>
      <c r="I20" s="39"/>
      <c r="J20" s="39"/>
      <c r="K20" s="33"/>
      <c r="L20" s="33"/>
      <c r="M20" s="33"/>
      <c r="N20" s="33"/>
      <c r="O20" s="33"/>
      <c r="P20" s="33"/>
      <c r="Q20" s="33"/>
    </row>
    <row r="21" spans="2:21" ht="16" customHeight="1" x14ac:dyDescent="0.2">
      <c r="B21" s="40">
        <f t="shared" si="2"/>
        <v>44932</v>
      </c>
      <c r="C21" s="37">
        <f>COUNTIFS(ReadingList!$B$2:$B$123,"&lt;="&amp;B21, ReadingList!$B$2:$B$123,"&gt;"&amp;B20, ReadingList!$G$2:$G$123, "Abstract") + COUNTIFS(ReadingList!$B$2:$B$123,"&lt;="&amp;B21, ReadingList!$B$2:$B$123,"&gt;"&amp;B20, ReadingList!$G$2:$G$123, "No access")</f>
        <v>0</v>
      </c>
      <c r="D21" s="37">
        <f>COUNTIFS(ReadingList!$B$2:$B$123,"&lt;="&amp;B21, ReadingList!$B$2:$B$123,"&gt;"&amp;B20, ReadingList!$G$2:$G$123, $C$2) + COUNTIFS(ReadingList!$B$2:$B$123,"&lt;="&amp;B21, ReadingList!$B$2:$B$123,"&gt;"&amp;B20, ReadingList!$G$2:$G$123, $D$2) + COUNTIFS(ReadingList!$B$2:$B$123,"&lt;="&amp;B21, ReadingList!$B$2:$B$123,"&gt;"&amp;B20, ReadingList!$G$2:$G$123, $E$2) + COUNTIFS(ReadingList!$B$2:$B$123,"&lt;="&amp;B21, ReadingList!$B$2:$B$123,"&gt;"&amp;B20, ReadingList!$G$2:$G$123, "Body")</f>
        <v>0</v>
      </c>
      <c r="E21" s="37">
        <f>COUNTIFS(ReadingList!$B$2:$B$123,"&lt;="&amp;B21, ReadingList!$B$2:$B$123,"&gt;"&amp;B20,ReadingList!$G$2:$G$123,$C$2) + COUNTIFS(ReadingList!$B$2:$B$123,"&lt;="&amp;B21, ReadingList!$B$2:$B$123,"&gt;"&amp;B20,ReadingList!$G$2:$G$123,$D$2) + COUNTIFS(ReadingList!$B$2:$B$123,"&lt;="&amp;B21, ReadingList!$B$2:$B$123,"&gt;"&amp;B20,ReadingList!$G$2:$G$123,$E$2)</f>
        <v>0</v>
      </c>
      <c r="F21" s="14">
        <f t="shared" si="0"/>
        <v>0</v>
      </c>
      <c r="G21" s="6">
        <f t="shared" si="1"/>
        <v>0</v>
      </c>
      <c r="H21" s="37" t="str">
        <f>IF(SUM($D$9:D21)&gt;=$F$6,"Finished",IF(SUM($D$9:D21)&gt;=$H$6*COUNT($B$9:B21), "Yes", "No"))</f>
        <v>No</v>
      </c>
      <c r="I21" s="39"/>
      <c r="J21" s="39"/>
      <c r="K21" s="33"/>
      <c r="L21" s="33"/>
      <c r="M21" s="33"/>
    </row>
    <row r="22" spans="2:21" ht="16" customHeight="1" x14ac:dyDescent="0.2">
      <c r="B22" s="40">
        <f t="shared" si="2"/>
        <v>44935</v>
      </c>
      <c r="C22" s="37">
        <f>COUNTIFS(ReadingList!$B$2:$B$123,"&lt;="&amp;B22, ReadingList!$B$2:$B$123,"&gt;"&amp;B21, ReadingList!$G$2:$G$123, "Abstract") + COUNTIFS(ReadingList!$B$2:$B$123,"&lt;="&amp;B22, ReadingList!$B$2:$B$123,"&gt;"&amp;B21, ReadingList!$G$2:$G$123, "No access")</f>
        <v>0</v>
      </c>
      <c r="D22" s="37">
        <f>COUNTIFS(ReadingList!$B$2:$B$123,"&lt;="&amp;B22, ReadingList!$B$2:$B$123,"&gt;"&amp;B21, ReadingList!$G$2:$G$123, $C$2) + COUNTIFS(ReadingList!$B$2:$B$123,"&lt;="&amp;B22, ReadingList!$B$2:$B$123,"&gt;"&amp;B21, ReadingList!$G$2:$G$123, $D$2) + COUNTIFS(ReadingList!$B$2:$B$123,"&lt;="&amp;B22, ReadingList!$B$2:$B$123,"&gt;"&amp;B21, ReadingList!$G$2:$G$123, $E$2) + COUNTIFS(ReadingList!$B$2:$B$123,"&lt;="&amp;B22, ReadingList!$B$2:$B$123,"&gt;"&amp;B21, ReadingList!$G$2:$G$123, "Body")</f>
        <v>0</v>
      </c>
      <c r="E22" s="37">
        <f>COUNTIFS(ReadingList!$B$2:$B$123,"&lt;="&amp;B22, ReadingList!$B$2:$B$123,"&gt;"&amp;B21,ReadingList!$G$2:$G$123,$C$2) + COUNTIFS(ReadingList!$B$2:$B$123,"&lt;="&amp;B22, ReadingList!$B$2:$B$123,"&gt;"&amp;B21,ReadingList!$G$2:$G$123,$D$2) + COUNTIFS(ReadingList!$B$2:$B$123,"&lt;="&amp;B22, ReadingList!$B$2:$B$123,"&gt;"&amp;B21,ReadingList!$G$2:$G$123,$E$2)</f>
        <v>0</v>
      </c>
      <c r="F22" s="14">
        <f t="shared" si="0"/>
        <v>0</v>
      </c>
      <c r="G22" s="6">
        <f t="shared" si="1"/>
        <v>0</v>
      </c>
      <c r="H22" s="37" t="str">
        <f>IF(SUM($D$9:D22)&gt;=$F$6,"Finished",IF(SUM($D$9:D22)&gt;=$H$6*COUNT($B$9:B22), "Yes", "No"))</f>
        <v>No</v>
      </c>
      <c r="I22" s="39"/>
      <c r="J22" s="39"/>
      <c r="K22" s="33"/>
      <c r="L22" s="33"/>
      <c r="M22" s="33"/>
    </row>
    <row r="23" spans="2:21" ht="16" customHeight="1" x14ac:dyDescent="0.15">
      <c r="B23" s="40">
        <f t="shared" si="2"/>
        <v>44936</v>
      </c>
      <c r="C23" s="37">
        <f>COUNTIFS(ReadingList!$B$2:$B$123,"&lt;="&amp;B23, ReadingList!$B$2:$B$123,"&gt;"&amp;B22, ReadingList!$G$2:$G$123, "Abstract") + COUNTIFS(ReadingList!$B$2:$B$123,"&lt;="&amp;B23, ReadingList!$B$2:$B$123,"&gt;"&amp;B22, ReadingList!$G$2:$G$123, "No access")</f>
        <v>0</v>
      </c>
      <c r="D23" s="37">
        <f>COUNTIFS(ReadingList!$B$2:$B$123,"&lt;="&amp;B23, ReadingList!$B$2:$B$123,"&gt;"&amp;B22, ReadingList!$G$2:$G$123, $C$2) + COUNTIFS(ReadingList!$B$2:$B$123,"&lt;="&amp;B23, ReadingList!$B$2:$B$123,"&gt;"&amp;B22, ReadingList!$G$2:$G$123, $D$2) + COUNTIFS(ReadingList!$B$2:$B$123,"&lt;="&amp;B23, ReadingList!$B$2:$B$123,"&gt;"&amp;B22, ReadingList!$G$2:$G$123, $E$2) + COUNTIFS(ReadingList!$B$2:$B$123,"&lt;="&amp;B23, ReadingList!$B$2:$B$123,"&gt;"&amp;B22, ReadingList!$G$2:$G$123, "Body")</f>
        <v>0</v>
      </c>
      <c r="E23" s="37">
        <f>COUNTIFS(ReadingList!$B$2:$B$123,"&lt;="&amp;B23, ReadingList!$B$2:$B$123,"&gt;"&amp;B22,ReadingList!$G$2:$G$123,$C$2) + COUNTIFS(ReadingList!$B$2:$B$123,"&lt;="&amp;B23, ReadingList!$B$2:$B$123,"&gt;"&amp;B22,ReadingList!$G$2:$G$123,$D$2) + COUNTIFS(ReadingList!$B$2:$B$123,"&lt;="&amp;B23, ReadingList!$B$2:$B$123,"&gt;"&amp;B22,ReadingList!$G$2:$G$123,$E$2)</f>
        <v>0</v>
      </c>
      <c r="F23" s="14">
        <f t="shared" si="0"/>
        <v>0</v>
      </c>
      <c r="G23" s="6">
        <f t="shared" si="1"/>
        <v>0</v>
      </c>
      <c r="H23" s="37" t="str">
        <f>IF(SUM($D$9:D23)&gt;=$F$6,"Finished",IF(SUM($D$9:D23)&gt;=$H$6*COUNT($B$9:B23), "Yes", "No"))</f>
        <v>No</v>
      </c>
      <c r="I23" s="39"/>
      <c r="J23" s="39"/>
    </row>
    <row r="24" spans="2:21" ht="16" customHeight="1" x14ac:dyDescent="0.15">
      <c r="B24" s="40">
        <f t="shared" si="2"/>
        <v>44937</v>
      </c>
      <c r="C24" s="37">
        <f>COUNTIFS(ReadingList!$B$2:$B$123,"&lt;="&amp;B24, ReadingList!$B$2:$B$123,"&gt;"&amp;B23, ReadingList!$G$2:$G$123, "Abstract") + COUNTIFS(ReadingList!$B$2:$B$123,"&lt;="&amp;B24, ReadingList!$B$2:$B$123,"&gt;"&amp;B23, ReadingList!$G$2:$G$123, "No access")</f>
        <v>0</v>
      </c>
      <c r="D24" s="37">
        <f>COUNTIFS(ReadingList!$B$2:$B$123,"&lt;="&amp;B24, ReadingList!$B$2:$B$123,"&gt;"&amp;B23, ReadingList!$G$2:$G$123, $C$2) + COUNTIFS(ReadingList!$B$2:$B$123,"&lt;="&amp;B24, ReadingList!$B$2:$B$123,"&gt;"&amp;B23, ReadingList!$G$2:$G$123, $D$2) + COUNTIFS(ReadingList!$B$2:$B$123,"&lt;="&amp;B24, ReadingList!$B$2:$B$123,"&gt;"&amp;B23, ReadingList!$G$2:$G$123, $E$2) + COUNTIFS(ReadingList!$B$2:$B$123,"&lt;="&amp;B24, ReadingList!$B$2:$B$123,"&gt;"&amp;B23, ReadingList!$G$2:$G$123, "Body")</f>
        <v>0</v>
      </c>
      <c r="E24" s="37">
        <f>COUNTIFS(ReadingList!$B$2:$B$123,"&lt;="&amp;B24, ReadingList!$B$2:$B$123,"&gt;"&amp;B23,ReadingList!$G$2:$G$123,$C$2) + COUNTIFS(ReadingList!$B$2:$B$123,"&lt;="&amp;B24, ReadingList!$B$2:$B$123,"&gt;"&amp;B23,ReadingList!$G$2:$G$123,$D$2) + COUNTIFS(ReadingList!$B$2:$B$123,"&lt;="&amp;B24, ReadingList!$B$2:$B$123,"&gt;"&amp;B23,ReadingList!$G$2:$G$123,$E$2)</f>
        <v>0</v>
      </c>
      <c r="F24" s="14">
        <f t="shared" si="0"/>
        <v>0</v>
      </c>
      <c r="G24" s="6">
        <f t="shared" si="1"/>
        <v>0</v>
      </c>
      <c r="H24" s="37" t="str">
        <f>IF(SUM($D$9:D24)&gt;=$F$6,"Finished",IF(SUM($D$9:D24)&gt;=$H$6*COUNT($B$9:B24), "Yes", "No"))</f>
        <v>No</v>
      </c>
      <c r="I24" s="39"/>
      <c r="J24" s="39"/>
    </row>
    <row r="25" spans="2:21" ht="16" customHeight="1" x14ac:dyDescent="0.15">
      <c r="B25" s="40">
        <f t="shared" si="2"/>
        <v>44938</v>
      </c>
      <c r="C25" s="37">
        <f>COUNTIFS(ReadingList!$B$2:$B$123,"&lt;="&amp;B25, ReadingList!$B$2:$B$123,"&gt;"&amp;B24, ReadingList!$G$2:$G$123, "Abstract") + COUNTIFS(ReadingList!$B$2:$B$123,"&lt;="&amp;B25, ReadingList!$B$2:$B$123,"&gt;"&amp;B24, ReadingList!$G$2:$G$123, "No access")</f>
        <v>0</v>
      </c>
      <c r="D25" s="37">
        <f>COUNTIFS(ReadingList!$B$2:$B$123,"&lt;="&amp;B25, ReadingList!$B$2:$B$123,"&gt;"&amp;B24, ReadingList!$G$2:$G$123, $C$2) + COUNTIFS(ReadingList!$B$2:$B$123,"&lt;="&amp;B25, ReadingList!$B$2:$B$123,"&gt;"&amp;B24, ReadingList!$G$2:$G$123, $D$2) + COUNTIFS(ReadingList!$B$2:$B$123,"&lt;="&amp;B25, ReadingList!$B$2:$B$123,"&gt;"&amp;B24, ReadingList!$G$2:$G$123, $E$2) + COUNTIFS(ReadingList!$B$2:$B$123,"&lt;="&amp;B25, ReadingList!$B$2:$B$123,"&gt;"&amp;B24, ReadingList!$G$2:$G$123, "Body")</f>
        <v>0</v>
      </c>
      <c r="E25" s="37">
        <f>COUNTIFS(ReadingList!$B$2:$B$123,"&lt;="&amp;B25, ReadingList!$B$2:$B$123,"&gt;"&amp;B24,ReadingList!$G$2:$G$123,$C$2) + COUNTIFS(ReadingList!$B$2:$B$123,"&lt;="&amp;B25, ReadingList!$B$2:$B$123,"&gt;"&amp;B24,ReadingList!$G$2:$G$123,$D$2) + COUNTIFS(ReadingList!$B$2:$B$123,"&lt;="&amp;B25, ReadingList!$B$2:$B$123,"&gt;"&amp;B24,ReadingList!$G$2:$G$123,$E$2)</f>
        <v>0</v>
      </c>
      <c r="F25" s="14">
        <f t="shared" si="0"/>
        <v>0</v>
      </c>
      <c r="G25" s="6">
        <f t="shared" si="1"/>
        <v>0</v>
      </c>
      <c r="H25" s="37" t="str">
        <f>IF(SUM($D$9:D25)&gt;=$F$6,"Finished",IF(SUM($D$9:D25)&gt;=$H$6*COUNT($B$9:B25), "Yes", "No"))</f>
        <v>No</v>
      </c>
      <c r="I25" s="39"/>
      <c r="J25" s="39"/>
    </row>
    <row r="26" spans="2:21" ht="16" customHeight="1" x14ac:dyDescent="0.15">
      <c r="B26" s="40">
        <f t="shared" si="2"/>
        <v>44939</v>
      </c>
      <c r="C26" s="37">
        <f>COUNTIFS(ReadingList!$B$2:$B$123,"&lt;="&amp;B26, ReadingList!$B$2:$B$123,"&gt;"&amp;B25, ReadingList!$G$2:$G$123, "Abstract") + COUNTIFS(ReadingList!$B$2:$B$123,"&lt;="&amp;B26, ReadingList!$B$2:$B$123,"&gt;"&amp;B25, ReadingList!$G$2:$G$123, "No access")</f>
        <v>0</v>
      </c>
      <c r="D26" s="37">
        <f>COUNTIFS(ReadingList!$B$2:$B$123,"&lt;="&amp;B26, ReadingList!$B$2:$B$123,"&gt;"&amp;B25, ReadingList!$G$2:$G$123, $C$2) + COUNTIFS(ReadingList!$B$2:$B$123,"&lt;="&amp;B26, ReadingList!$B$2:$B$123,"&gt;"&amp;B25, ReadingList!$G$2:$G$123, $D$2) + COUNTIFS(ReadingList!$B$2:$B$123,"&lt;="&amp;B26, ReadingList!$B$2:$B$123,"&gt;"&amp;B25, ReadingList!$G$2:$G$123, $E$2) + COUNTIFS(ReadingList!$B$2:$B$123,"&lt;="&amp;B26, ReadingList!$B$2:$B$123,"&gt;"&amp;B25, ReadingList!$G$2:$G$123, "Body")</f>
        <v>0</v>
      </c>
      <c r="E26" s="37">
        <f>COUNTIFS(ReadingList!$B$2:$B$123,"&lt;="&amp;B26, ReadingList!$B$2:$B$123,"&gt;"&amp;B25,ReadingList!$G$2:$G$123,$C$2) + COUNTIFS(ReadingList!$B$2:$B$123,"&lt;="&amp;B26, ReadingList!$B$2:$B$123,"&gt;"&amp;B25,ReadingList!$G$2:$G$123,$D$2) + COUNTIFS(ReadingList!$B$2:$B$123,"&lt;="&amp;B26, ReadingList!$B$2:$B$123,"&gt;"&amp;B25,ReadingList!$G$2:$G$123,$E$2)</f>
        <v>0</v>
      </c>
      <c r="F26" s="14">
        <f t="shared" si="0"/>
        <v>0</v>
      </c>
      <c r="G26" s="6">
        <f t="shared" si="1"/>
        <v>0</v>
      </c>
      <c r="H26" s="37" t="str">
        <f>IF(SUM($D$9:D26)&gt;=$F$6,"Finished",IF(SUM($D$9:D26)&gt;=$H$6*COUNT($B$9:B26), "Yes", "No"))</f>
        <v>No</v>
      </c>
      <c r="I26" s="39"/>
      <c r="J26" s="39"/>
    </row>
    <row r="27" spans="2:21" ht="16" customHeight="1" x14ac:dyDescent="0.15">
      <c r="B27" s="40">
        <f t="shared" si="2"/>
        <v>44942</v>
      </c>
      <c r="C27" s="37">
        <f>COUNTIFS(ReadingList!$B$2:$B$123,"&lt;="&amp;B27, ReadingList!$B$2:$B$123,"&gt;"&amp;B26, ReadingList!$G$2:$G$123, "Abstract") + COUNTIFS(ReadingList!$B$2:$B$123,"&lt;="&amp;B27, ReadingList!$B$2:$B$123,"&gt;"&amp;B26, ReadingList!$G$2:$G$123, "No access")</f>
        <v>0</v>
      </c>
      <c r="D27" s="37">
        <f>COUNTIFS(ReadingList!$B$2:$B$123,"&lt;="&amp;B27, ReadingList!$B$2:$B$123,"&gt;"&amp;B26, ReadingList!$G$2:$G$123, $C$2) + COUNTIFS(ReadingList!$B$2:$B$123,"&lt;="&amp;B27, ReadingList!$B$2:$B$123,"&gt;"&amp;B26, ReadingList!$G$2:$G$123, $D$2) + COUNTIFS(ReadingList!$B$2:$B$123,"&lt;="&amp;B27, ReadingList!$B$2:$B$123,"&gt;"&amp;B26, ReadingList!$G$2:$G$123, $E$2) + COUNTIFS(ReadingList!$B$2:$B$123,"&lt;="&amp;B27, ReadingList!$B$2:$B$123,"&gt;"&amp;B26, ReadingList!$G$2:$G$123, "Body")</f>
        <v>0</v>
      </c>
      <c r="E27" s="37">
        <f>COUNTIFS(ReadingList!$B$2:$B$123,"&lt;="&amp;B27, ReadingList!$B$2:$B$123,"&gt;"&amp;B26,ReadingList!$G$2:$G$123,$C$2) + COUNTIFS(ReadingList!$B$2:$B$123,"&lt;="&amp;B27, ReadingList!$B$2:$B$123,"&gt;"&amp;B26,ReadingList!$G$2:$G$123,$D$2) + COUNTIFS(ReadingList!$B$2:$B$123,"&lt;="&amp;B27, ReadingList!$B$2:$B$123,"&gt;"&amp;B26,ReadingList!$G$2:$G$123,$E$2)</f>
        <v>0</v>
      </c>
      <c r="F27" s="14">
        <f t="shared" si="0"/>
        <v>0</v>
      </c>
      <c r="G27" s="6">
        <f t="shared" si="1"/>
        <v>0</v>
      </c>
      <c r="H27" s="37" t="str">
        <f>IF(SUM($D$9:D27)&gt;=$F$6,"Finished",IF(SUM($D$9:D27)&gt;=$H$6*COUNT($B$9:B27), "Yes", "No"))</f>
        <v>No</v>
      </c>
      <c r="I27" s="39"/>
      <c r="J27" s="39"/>
    </row>
    <row r="28" spans="2:21" ht="16" customHeight="1" x14ac:dyDescent="0.15">
      <c r="B28" s="40">
        <f t="shared" si="2"/>
        <v>44943</v>
      </c>
      <c r="C28" s="37">
        <f>COUNTIFS(ReadingList!$B$2:$B$123,"&lt;="&amp;B28, ReadingList!$B$2:$B$123,"&gt;"&amp;B27, ReadingList!$G$2:$G$123, "Abstract") + COUNTIFS(ReadingList!$B$2:$B$123,"&lt;="&amp;B28, ReadingList!$B$2:$B$123,"&gt;"&amp;B27, ReadingList!$G$2:$G$123, "No access")</f>
        <v>0</v>
      </c>
      <c r="D28" s="37">
        <f>COUNTIFS(ReadingList!$B$2:$B$123,"&lt;="&amp;B28, ReadingList!$B$2:$B$123,"&gt;"&amp;B27, ReadingList!$G$2:$G$123, $C$2) + COUNTIFS(ReadingList!$B$2:$B$123,"&lt;="&amp;B28, ReadingList!$B$2:$B$123,"&gt;"&amp;B27, ReadingList!$G$2:$G$123, $D$2) + COUNTIFS(ReadingList!$B$2:$B$123,"&lt;="&amp;B28, ReadingList!$B$2:$B$123,"&gt;"&amp;B27, ReadingList!$G$2:$G$123, $E$2) + COUNTIFS(ReadingList!$B$2:$B$123,"&lt;="&amp;B28, ReadingList!$B$2:$B$123,"&gt;"&amp;B27, ReadingList!$G$2:$G$123, "Body")</f>
        <v>0</v>
      </c>
      <c r="E28" s="37">
        <f>COUNTIFS(ReadingList!$B$2:$B$123,"&lt;="&amp;B28, ReadingList!$B$2:$B$123,"&gt;"&amp;B27,ReadingList!$G$2:$G$123,$C$2) + COUNTIFS(ReadingList!$B$2:$B$123,"&lt;="&amp;B28, ReadingList!$B$2:$B$123,"&gt;"&amp;B27,ReadingList!$G$2:$G$123,$D$2) + COUNTIFS(ReadingList!$B$2:$B$123,"&lt;="&amp;B28, ReadingList!$B$2:$B$123,"&gt;"&amp;B27,ReadingList!$G$2:$G$123,$E$2)</f>
        <v>0</v>
      </c>
      <c r="F28" s="14">
        <f t="shared" si="0"/>
        <v>0</v>
      </c>
      <c r="G28" s="6">
        <f t="shared" si="1"/>
        <v>0</v>
      </c>
      <c r="H28" s="37" t="str">
        <f>IF(SUM($D$9:D28)&gt;=$F$6,"Finished",IF(SUM($D$9:D28)&gt;=$H$6*COUNT($B$9:B28), "Yes", "No"))</f>
        <v>No</v>
      </c>
      <c r="I28" s="39"/>
      <c r="J28" s="39"/>
    </row>
    <row r="29" spans="2:21" ht="16" customHeight="1" x14ac:dyDescent="0.15">
      <c r="B29" s="40">
        <f t="shared" si="2"/>
        <v>44944</v>
      </c>
      <c r="C29" s="37">
        <f>COUNTIFS(ReadingList!$B$2:$B$123,"&lt;="&amp;B29, ReadingList!$B$2:$B$123,"&gt;"&amp;B28, ReadingList!$G$2:$G$123, "Abstract") + COUNTIFS(ReadingList!$B$2:$B$123,"&lt;="&amp;B29, ReadingList!$B$2:$B$123,"&gt;"&amp;B28, ReadingList!$G$2:$G$123, "No access")</f>
        <v>0</v>
      </c>
      <c r="D29" s="37">
        <f>COUNTIFS(ReadingList!$B$2:$B$123,"&lt;="&amp;B29, ReadingList!$B$2:$B$123,"&gt;"&amp;B28, ReadingList!$G$2:$G$123, $C$2) + COUNTIFS(ReadingList!$B$2:$B$123,"&lt;="&amp;B29, ReadingList!$B$2:$B$123,"&gt;"&amp;B28, ReadingList!$G$2:$G$123, $D$2) + COUNTIFS(ReadingList!$B$2:$B$123,"&lt;="&amp;B29, ReadingList!$B$2:$B$123,"&gt;"&amp;B28, ReadingList!$G$2:$G$123, $E$2) + COUNTIFS(ReadingList!$B$2:$B$123,"&lt;="&amp;B29, ReadingList!$B$2:$B$123,"&gt;"&amp;B28, ReadingList!$G$2:$G$123, "Body")</f>
        <v>0</v>
      </c>
      <c r="E29" s="37">
        <f>COUNTIFS(ReadingList!$B$2:$B$123,"&lt;="&amp;B29, ReadingList!$B$2:$B$123,"&gt;"&amp;B28,ReadingList!$G$2:$G$123,$C$2) + COUNTIFS(ReadingList!$B$2:$B$123,"&lt;="&amp;B29, ReadingList!$B$2:$B$123,"&gt;"&amp;B28,ReadingList!$G$2:$G$123,$D$2) + COUNTIFS(ReadingList!$B$2:$B$123,"&lt;="&amp;B29, ReadingList!$B$2:$B$123,"&gt;"&amp;B28,ReadingList!$G$2:$G$123,$E$2)</f>
        <v>0</v>
      </c>
      <c r="F29" s="14">
        <f t="shared" si="0"/>
        <v>0</v>
      </c>
      <c r="G29" s="6">
        <f t="shared" si="1"/>
        <v>0</v>
      </c>
      <c r="H29" s="37" t="str">
        <f>IF(SUM($D$9:D29)&gt;=$F$6,"Finished",IF(SUM($D$9:D29)&gt;=$H$6*COUNT($B$9:B29), "Yes", "No"))</f>
        <v>No</v>
      </c>
      <c r="I29" s="39"/>
      <c r="J29" s="39"/>
    </row>
    <row r="30" spans="2:21" ht="16" customHeight="1" x14ac:dyDescent="0.15">
      <c r="B30" s="40">
        <f t="shared" si="2"/>
        <v>44945</v>
      </c>
      <c r="C30" s="37">
        <f>COUNTIFS(ReadingList!$B$2:$B$123,"&lt;="&amp;B30, ReadingList!$B$2:$B$123,"&gt;"&amp;B29, ReadingList!$G$2:$G$123, "Abstract") + COUNTIFS(ReadingList!$B$2:$B$123,"&lt;="&amp;B30, ReadingList!$B$2:$B$123,"&gt;"&amp;B29, ReadingList!$G$2:$G$123, "No access")</f>
        <v>0</v>
      </c>
      <c r="D30" s="37">
        <f>COUNTIFS(ReadingList!$B$2:$B$123,"&lt;="&amp;B30, ReadingList!$B$2:$B$123,"&gt;"&amp;B29, ReadingList!$G$2:$G$123, $C$2) + COUNTIFS(ReadingList!$B$2:$B$123,"&lt;="&amp;B30, ReadingList!$B$2:$B$123,"&gt;"&amp;B29, ReadingList!$G$2:$G$123, $D$2) + COUNTIFS(ReadingList!$B$2:$B$123,"&lt;="&amp;B30, ReadingList!$B$2:$B$123,"&gt;"&amp;B29, ReadingList!$G$2:$G$123, $E$2) + COUNTIFS(ReadingList!$B$2:$B$123,"&lt;="&amp;B30, ReadingList!$B$2:$B$123,"&gt;"&amp;B29, ReadingList!$G$2:$G$123, "Body")</f>
        <v>0</v>
      </c>
      <c r="E30" s="37">
        <f>COUNTIFS(ReadingList!$B$2:$B$123,"&lt;="&amp;B30, ReadingList!$B$2:$B$123,"&gt;"&amp;B29,ReadingList!$G$2:$G$123,$C$2) + COUNTIFS(ReadingList!$B$2:$B$123,"&lt;="&amp;B30, ReadingList!$B$2:$B$123,"&gt;"&amp;B29,ReadingList!$G$2:$G$123,$D$2) + COUNTIFS(ReadingList!$B$2:$B$123,"&lt;="&amp;B30, ReadingList!$B$2:$B$123,"&gt;"&amp;B29,ReadingList!$G$2:$G$123,$E$2)</f>
        <v>0</v>
      </c>
      <c r="F30" s="14">
        <f t="shared" si="0"/>
        <v>0</v>
      </c>
      <c r="G30" s="6">
        <f t="shared" si="1"/>
        <v>0</v>
      </c>
      <c r="H30" s="37" t="str">
        <f>IF(SUM($D$9:D30)&gt;=$F$6,"Finished",IF(SUM($D$9:D30)&gt;=$H$6*COUNT($B$9:B30), "Yes", "No"))</f>
        <v>No</v>
      </c>
      <c r="I30" s="39"/>
      <c r="J30" s="39"/>
    </row>
    <row r="31" spans="2:21" ht="16" customHeight="1" x14ac:dyDescent="0.15">
      <c r="B31" s="40">
        <f t="shared" si="2"/>
        <v>44946</v>
      </c>
      <c r="C31" s="37">
        <f>COUNTIFS(ReadingList!$B$2:$B$123,"&lt;="&amp;B31, ReadingList!$B$2:$B$123,"&gt;"&amp;B30, ReadingList!$G$2:$G$123, "Abstract") + COUNTIFS(ReadingList!$B$2:$B$123,"&lt;="&amp;B31, ReadingList!$B$2:$B$123,"&gt;"&amp;B30, ReadingList!$G$2:$G$123, "No access")</f>
        <v>0</v>
      </c>
      <c r="D31" s="37">
        <f>COUNTIFS(ReadingList!$B$2:$B$123,"&lt;="&amp;B31, ReadingList!$B$2:$B$123,"&gt;"&amp;B30, ReadingList!$G$2:$G$123, $C$2) + COUNTIFS(ReadingList!$B$2:$B$123,"&lt;="&amp;B31, ReadingList!$B$2:$B$123,"&gt;"&amp;B30, ReadingList!$G$2:$G$123, $D$2) + COUNTIFS(ReadingList!$B$2:$B$123,"&lt;="&amp;B31, ReadingList!$B$2:$B$123,"&gt;"&amp;B30, ReadingList!$G$2:$G$123, $E$2) + COUNTIFS(ReadingList!$B$2:$B$123,"&lt;="&amp;B31, ReadingList!$B$2:$B$123,"&gt;"&amp;B30, ReadingList!$G$2:$G$123, "Body")</f>
        <v>0</v>
      </c>
      <c r="E31" s="37">
        <f>COUNTIFS(ReadingList!$B$2:$B$123,"&lt;="&amp;B31, ReadingList!$B$2:$B$123,"&gt;"&amp;B30,ReadingList!$G$2:$G$123,$C$2) + COUNTIFS(ReadingList!$B$2:$B$123,"&lt;="&amp;B31, ReadingList!$B$2:$B$123,"&gt;"&amp;B30,ReadingList!$G$2:$G$123,$D$2) + COUNTIFS(ReadingList!$B$2:$B$123,"&lt;="&amp;B31, ReadingList!$B$2:$B$123,"&gt;"&amp;B30,ReadingList!$G$2:$G$123,$E$2)</f>
        <v>0</v>
      </c>
      <c r="F31" s="14">
        <f t="shared" si="0"/>
        <v>0</v>
      </c>
      <c r="G31" s="6">
        <f t="shared" si="1"/>
        <v>0</v>
      </c>
      <c r="H31" s="37" t="str">
        <f>IF(SUM($D$9:D31)&gt;=$F$6,"Finished",IF(SUM($D$9:D31)&gt;=$H$6*COUNT($B$9:B31), "Yes", "No"))</f>
        <v>No</v>
      </c>
      <c r="I31" s="39"/>
      <c r="J31" s="39"/>
    </row>
    <row r="32" spans="2:21" ht="16" customHeight="1" x14ac:dyDescent="0.15">
      <c r="B32" s="40">
        <f t="shared" si="2"/>
        <v>44949</v>
      </c>
      <c r="C32" s="37">
        <f>COUNTIFS(ReadingList!$B$2:$B$123,"&lt;="&amp;B32, ReadingList!$B$2:$B$123,"&gt;"&amp;B31, ReadingList!$G$2:$G$123, "Abstract") + COUNTIFS(ReadingList!$B$2:$B$123,"&lt;="&amp;B32, ReadingList!$B$2:$B$123,"&gt;"&amp;B31, ReadingList!$G$2:$G$123, "No access")</f>
        <v>0</v>
      </c>
      <c r="D32" s="37">
        <f>COUNTIFS(ReadingList!$B$2:$B$123,"&lt;="&amp;B32, ReadingList!$B$2:$B$123,"&gt;"&amp;B31, ReadingList!$G$2:$G$123, $C$2) + COUNTIFS(ReadingList!$B$2:$B$123,"&lt;="&amp;B32, ReadingList!$B$2:$B$123,"&gt;"&amp;B31, ReadingList!$G$2:$G$123, $D$2) + COUNTIFS(ReadingList!$B$2:$B$123,"&lt;="&amp;B32, ReadingList!$B$2:$B$123,"&gt;"&amp;B31, ReadingList!$G$2:$G$123, $E$2) + COUNTIFS(ReadingList!$B$2:$B$123,"&lt;="&amp;B32, ReadingList!$B$2:$B$123,"&gt;"&amp;B31, ReadingList!$G$2:$G$123, "Body")</f>
        <v>0</v>
      </c>
      <c r="E32" s="37">
        <f>COUNTIFS(ReadingList!$B$2:$B$123,"&lt;="&amp;B32, ReadingList!$B$2:$B$123,"&gt;"&amp;B31,ReadingList!$G$2:$G$123,$C$2) + COUNTIFS(ReadingList!$B$2:$B$123,"&lt;="&amp;B32, ReadingList!$B$2:$B$123,"&gt;"&amp;B31,ReadingList!$G$2:$G$123,$D$2) + COUNTIFS(ReadingList!$B$2:$B$123,"&lt;="&amp;B32, ReadingList!$B$2:$B$123,"&gt;"&amp;B31,ReadingList!$G$2:$G$123,$E$2)</f>
        <v>0</v>
      </c>
      <c r="F32" s="14">
        <f t="shared" si="0"/>
        <v>0</v>
      </c>
      <c r="G32" s="6">
        <f t="shared" si="1"/>
        <v>0</v>
      </c>
      <c r="H32" s="37" t="str">
        <f>IF(SUM($D$9:D32)&gt;=$F$6,"Finished",IF(SUM($D$9:D32)&gt;=$H$6*COUNT($B$9:B32), "Yes", "No"))</f>
        <v>No</v>
      </c>
      <c r="I32" s="39"/>
      <c r="J32" s="39"/>
    </row>
    <row r="33" spans="2:10" ht="16" customHeight="1" x14ac:dyDescent="0.15">
      <c r="B33" s="40">
        <f t="shared" si="2"/>
        <v>44950</v>
      </c>
      <c r="C33" s="37">
        <f>COUNTIFS(ReadingList!$B$2:$B$123,"&lt;="&amp;B33, ReadingList!$B$2:$B$123,"&gt;"&amp;B32, ReadingList!$G$2:$G$123, "Abstract") + COUNTIFS(ReadingList!$B$2:$B$123,"&lt;="&amp;B33, ReadingList!$B$2:$B$123,"&gt;"&amp;B32, ReadingList!$G$2:$G$123, "No access")</f>
        <v>0</v>
      </c>
      <c r="D33" s="37">
        <f>COUNTIFS(ReadingList!$B$2:$B$123,"&lt;="&amp;B33, ReadingList!$B$2:$B$123,"&gt;"&amp;B32, ReadingList!$G$2:$G$123, $C$2) + COUNTIFS(ReadingList!$B$2:$B$123,"&lt;="&amp;B33, ReadingList!$B$2:$B$123,"&gt;"&amp;B32, ReadingList!$G$2:$G$123, $D$2) + COUNTIFS(ReadingList!$B$2:$B$123,"&lt;="&amp;B33, ReadingList!$B$2:$B$123,"&gt;"&amp;B32, ReadingList!$G$2:$G$123, $E$2) + COUNTIFS(ReadingList!$B$2:$B$123,"&lt;="&amp;B33, ReadingList!$B$2:$B$123,"&gt;"&amp;B32, ReadingList!$G$2:$G$123, "Body")</f>
        <v>0</v>
      </c>
      <c r="E33" s="37">
        <f>COUNTIFS(ReadingList!$B$2:$B$123,"&lt;="&amp;B33, ReadingList!$B$2:$B$123,"&gt;"&amp;B32,ReadingList!$G$2:$G$123,$C$2) + COUNTIFS(ReadingList!$B$2:$B$123,"&lt;="&amp;B33, ReadingList!$B$2:$B$123,"&gt;"&amp;B32,ReadingList!$G$2:$G$123,$D$2) + COUNTIFS(ReadingList!$B$2:$B$123,"&lt;="&amp;B33, ReadingList!$B$2:$B$123,"&gt;"&amp;B32,ReadingList!$G$2:$G$123,$E$2)</f>
        <v>0</v>
      </c>
      <c r="F33" s="14">
        <f t="shared" si="0"/>
        <v>0</v>
      </c>
      <c r="G33" s="6">
        <f t="shared" si="1"/>
        <v>0</v>
      </c>
      <c r="H33" s="37" t="str">
        <f>IF(SUM($D$9:D33)&gt;=$F$6,"Finished",IF(SUM($D$9:D33)&gt;=$H$6*COUNT($B$9:B33), "Yes", "No"))</f>
        <v>No</v>
      </c>
      <c r="I33" s="39"/>
      <c r="J33" s="39"/>
    </row>
    <row r="34" spans="2:10" ht="16" customHeight="1" x14ac:dyDescent="0.15">
      <c r="B34" s="42"/>
    </row>
  </sheetData>
  <mergeCells count="3">
    <mergeCell ref="C5:D5"/>
    <mergeCell ref="C1:E1"/>
    <mergeCell ref="K1:N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A1:L15"/>
  <sheetViews>
    <sheetView zoomScale="108" workbookViewId="0"/>
  </sheetViews>
  <sheetFormatPr baseColWidth="10" defaultRowHeight="16" x14ac:dyDescent="0.2"/>
  <cols>
    <col min="1" max="1" width="5" customWidth="1"/>
    <col min="2" max="2" width="2.1640625" bestFit="1" customWidth="1"/>
    <col min="3" max="3" width="23.6640625" bestFit="1" customWidth="1"/>
    <col min="4" max="4" width="22.6640625" bestFit="1" customWidth="1"/>
    <col min="5" max="5" width="15.6640625" bestFit="1" customWidth="1"/>
    <col min="6" max="6" width="27.5" bestFit="1" customWidth="1"/>
    <col min="7" max="7" width="12.33203125" bestFit="1" customWidth="1"/>
    <col min="8" max="8" width="13.5" bestFit="1" customWidth="1"/>
    <col min="11" max="11" width="18.6640625" bestFit="1" customWidth="1"/>
  </cols>
  <sheetData>
    <row r="1" spans="1:12" x14ac:dyDescent="0.2">
      <c r="A1" s="19"/>
      <c r="B1" s="19"/>
      <c r="C1" s="19"/>
      <c r="D1" s="19"/>
      <c r="E1" s="19"/>
      <c r="F1" s="19"/>
      <c r="G1" s="19"/>
      <c r="H1" s="19"/>
      <c r="I1" s="19"/>
      <c r="J1" s="19"/>
      <c r="K1" s="19"/>
      <c r="L1" s="19"/>
    </row>
    <row r="2" spans="1:12" x14ac:dyDescent="0.2">
      <c r="A2" s="19"/>
      <c r="B2" s="19"/>
      <c r="C2" s="19"/>
      <c r="D2" s="19"/>
      <c r="E2" s="20"/>
      <c r="F2" s="20"/>
      <c r="G2" s="19"/>
      <c r="H2" s="31" t="s">
        <v>884</v>
      </c>
      <c r="I2" s="31"/>
      <c r="J2" s="31"/>
      <c r="K2" s="31"/>
      <c r="L2" s="19"/>
    </row>
    <row r="3" spans="1:12" x14ac:dyDescent="0.2">
      <c r="A3" s="19"/>
      <c r="B3" s="19"/>
      <c r="C3" s="19"/>
      <c r="D3" s="19"/>
      <c r="E3" s="20"/>
      <c r="F3" s="20"/>
      <c r="G3" s="19"/>
      <c r="H3" s="21" t="s">
        <v>889</v>
      </c>
      <c r="I3" s="21" t="s">
        <v>303</v>
      </c>
      <c r="J3" s="21" t="s">
        <v>377</v>
      </c>
      <c r="K3" s="21" t="s">
        <v>890</v>
      </c>
      <c r="L3" s="19"/>
    </row>
    <row r="4" spans="1:12" x14ac:dyDescent="0.2">
      <c r="A4" s="19"/>
      <c r="B4" s="22">
        <v>1</v>
      </c>
      <c r="C4" s="22" t="s">
        <v>874</v>
      </c>
      <c r="D4" s="23" t="s">
        <v>0</v>
      </c>
      <c r="E4" s="23" t="s">
        <v>36</v>
      </c>
      <c r="F4" s="23" t="s">
        <v>138</v>
      </c>
      <c r="G4" s="23"/>
      <c r="H4" s="24">
        <v>18300</v>
      </c>
      <c r="I4" s="24">
        <v>5607</v>
      </c>
      <c r="J4" s="24">
        <v>88992</v>
      </c>
      <c r="K4" s="24">
        <v>38348</v>
      </c>
      <c r="L4" s="19"/>
    </row>
    <row r="5" spans="1:12" x14ac:dyDescent="0.2">
      <c r="A5" s="19"/>
      <c r="B5" s="19"/>
      <c r="C5" s="19"/>
      <c r="D5" s="19" t="s">
        <v>35</v>
      </c>
      <c r="E5" s="19" t="s">
        <v>891</v>
      </c>
      <c r="F5" s="29" t="s">
        <v>893</v>
      </c>
      <c r="G5" s="29" t="s">
        <v>883</v>
      </c>
      <c r="H5" s="25"/>
      <c r="I5" s="25"/>
      <c r="J5" s="25"/>
      <c r="K5" s="25"/>
      <c r="L5" s="19"/>
    </row>
    <row r="6" spans="1:12" x14ac:dyDescent="0.2">
      <c r="A6" s="19"/>
      <c r="B6" s="26"/>
      <c r="C6" s="26"/>
      <c r="D6" s="26"/>
      <c r="E6" s="26" t="s">
        <v>892</v>
      </c>
      <c r="F6" s="30"/>
      <c r="G6" s="30"/>
      <c r="H6" s="27">
        <v>10400</v>
      </c>
      <c r="I6" s="27">
        <v>27</v>
      </c>
      <c r="J6" s="27">
        <v>53</v>
      </c>
      <c r="K6" s="27">
        <v>59</v>
      </c>
      <c r="L6" s="19"/>
    </row>
    <row r="7" spans="1:12" x14ac:dyDescent="0.2">
      <c r="A7" s="19"/>
      <c r="B7" s="19">
        <v>2</v>
      </c>
      <c r="C7" s="19" t="s">
        <v>877</v>
      </c>
      <c r="D7" s="19" t="s">
        <v>878</v>
      </c>
      <c r="E7" s="19" t="s">
        <v>875</v>
      </c>
      <c r="F7" s="19"/>
      <c r="G7" s="19"/>
      <c r="H7" s="25"/>
      <c r="I7" s="25"/>
      <c r="J7" s="25"/>
      <c r="K7" s="25"/>
      <c r="L7" s="19"/>
    </row>
    <row r="8" spans="1:12" x14ac:dyDescent="0.2">
      <c r="A8" s="19"/>
      <c r="B8" s="19"/>
      <c r="C8" s="19"/>
      <c r="D8" s="26"/>
      <c r="E8" s="26" t="s">
        <v>876</v>
      </c>
      <c r="F8" s="26"/>
      <c r="G8" s="26"/>
      <c r="H8" s="27">
        <v>7780</v>
      </c>
      <c r="I8" s="27">
        <v>27</v>
      </c>
      <c r="J8" s="27">
        <v>53</v>
      </c>
      <c r="K8" s="27">
        <v>58</v>
      </c>
      <c r="L8" s="19"/>
    </row>
    <row r="9" spans="1:12" x14ac:dyDescent="0.2">
      <c r="A9" s="19"/>
      <c r="B9" s="19"/>
      <c r="C9" s="19"/>
      <c r="D9" s="19" t="s">
        <v>935</v>
      </c>
      <c r="E9" s="19" t="s">
        <v>879</v>
      </c>
      <c r="F9" s="19" t="s">
        <v>880</v>
      </c>
      <c r="G9" s="19"/>
      <c r="H9" s="25">
        <v>150</v>
      </c>
      <c r="I9" s="25">
        <v>18</v>
      </c>
      <c r="J9" s="25">
        <v>30</v>
      </c>
      <c r="K9" s="25">
        <v>26</v>
      </c>
      <c r="L9" s="19"/>
    </row>
    <row r="10" spans="1:12" x14ac:dyDescent="0.2">
      <c r="A10" s="19"/>
      <c r="B10" s="22">
        <v>3</v>
      </c>
      <c r="C10" s="22" t="s">
        <v>881</v>
      </c>
      <c r="D10" s="22" t="s">
        <v>882</v>
      </c>
      <c r="E10" s="22"/>
      <c r="F10" s="22"/>
      <c r="G10" s="22"/>
      <c r="H10" s="28"/>
      <c r="I10" s="28"/>
      <c r="J10" s="28"/>
      <c r="K10" s="28"/>
      <c r="L10" s="19"/>
    </row>
    <row r="11" spans="1:12" x14ac:dyDescent="0.2">
      <c r="A11" s="19"/>
      <c r="B11" s="26"/>
      <c r="C11" s="26"/>
      <c r="D11" s="26" t="s">
        <v>127</v>
      </c>
      <c r="E11" s="26"/>
      <c r="F11" s="26"/>
      <c r="G11" s="26"/>
      <c r="H11" s="27">
        <f>SUM(H12:H14)</f>
        <v>1</v>
      </c>
      <c r="I11" s="27">
        <f t="shared" ref="I11:K11" si="0">SUM(I12:I14)</f>
        <v>1</v>
      </c>
      <c r="J11" s="27">
        <f t="shared" si="0"/>
        <v>0</v>
      </c>
      <c r="K11" s="27">
        <f t="shared" si="0"/>
        <v>0</v>
      </c>
      <c r="L11" s="19"/>
    </row>
    <row r="12" spans="1:12" x14ac:dyDescent="0.2">
      <c r="A12" s="19"/>
      <c r="B12" s="19">
        <v>4</v>
      </c>
      <c r="C12" s="19" t="s">
        <v>888</v>
      </c>
      <c r="D12" s="19"/>
      <c r="E12" s="19"/>
      <c r="F12" s="23" t="s">
        <v>885</v>
      </c>
      <c r="G12" s="23"/>
      <c r="H12" s="23">
        <f>COUNTIFS(ReadingList!$G$2:$G$128,"SingleProblem",ReadingList!$N$2:$N$128,"GoogleScholar")</f>
        <v>0</v>
      </c>
      <c r="I12" s="23">
        <f>COUNTIFS(ReadingList!$G$2:$G$128,"SingleProblem",ReadingList!$N$2:$N$128,"WoS")</f>
        <v>0</v>
      </c>
      <c r="J12" s="23">
        <f>COUNTIFS(ReadingList!$G$2:$G$128,"SingleProblem",ReadingList!$N$2:$N$128,"Scopus")</f>
        <v>0</v>
      </c>
      <c r="K12" s="23">
        <f>COUNTIFS(ReadingList!$G$2:$G$128,"SingleProblem",ReadingList!$N$2:$N$128,"Compendex") + COUNTIFS(ReadingList!$G$2:$G$128,"SingleProblem",ReadingList!$N$2:$N$128,"Inspec")</f>
        <v>0</v>
      </c>
      <c r="L12" s="19"/>
    </row>
    <row r="13" spans="1:12" x14ac:dyDescent="0.2">
      <c r="A13" s="19"/>
      <c r="B13" s="19"/>
      <c r="C13" s="19"/>
      <c r="D13" s="19"/>
      <c r="E13" s="19"/>
      <c r="F13" s="23" t="s">
        <v>886</v>
      </c>
      <c r="G13" s="23"/>
      <c r="H13" s="23">
        <f>COUNTIFS(ReadingList!$G$2:$G$128,"MultiProblem",ReadingList!$N$2:$N$128,"GoogleScholar")</f>
        <v>1</v>
      </c>
      <c r="I13" s="23">
        <f>COUNTIFS(ReadingList!$G$2:$G$128,"MultiProblem",ReadingList!$N$2:$N$128,"WoS")</f>
        <v>0</v>
      </c>
      <c r="J13" s="23">
        <f>COUNTIFS(ReadingList!$G$2:$G$128,"MultiProblem",ReadingList!$N$2:$N$128,"Scopus")</f>
        <v>0</v>
      </c>
      <c r="K13" s="23">
        <f>COUNTIFS(ReadingList!$G$2:$G$128,"MultiProblem",ReadingList!$N$2:$N$128,"Compendex") + COUNTIFS(ReadingList!$G$2:$G$128,"MultiProblem",ReadingList!$N$2:$N$128,"Inspec")</f>
        <v>0</v>
      </c>
      <c r="L13" s="19"/>
    </row>
    <row r="14" spans="1:12" x14ac:dyDescent="0.2">
      <c r="A14" s="19"/>
      <c r="B14" s="26"/>
      <c r="C14" s="26"/>
      <c r="D14" s="26"/>
      <c r="E14" s="26"/>
      <c r="F14" s="26" t="s">
        <v>887</v>
      </c>
      <c r="G14" s="26"/>
      <c r="H14" s="23">
        <f>COUNTIFS(ReadingList!$G$2:$G$128,"NetworkProblem",ReadingList!$N$2:$N$128,"GoogleScholar")</f>
        <v>0</v>
      </c>
      <c r="I14" s="23">
        <f>COUNTIFS(ReadingList!$G$2:$G$128,"NetworkProblem",ReadingList!$N$2:$N$128,"WoS")</f>
        <v>1</v>
      </c>
      <c r="J14" s="23">
        <f>COUNTIFS(ReadingList!$G$2:$G$128,"NetworkProblem",ReadingList!$N$2:$N$128,"Scopus")</f>
        <v>0</v>
      </c>
      <c r="K14" s="23">
        <f>COUNTIFS(ReadingList!$G$2:$G$128,"NetworkProblem",ReadingList!$N$2:$N$128,"Compendex") + COUNTIFS(ReadingList!$G$2:$G$128,"NetworkProblem",ReadingList!$N$2:$N$128,"Inspec")</f>
        <v>0</v>
      </c>
      <c r="L14" s="19"/>
    </row>
    <row r="15" spans="1:12" x14ac:dyDescent="0.2">
      <c r="A15" s="19"/>
      <c r="B15" s="45" t="str">
        <f>_xlfn.CONCAT("*There exist ",Dashboard!B6," unique articles. Of those articles, ",COUNTIF(ReadingList!$G$2:$G$128,"Literature review")," correspond to literature reviews.")</f>
        <v>*There exist 127 unique articles. Of those articles, 10 correspond to literature reviews.</v>
      </c>
      <c r="C15" s="45"/>
      <c r="D15" s="45"/>
      <c r="E15" s="45"/>
      <c r="F15" s="45"/>
      <c r="G15" s="45"/>
      <c r="H15" s="45"/>
      <c r="I15" s="45"/>
      <c r="J15" s="45"/>
      <c r="K15" s="45"/>
      <c r="L15" s="19"/>
    </row>
  </sheetData>
  <mergeCells count="4">
    <mergeCell ref="F5:F6"/>
    <mergeCell ref="G5:G6"/>
    <mergeCell ref="H2:K2"/>
    <mergeCell ref="B15:K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heetViews>
  <sheetFormatPr baseColWidth="10" defaultColWidth="10.83203125" defaultRowHeight="16" x14ac:dyDescent="0.2"/>
  <cols>
    <col min="1" max="1" width="3.1640625" style="1" bestFit="1" customWidth="1"/>
    <col min="2" max="2" width="10.83203125" style="1"/>
    <col min="3" max="3" width="8.83203125" style="1" customWidth="1"/>
    <col min="4" max="4" width="13"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6</v>
      </c>
      <c r="B2" s="8">
        <f>VLOOKUP($A2,ReadingList!$A:$N,2,FALSE)</f>
        <v>44917</v>
      </c>
      <c r="D2" s="15" t="str">
        <f>VLOOKUP($A2,ReadingList!$A:$N,14,FALSE)</f>
        <v>GoogleScholar</v>
      </c>
      <c r="E2" s="3">
        <f>VLOOKUP($A2,ReadingList!$A:$N,11,FALSE)</f>
        <v>2015</v>
      </c>
      <c r="F2" s="3" t="str">
        <f>VLOOKUP($A2,ReadingList!$A:$N,8,FALSE)</f>
        <v>Deploying Public Charging Stations For Electric Vehicles On Urban Road Networks</v>
      </c>
      <c r="G2" s="3" t="str">
        <f>VLOOKUP($A2,ReadingList!$A:$N,10,FALSE)</f>
        <v>Transportation Research Part C: Emerging Technologies</v>
      </c>
      <c r="H2" s="3" t="str">
        <f>VLOOKUP($A2,ReadingList!$A:$N,9,FALSE)</f>
        <v>F He, Y Yin, J Zhou</v>
      </c>
      <c r="I2" s="3" t="str">
        <f>VLOOKUP($A2,ReadingList!$A:$N,13,FALSE)</f>
        <v>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v>
      </c>
      <c r="Y2" s="12"/>
      <c r="AA2" s="4"/>
      <c r="AB2" s="4"/>
      <c r="BB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c r="B2" s="8"/>
      <c r="T2" s="12"/>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50" width="10.83203125" style="1"/>
    <col min="51" max="51" width="27.5" style="1" customWidth="1"/>
    <col min="52" max="52" width="20.5" style="1" customWidth="1"/>
    <col min="53" max="53" width="20.1640625" style="1" customWidth="1"/>
    <col min="54" max="54" width="18.5"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5</v>
      </c>
      <c r="B2" s="8">
        <v>44917</v>
      </c>
      <c r="C2" s="3" t="s">
        <v>848</v>
      </c>
      <c r="D2" s="3" t="s">
        <v>337</v>
      </c>
      <c r="E2" s="3">
        <v>2015</v>
      </c>
      <c r="F2" s="3" t="s">
        <v>431</v>
      </c>
      <c r="G2" s="3" t="s">
        <v>687</v>
      </c>
      <c r="H2" s="3" t="s">
        <v>432</v>
      </c>
      <c r="I2" s="3" t="s">
        <v>672</v>
      </c>
      <c r="J2" s="3" t="s">
        <v>899</v>
      </c>
      <c r="K2" s="3" t="s">
        <v>851</v>
      </c>
      <c r="L2" s="3" t="s">
        <v>271</v>
      </c>
      <c r="M2" s="3" t="s">
        <v>135</v>
      </c>
      <c r="N2" s="3" t="s">
        <v>107</v>
      </c>
      <c r="O2" s="3" t="s">
        <v>271</v>
      </c>
      <c r="P2" s="3">
        <v>1</v>
      </c>
      <c r="Q2" s="3">
        <v>5</v>
      </c>
      <c r="R2" s="3" t="s">
        <v>271</v>
      </c>
      <c r="S2" s="3" t="s">
        <v>900</v>
      </c>
      <c r="T2" s="12" t="s">
        <v>855</v>
      </c>
      <c r="U2" s="3" t="s">
        <v>901</v>
      </c>
      <c r="V2" s="4" t="s">
        <v>849</v>
      </c>
      <c r="W2" s="4" t="s">
        <v>237</v>
      </c>
      <c r="X2" s="3" t="s">
        <v>849</v>
      </c>
      <c r="Y2" s="3" t="s">
        <v>858</v>
      </c>
      <c r="Z2" s="3" t="s">
        <v>906</v>
      </c>
      <c r="AA2" s="3">
        <v>2000</v>
      </c>
      <c r="AB2" s="3" t="s">
        <v>860</v>
      </c>
      <c r="AC2" s="3" t="s">
        <v>905</v>
      </c>
      <c r="AD2" s="3" t="s">
        <v>849</v>
      </c>
      <c r="AE2" s="3" t="s">
        <v>849</v>
      </c>
      <c r="AF2" s="3" t="s">
        <v>907</v>
      </c>
      <c r="AG2" s="3" t="s">
        <v>908</v>
      </c>
      <c r="AH2" s="3" t="s">
        <v>903</v>
      </c>
      <c r="AI2" s="3" t="s">
        <v>207</v>
      </c>
      <c r="AJ2" s="3" t="s">
        <v>848</v>
      </c>
      <c r="AK2" s="3" t="s">
        <v>849</v>
      </c>
      <c r="AL2" s="3" t="s">
        <v>863</v>
      </c>
      <c r="AM2" s="3" t="s">
        <v>909</v>
      </c>
      <c r="AN2" s="3" t="s">
        <v>271</v>
      </c>
      <c r="AO2" s="3" t="s">
        <v>271</v>
      </c>
      <c r="AP2" s="3" t="s">
        <v>271</v>
      </c>
      <c r="AQ2" s="3" t="s">
        <v>271</v>
      </c>
      <c r="AR2" s="3" t="s">
        <v>904</v>
      </c>
      <c r="AS2" s="3" t="s">
        <v>865</v>
      </c>
      <c r="AT2" s="3" t="s">
        <v>849</v>
      </c>
      <c r="AU2" s="3" t="s">
        <v>849</v>
      </c>
      <c r="AV2" s="5" t="s">
        <v>849</v>
      </c>
      <c r="AW2" s="3" t="s">
        <v>867</v>
      </c>
      <c r="AX2" s="3" t="s">
        <v>849</v>
      </c>
      <c r="AY2" s="3" t="s">
        <v>911</v>
      </c>
      <c r="AZ2" s="3" t="s">
        <v>912</v>
      </c>
      <c r="BA2" s="3" t="s">
        <v>910</v>
      </c>
      <c r="BB2" s="3" t="s">
        <v>898</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73</v>
      </c>
      <c r="B2" s="8">
        <v>44916</v>
      </c>
      <c r="C2" s="3" t="s">
        <v>848</v>
      </c>
      <c r="D2" s="15" t="s">
        <v>303</v>
      </c>
      <c r="E2" s="3">
        <v>2021</v>
      </c>
      <c r="F2" s="3" t="s">
        <v>565</v>
      </c>
      <c r="G2" s="3" t="s">
        <v>25</v>
      </c>
      <c r="H2" s="3" t="s">
        <v>566</v>
      </c>
      <c r="I2" s="3" t="s">
        <v>568</v>
      </c>
      <c r="J2" s="3" t="s">
        <v>850</v>
      </c>
      <c r="K2" s="3" t="s">
        <v>851</v>
      </c>
      <c r="L2" s="3" t="s">
        <v>135</v>
      </c>
      <c r="M2" s="3" t="s">
        <v>852</v>
      </c>
      <c r="N2" s="3" t="s">
        <v>853</v>
      </c>
      <c r="O2" s="3">
        <v>1</v>
      </c>
      <c r="P2" s="3">
        <v>4</v>
      </c>
      <c r="Q2" s="3">
        <v>3000</v>
      </c>
      <c r="R2" s="3" t="s">
        <v>854</v>
      </c>
      <c r="S2" s="3" t="s">
        <v>854</v>
      </c>
      <c r="T2" s="3" t="s">
        <v>855</v>
      </c>
      <c r="U2" s="3" t="s">
        <v>856</v>
      </c>
      <c r="V2" s="3" t="s">
        <v>849</v>
      </c>
      <c r="W2" s="3" t="s">
        <v>233</v>
      </c>
      <c r="X2" s="3" t="s">
        <v>857</v>
      </c>
      <c r="Y2" s="12" t="s">
        <v>858</v>
      </c>
      <c r="Z2" s="3" t="s">
        <v>859</v>
      </c>
      <c r="AA2" s="4">
        <v>3000</v>
      </c>
      <c r="AB2" s="4" t="s">
        <v>860</v>
      </c>
      <c r="AC2" s="3" t="s">
        <v>859</v>
      </c>
      <c r="AD2" s="3" t="s">
        <v>861</v>
      </c>
      <c r="AE2" s="3" t="s">
        <v>849</v>
      </c>
      <c r="AF2" s="3" t="s">
        <v>862</v>
      </c>
      <c r="AG2" s="3" t="s">
        <v>135</v>
      </c>
      <c r="AH2" s="3" t="s">
        <v>849</v>
      </c>
      <c r="AI2" s="3" t="s">
        <v>207</v>
      </c>
      <c r="AJ2" s="3" t="s">
        <v>848</v>
      </c>
      <c r="AK2" s="3" t="s">
        <v>849</v>
      </c>
      <c r="AL2" s="3" t="s">
        <v>863</v>
      </c>
      <c r="AM2" s="3" t="s">
        <v>849</v>
      </c>
      <c r="AN2" s="3" t="s">
        <v>849</v>
      </c>
      <c r="AO2" s="3" t="s">
        <v>849</v>
      </c>
      <c r="AP2" s="3" t="s">
        <v>849</v>
      </c>
      <c r="AQ2" s="3" t="s">
        <v>849</v>
      </c>
      <c r="AR2" s="3" t="s">
        <v>864</v>
      </c>
      <c r="AS2" s="3" t="s">
        <v>865</v>
      </c>
      <c r="AT2" s="3" t="s">
        <v>849</v>
      </c>
      <c r="AU2" s="3" t="s">
        <v>849</v>
      </c>
      <c r="AV2" s="3" t="s">
        <v>866</v>
      </c>
      <c r="AW2" s="3" t="s">
        <v>867</v>
      </c>
      <c r="AX2" s="3" t="s">
        <v>849</v>
      </c>
      <c r="AY2" s="5" t="s">
        <v>868</v>
      </c>
      <c r="AZ2" s="3" t="s">
        <v>869</v>
      </c>
      <c r="BA2" s="3" t="s">
        <v>870</v>
      </c>
      <c r="BB2" s="3" t="s">
        <v>871</v>
      </c>
    </row>
    <row r="3" spans="1:54" x14ac:dyDescent="0.2">
      <c r="A3" s="13"/>
      <c r="B3" s="8"/>
      <c r="C3" s="3"/>
      <c r="D3" s="15"/>
      <c r="E3" s="3"/>
      <c r="F3" s="3"/>
      <c r="G3" s="3"/>
      <c r="H3" s="3"/>
      <c r="I3" s="3"/>
      <c r="J3" s="3"/>
      <c r="K3" s="3"/>
      <c r="L3" s="3"/>
      <c r="M3" s="3"/>
      <c r="N3" s="3"/>
      <c r="O3" s="3"/>
      <c r="P3" s="3"/>
      <c r="Q3" s="3"/>
      <c r="R3" s="3"/>
      <c r="S3" s="3"/>
      <c r="T3" s="3"/>
      <c r="U3" s="3"/>
      <c r="V3" s="3"/>
      <c r="W3" s="3"/>
      <c r="X3" s="3"/>
      <c r="Y3" s="12"/>
      <c r="Z3" s="3"/>
      <c r="AA3" s="4"/>
      <c r="AB3" s="4"/>
      <c r="AC3" s="3"/>
      <c r="AD3" s="3"/>
      <c r="AE3" s="3"/>
      <c r="AF3" s="3"/>
      <c r="AG3" s="3"/>
      <c r="AH3" s="3"/>
      <c r="AI3" s="3"/>
      <c r="AJ3" s="3"/>
      <c r="AK3" s="3"/>
      <c r="AL3" s="3"/>
      <c r="AM3" s="3"/>
      <c r="AN3" s="3"/>
      <c r="AO3" s="3"/>
      <c r="AP3" s="3"/>
      <c r="AQ3" s="3"/>
      <c r="AR3" s="3"/>
      <c r="AS3" s="3"/>
      <c r="AT3" s="3"/>
      <c r="AU3" s="3"/>
      <c r="AV3" s="3"/>
      <c r="AW3" s="3"/>
      <c r="AX3" s="3"/>
      <c r="AY3" s="3"/>
      <c r="AZ3" s="3"/>
      <c r="BA3" s="3"/>
      <c r="BB3" s="5"/>
    </row>
    <row r="4" spans="1:54" x14ac:dyDescent="0.2">
      <c r="A4" s="3"/>
      <c r="B4" s="8"/>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x14ac:dyDescent="0.2">
      <c r="A5" s="3"/>
      <c r="B5" s="8"/>
      <c r="C5" s="3"/>
      <c r="D5" s="3"/>
      <c r="E5" s="3"/>
      <c r="F5" s="3"/>
      <c r="G5" s="3"/>
      <c r="H5" s="3"/>
      <c r="I5" s="3"/>
      <c r="J5" s="3"/>
      <c r="K5" s="3"/>
      <c r="L5" s="3"/>
      <c r="M5" s="3"/>
      <c r="N5" s="3"/>
      <c r="O5" s="3"/>
      <c r="P5" s="3"/>
      <c r="Q5" s="3"/>
      <c r="R5" s="3"/>
      <c r="S5" s="3"/>
      <c r="T5" s="3"/>
      <c r="U5" s="3"/>
      <c r="V5" s="3"/>
      <c r="W5" s="3"/>
      <c r="X5" s="3"/>
      <c r="Y5" s="18"/>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zoomScale="136"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58</v>
      </c>
      <c r="B2" t="s">
        <v>59</v>
      </c>
      <c r="C2" t="s">
        <v>60</v>
      </c>
      <c r="D2" t="s">
        <v>61</v>
      </c>
      <c r="E2" t="s">
        <v>62</v>
      </c>
      <c r="H2" t="str">
        <f>_xlfn.CONCAT(C2," &amp; ",D2," &amp; ",E2," &amp; ",F2," \\ ")</f>
        <v xml:space="preserve">Average rate &amp; AR &amp; Scheduling algorithm that supply the minimum power of the EVSE capacity. &amp;  \\ </v>
      </c>
    </row>
    <row r="3" spans="1:8" x14ac:dyDescent="0.2">
      <c r="A3" t="s">
        <v>58</v>
      </c>
      <c r="B3" t="s">
        <v>63</v>
      </c>
      <c r="C3" s="2" t="s">
        <v>64</v>
      </c>
      <c r="D3" t="s">
        <v>65</v>
      </c>
      <c r="E3" t="s">
        <v>66</v>
      </c>
      <c r="H3" t="str">
        <f t="shared" ref="H3:H59" si="0">_xlfn.CONCAT(C3," &amp; ",D3," &amp; ",E3," &amp; ",F3," \\ ")</f>
        <v xml:space="preserve">Backward-forward sweep &amp; BFS &amp; Algorithm to compute the power flow in a network &amp;  \\ </v>
      </c>
    </row>
    <row r="4" spans="1:8" x14ac:dyDescent="0.2">
      <c r="A4" t="s">
        <v>58</v>
      </c>
      <c r="B4" t="s">
        <v>59</v>
      </c>
      <c r="C4" t="s">
        <v>67</v>
      </c>
      <c r="D4" t="s">
        <v>68</v>
      </c>
      <c r="E4" t="s">
        <v>69</v>
      </c>
      <c r="H4" t="str">
        <f t="shared" si="0"/>
        <v xml:space="preserve">Earliest deadline first &amp; EDF &amp; Scheduling algorithm that schedules the charge of the vehicle with earliest departure time first. &amp;  \\ </v>
      </c>
    </row>
    <row r="5" spans="1:8" x14ac:dyDescent="0.2">
      <c r="A5" t="s">
        <v>58</v>
      </c>
      <c r="B5" t="s">
        <v>59</v>
      </c>
      <c r="C5" t="s">
        <v>70</v>
      </c>
      <c r="D5" t="s">
        <v>71</v>
      </c>
      <c r="E5" t="s">
        <v>72</v>
      </c>
      <c r="H5" t="str">
        <f t="shared" si="0"/>
        <v xml:space="preserve">Earliest start time &amp; EST &amp; Scheduling algorithm that dispatches the EVSE firsly available with no spatial consideration. &amp;  \\ </v>
      </c>
    </row>
    <row r="6" spans="1:8" x14ac:dyDescent="0.2">
      <c r="A6" t="s">
        <v>58</v>
      </c>
      <c r="B6" t="s">
        <v>59</v>
      </c>
      <c r="C6" t="s">
        <v>73</v>
      </c>
      <c r="D6" t="s">
        <v>74</v>
      </c>
      <c r="E6" t="s">
        <v>75</v>
      </c>
      <c r="F6" t="s">
        <v>76</v>
      </c>
      <c r="H6" t="str">
        <f t="shared" si="0"/>
        <v xml:space="preserve">First-in First-served &amp; FIFS &amp; Scheduling algorithm that dispatches EVs according to their arrival times. &amp; First-come first-served (FCFS) \\ </v>
      </c>
    </row>
    <row r="7" spans="1:8" x14ac:dyDescent="0.2">
      <c r="A7" t="s">
        <v>58</v>
      </c>
      <c r="B7" t="s">
        <v>59</v>
      </c>
      <c r="C7" t="s">
        <v>77</v>
      </c>
      <c r="D7" t="s">
        <v>78</v>
      </c>
      <c r="E7" t="s">
        <v>79</v>
      </c>
      <c r="F7" t="s">
        <v>80</v>
      </c>
      <c r="H7" t="str">
        <f t="shared" si="0"/>
        <v xml:space="preserve">Least slack time &amp; LST &amp; Scheduling algorithm that prioritizes those vehicle with shortest remaining time to achieve the desired SoC. &amp; Least laxity first (LLF) \\ </v>
      </c>
    </row>
    <row r="8" spans="1:8" x14ac:dyDescent="0.2">
      <c r="A8" t="s">
        <v>58</v>
      </c>
      <c r="B8" t="s">
        <v>59</v>
      </c>
      <c r="C8" t="s">
        <v>81</v>
      </c>
      <c r="D8" t="s">
        <v>82</v>
      </c>
      <c r="E8" t="s">
        <v>83</v>
      </c>
      <c r="H8" t="str">
        <f t="shared" si="0"/>
        <v xml:space="preserve">Lowest state-of-charge first &amp; LSF &amp; Scheduling algorithm that charges the vehicle with the lowest SoC first &amp;  \\ </v>
      </c>
    </row>
    <row r="9" spans="1:8" x14ac:dyDescent="0.2">
      <c r="A9" t="s">
        <v>58</v>
      </c>
      <c r="B9" t="s">
        <v>59</v>
      </c>
      <c r="C9" t="s">
        <v>84</v>
      </c>
      <c r="D9" t="s">
        <v>85</v>
      </c>
      <c r="E9" t="s">
        <v>86</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58</v>
      </c>
      <c r="B10" t="s">
        <v>63</v>
      </c>
      <c r="C10" t="s">
        <v>87</v>
      </c>
      <c r="E10" t="s">
        <v>66</v>
      </c>
      <c r="H10" t="str">
        <f t="shared" si="0"/>
        <v xml:space="preserve">Newton-Raphson &amp;  &amp; Algorithm to compute the power flow in a network &amp;  \\ </v>
      </c>
    </row>
    <row r="11" spans="1:8" x14ac:dyDescent="0.2">
      <c r="A11" t="s">
        <v>58</v>
      </c>
      <c r="B11" t="s">
        <v>59</v>
      </c>
      <c r="C11" t="s">
        <v>88</v>
      </c>
      <c r="D11" t="s">
        <v>89</v>
      </c>
      <c r="E11" t="s">
        <v>90</v>
      </c>
      <c r="F11" t="s">
        <v>91</v>
      </c>
      <c r="H11" t="str">
        <f t="shared" si="0"/>
        <v xml:space="preserve">Price oriented scheduling &amp; POS &amp; Scheduling algorithm that supplies more energy during cheaper windows &amp; ToU scheduling \\ </v>
      </c>
    </row>
    <row r="12" spans="1:8" x14ac:dyDescent="0.2">
      <c r="A12" t="s">
        <v>58</v>
      </c>
      <c r="B12" t="s">
        <v>59</v>
      </c>
      <c r="C12" t="s">
        <v>92</v>
      </c>
      <c r="D12" t="s">
        <v>93</v>
      </c>
      <c r="E12" t="s">
        <v>94</v>
      </c>
      <c r="H12" t="str">
        <f t="shared" si="0"/>
        <v xml:space="preserve">Randomly delayed charging &amp; RND &amp; Scheduling algorithm that starts to supplying power after a random amount of time. &amp;  \\ </v>
      </c>
    </row>
    <row r="13" spans="1:8" x14ac:dyDescent="0.2">
      <c r="A13" t="s">
        <v>58</v>
      </c>
      <c r="B13" t="s">
        <v>59</v>
      </c>
      <c r="C13" t="s">
        <v>95</v>
      </c>
      <c r="D13" t="s">
        <v>96</v>
      </c>
      <c r="E13" t="s">
        <v>97</v>
      </c>
      <c r="H13" t="str">
        <f t="shared" si="0"/>
        <v xml:space="preserve">Shortest job first &amp; SJF &amp; Scheduling algorithm that charges the vehicle with less required energy first. &amp;  \\ </v>
      </c>
    </row>
    <row r="14" spans="1:8" x14ac:dyDescent="0.2">
      <c r="A14" t="s">
        <v>58</v>
      </c>
      <c r="B14" t="s">
        <v>59</v>
      </c>
      <c r="C14" t="s">
        <v>98</v>
      </c>
      <c r="D14" t="s">
        <v>99</v>
      </c>
      <c r="E14" t="s">
        <v>100</v>
      </c>
      <c r="H14" t="str">
        <f t="shared" si="0"/>
        <v xml:space="preserve">Smart charging system with cooperation &amp; SCSC &amp; Scheduling algorithm that supplies energy according to maximizing the utilization of the available power. &amp;  \\ </v>
      </c>
    </row>
    <row r="15" spans="1:8" x14ac:dyDescent="0.2">
      <c r="A15" t="s">
        <v>58</v>
      </c>
      <c r="B15" t="s">
        <v>59</v>
      </c>
      <c r="C15" t="s">
        <v>101</v>
      </c>
      <c r="D15" t="s">
        <v>102</v>
      </c>
      <c r="E15" t="s">
        <v>103</v>
      </c>
      <c r="H15" t="str">
        <f t="shared" si="0"/>
        <v xml:space="preserve">Without chargers assignment scheduling &amp; WCAS &amp; Scheduling algorithm that dispatches EV to charging stations but not to EVSE. &amp;  \\ </v>
      </c>
    </row>
    <row r="16" spans="1:8" x14ac:dyDescent="0.2">
      <c r="A16" t="s">
        <v>104</v>
      </c>
      <c r="B16" t="s">
        <v>105</v>
      </c>
      <c r="C16" t="s">
        <v>106</v>
      </c>
      <c r="D16" t="s">
        <v>107</v>
      </c>
      <c r="E16" t="s">
        <v>108</v>
      </c>
      <c r="F16" t="s">
        <v>109</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104</v>
      </c>
      <c r="B17" t="s">
        <v>110</v>
      </c>
      <c r="C17" t="s">
        <v>111</v>
      </c>
      <c r="E17" t="s">
        <v>112</v>
      </c>
      <c r="F17" t="s">
        <v>113</v>
      </c>
      <c r="H17" t="str">
        <f t="shared" si="0"/>
        <v xml:space="preserve">Battery capacity (kWh) &amp;  &amp; It is the maximum energy the battery can save &amp; Battery health, state of the battery. \\ </v>
      </c>
    </row>
    <row r="18" spans="1:8" x14ac:dyDescent="0.2">
      <c r="A18" t="s">
        <v>104</v>
      </c>
      <c r="B18" t="s">
        <v>110</v>
      </c>
      <c r="C18" t="s">
        <v>114</v>
      </c>
      <c r="E18" t="s">
        <v>115</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104</v>
      </c>
      <c r="B19" t="s">
        <v>110</v>
      </c>
      <c r="C19" t="s">
        <v>116</v>
      </c>
      <c r="E19" t="s">
        <v>117</v>
      </c>
      <c r="H19" t="str">
        <f t="shared" si="0"/>
        <v xml:space="preserve">Brownout &amp;  &amp; Phemonenon when there is an intentional or unintentional drop in the voltage. &amp;  \\ </v>
      </c>
    </row>
    <row r="20" spans="1:8" x14ac:dyDescent="0.2">
      <c r="A20" t="s">
        <v>104</v>
      </c>
      <c r="B20" t="s">
        <v>110</v>
      </c>
      <c r="C20" t="s">
        <v>118</v>
      </c>
      <c r="E20" t="s">
        <v>119</v>
      </c>
      <c r="H20" t="str">
        <f t="shared" si="0"/>
        <v xml:space="preserve">Charging capacity (kW) &amp;  &amp; It is the maximum power the battery stands &amp;  \\ </v>
      </c>
    </row>
    <row r="21" spans="1:8" x14ac:dyDescent="0.2">
      <c r="A21" t="s">
        <v>104</v>
      </c>
      <c r="B21" t="s">
        <v>110</v>
      </c>
      <c r="C21" t="s">
        <v>120</v>
      </c>
      <c r="H21" t="str">
        <f t="shared" si="0"/>
        <v xml:space="preserve">Charging efficiency &amp;  &amp;  &amp;  \\ </v>
      </c>
    </row>
    <row r="22" spans="1:8" x14ac:dyDescent="0.2">
      <c r="A22" t="s">
        <v>104</v>
      </c>
      <c r="B22" t="s">
        <v>105</v>
      </c>
      <c r="C22" t="s">
        <v>46</v>
      </c>
      <c r="E22" t="s">
        <v>121</v>
      </c>
      <c r="H22" t="str">
        <f t="shared" si="0"/>
        <v xml:space="preserve">Charging facility &amp;  &amp; Place where there is an EVSE. It can be either a station, a home, a parking and a workplace. &amp;  \\ </v>
      </c>
    </row>
    <row r="23" spans="1:8" x14ac:dyDescent="0.2">
      <c r="A23" t="s">
        <v>104</v>
      </c>
      <c r="B23" t="s">
        <v>105</v>
      </c>
      <c r="C23" t="s">
        <v>122</v>
      </c>
      <c r="E23" t="s">
        <v>123</v>
      </c>
      <c r="F23" t="s">
        <v>902</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Charger pilot \\ </v>
      </c>
    </row>
    <row r="24" spans="1:8" x14ac:dyDescent="0.2">
      <c r="A24" t="s">
        <v>104</v>
      </c>
      <c r="B24" t="s">
        <v>110</v>
      </c>
      <c r="C24" t="s">
        <v>124</v>
      </c>
      <c r="E24" t="s">
        <v>125</v>
      </c>
      <c r="H24" t="str">
        <f t="shared" si="0"/>
        <v xml:space="preserve">Charging power modulation &amp;  &amp; It is the capability of the AU to control the power supplied. &amp;  \\ </v>
      </c>
    </row>
    <row r="25" spans="1:8" x14ac:dyDescent="0.2">
      <c r="A25" t="s">
        <v>104</v>
      </c>
      <c r="B25" t="s">
        <v>126</v>
      </c>
      <c r="C25" t="s">
        <v>127</v>
      </c>
      <c r="E25" t="s">
        <v>128</v>
      </c>
      <c r="F25" t="s">
        <v>313</v>
      </c>
      <c r="H25"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26" spans="1:8" x14ac:dyDescent="0.2">
      <c r="A26" t="s">
        <v>104</v>
      </c>
      <c r="B26" t="s">
        <v>129</v>
      </c>
      <c r="C26" t="s">
        <v>130</v>
      </c>
      <c r="D26" t="s">
        <v>131</v>
      </c>
      <c r="E26" t="s">
        <v>132</v>
      </c>
      <c r="F26" t="s">
        <v>133</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104</v>
      </c>
      <c r="B27" t="s">
        <v>105</v>
      </c>
      <c r="C27" t="s">
        <v>134</v>
      </c>
      <c r="D27" t="s">
        <v>135</v>
      </c>
      <c r="E27" t="s">
        <v>136</v>
      </c>
      <c r="F27" t="s">
        <v>327</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Distribution company (DISCO) \\ </v>
      </c>
    </row>
    <row r="28" spans="1:8" x14ac:dyDescent="0.2">
      <c r="A28" t="s">
        <v>104</v>
      </c>
      <c r="B28" t="s">
        <v>137</v>
      </c>
      <c r="C28" t="s">
        <v>138</v>
      </c>
      <c r="D28" t="s">
        <v>139</v>
      </c>
      <c r="E28" t="s">
        <v>140</v>
      </c>
      <c r="F28" t="s">
        <v>141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104</v>
      </c>
      <c r="B29" t="s">
        <v>105</v>
      </c>
      <c r="C29" t="s">
        <v>142</v>
      </c>
      <c r="D29" t="s">
        <v>40</v>
      </c>
      <c r="E29" t="s">
        <v>143</v>
      </c>
      <c r="F29" t="s">
        <v>144</v>
      </c>
      <c r="H29" t="str">
        <f t="shared" si="0"/>
        <v xml:space="preserve">Electric vehicle supply equiment &amp; EVSE &amp; It is the cable to connect the EV to the charging pile where the power energy flows through. &amp; Charging equipment, Connector \\ </v>
      </c>
    </row>
    <row r="30" spans="1:8" x14ac:dyDescent="0.2">
      <c r="A30" t="s">
        <v>104</v>
      </c>
      <c r="B30" t="s">
        <v>105</v>
      </c>
      <c r="C30" t="s">
        <v>145</v>
      </c>
      <c r="D30" t="s">
        <v>146</v>
      </c>
      <c r="E30" t="s">
        <v>147</v>
      </c>
      <c r="F30" t="s">
        <v>148</v>
      </c>
      <c r="H30" t="str">
        <f t="shared" si="0"/>
        <v xml:space="preserve">Electric vehicle supply equipement port &amp; EVSE port &amp; It the plug where the EVSE is plugged-in. &amp; Charging port \\ </v>
      </c>
    </row>
    <row r="31" spans="1:8" x14ac:dyDescent="0.2">
      <c r="A31" t="s">
        <v>104</v>
      </c>
      <c r="B31" t="s">
        <v>110</v>
      </c>
      <c r="C31" t="s">
        <v>149</v>
      </c>
      <c r="E31" t="s">
        <v>150</v>
      </c>
      <c r="H31" t="str">
        <f t="shared" si="0"/>
        <v xml:space="preserve">EV load &amp;  &amp; It is the power or energy consumed at EVSEs over time. &amp;  \\ </v>
      </c>
    </row>
    <row r="32" spans="1:8" x14ac:dyDescent="0.2">
      <c r="A32" t="s">
        <v>104</v>
      </c>
      <c r="B32" t="s">
        <v>137</v>
      </c>
      <c r="C32" t="s">
        <v>151</v>
      </c>
      <c r="D32" t="s">
        <v>152</v>
      </c>
      <c r="E32" t="s">
        <v>153</v>
      </c>
      <c r="H32" t="str">
        <f t="shared" si="0"/>
        <v xml:space="preserve">Fuel cell electric vehicle &amp; FCEV &amp; Vehicles that work with hydrogen fuel. &amp;  \\ </v>
      </c>
    </row>
    <row r="33" spans="1:8" x14ac:dyDescent="0.2">
      <c r="A33" t="s">
        <v>104</v>
      </c>
      <c r="B33" t="s">
        <v>36</v>
      </c>
      <c r="C33" t="s">
        <v>154</v>
      </c>
      <c r="D33" t="s">
        <v>155</v>
      </c>
      <c r="E33" t="s">
        <v>156</v>
      </c>
      <c r="F33" t="s">
        <v>157</v>
      </c>
      <c r="H33" t="str">
        <f t="shared" si="0"/>
        <v xml:space="preserve">Grid-to-vehicle &amp; G2V &amp; The power grid supplies energy to EVs. &amp; Unidirectional, Unidirectional V2G, V1G. \\ </v>
      </c>
    </row>
    <row r="34" spans="1:8" x14ac:dyDescent="0.2">
      <c r="A34" t="s">
        <v>104</v>
      </c>
      <c r="B34" t="s">
        <v>137</v>
      </c>
      <c r="C34" t="s">
        <v>158</v>
      </c>
      <c r="D34" t="s">
        <v>159</v>
      </c>
      <c r="E34" t="s">
        <v>160</v>
      </c>
      <c r="F34" t="s">
        <v>161</v>
      </c>
      <c r="H34" t="str">
        <f t="shared" si="0"/>
        <v xml:space="preserve">Hybrid electric vehicle &amp; HEV &amp; Vehicles that use gasoline and electricity. &amp; Plug-in hybrid electric vehicle (PHEV), Hybrid electric cars (HEC). \\ </v>
      </c>
    </row>
    <row r="35" spans="1:8" x14ac:dyDescent="0.2">
      <c r="A35" t="s">
        <v>104</v>
      </c>
      <c r="B35" t="s">
        <v>137</v>
      </c>
      <c r="C35" t="s">
        <v>162</v>
      </c>
      <c r="D35" t="s">
        <v>163</v>
      </c>
      <c r="E35" t="s">
        <v>164</v>
      </c>
      <c r="F35" t="s">
        <v>165</v>
      </c>
      <c r="H35" t="str">
        <f t="shared" si="0"/>
        <v xml:space="preserve">Internal combustion engine vehicle &amp; ICEV &amp; Vehicles that use gasoline only. &amp; Internal combustion vehicles (ICVs), Conventional vehicle (CV). \\ </v>
      </c>
    </row>
    <row r="36" spans="1:8" x14ac:dyDescent="0.2">
      <c r="A36" t="s">
        <v>104</v>
      </c>
      <c r="B36" t="s">
        <v>129</v>
      </c>
      <c r="C36" t="s">
        <v>22</v>
      </c>
      <c r="D36" t="s">
        <v>43</v>
      </c>
      <c r="E36" t="s">
        <v>166</v>
      </c>
      <c r="F36" t="s">
        <v>167</v>
      </c>
      <c r="H36" t="str">
        <f t="shared" si="0"/>
        <v xml:space="preserve">Model predictive control &amp; MPC &amp; It aims to repeatedly solve an optimization problem using forecast of costs and demand, among others. &amp; Receding horizon control (RHC) \\ </v>
      </c>
    </row>
    <row r="37" spans="1:8" x14ac:dyDescent="0.2">
      <c r="A37" t="s">
        <v>104</v>
      </c>
      <c r="B37" t="s">
        <v>168</v>
      </c>
      <c r="C37" t="s">
        <v>169</v>
      </c>
      <c r="E37" t="s">
        <v>170</v>
      </c>
      <c r="H37" t="str">
        <f t="shared" si="0"/>
        <v xml:space="preserve">Price control &amp;  &amp; Coordination method in which the AU sets the price over the day as an incentive or disincentive mechanism to plug-in EV when needed. &amp;  \\ </v>
      </c>
    </row>
    <row r="38" spans="1:8" x14ac:dyDescent="0.2">
      <c r="A38" t="s">
        <v>104</v>
      </c>
      <c r="B38" t="s">
        <v>110</v>
      </c>
      <c r="C38" t="s">
        <v>171</v>
      </c>
      <c r="E38" t="s">
        <v>172</v>
      </c>
      <c r="F38" t="s">
        <v>173</v>
      </c>
      <c r="H38" t="str">
        <f t="shared" si="0"/>
        <v xml:space="preserve">Sliding windows &amp;  &amp; It is the time between the arrival of the EV and the lattest charging time before departure (to get the desired SoC) &amp; Sojourn time, dwell time. \\ </v>
      </c>
    </row>
    <row r="39" spans="1:8" x14ac:dyDescent="0.2">
      <c r="A39" t="s">
        <v>104</v>
      </c>
      <c r="B39" t="s">
        <v>174</v>
      </c>
      <c r="C39" t="s">
        <v>175</v>
      </c>
      <c r="D39" t="s">
        <v>176</v>
      </c>
      <c r="E39" t="s">
        <v>177</v>
      </c>
      <c r="F39" t="s">
        <v>178</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104</v>
      </c>
      <c r="B40" t="s">
        <v>105</v>
      </c>
      <c r="C40" t="s">
        <v>179</v>
      </c>
      <c r="D40" t="s">
        <v>180</v>
      </c>
      <c r="E40" t="s">
        <v>181</v>
      </c>
      <c r="F40" t="s">
        <v>182</v>
      </c>
      <c r="H40" t="str">
        <f t="shared" si="0"/>
        <v xml:space="preserve">Transmission system operator &amp; TSO &amp; The network that transports the enery at high voltage from the generation source to cities. &amp; Transmission system \\ </v>
      </c>
    </row>
    <row r="41" spans="1:8" x14ac:dyDescent="0.2">
      <c r="A41" t="s">
        <v>104</v>
      </c>
      <c r="B41" t="s">
        <v>126</v>
      </c>
      <c r="C41" t="s">
        <v>183</v>
      </c>
      <c r="E41" t="s">
        <v>184</v>
      </c>
      <c r="F41" t="s">
        <v>272</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104</v>
      </c>
      <c r="B42" t="s">
        <v>36</v>
      </c>
      <c r="C42" t="s">
        <v>23</v>
      </c>
      <c r="D42" t="s">
        <v>37</v>
      </c>
      <c r="E42" t="s">
        <v>185</v>
      </c>
      <c r="F42" t="s">
        <v>186</v>
      </c>
      <c r="H42" t="str">
        <f t="shared" si="0"/>
        <v xml:space="preserve">Vehicle-to-grid &amp; V2G &amp; EVs are also energy sources since they can provide energy to the grid by discharging their batteries. &amp; Bi-directional V2G, Bi-directional charging. \\ </v>
      </c>
    </row>
    <row r="43" spans="1:8" x14ac:dyDescent="0.2">
      <c r="A43" t="s">
        <v>187</v>
      </c>
      <c r="B43" t="s">
        <v>110</v>
      </c>
      <c r="C43" t="s">
        <v>188</v>
      </c>
      <c r="D43" t="s">
        <v>189</v>
      </c>
      <c r="E43" t="s">
        <v>190</v>
      </c>
      <c r="H43" t="str">
        <f t="shared" si="0"/>
        <v xml:space="preserve">Aging acceleration factor &amp; AAF &amp; Is a metric for determining how much a charging load impacts transformer life &amp;  \\ </v>
      </c>
    </row>
    <row r="44" spans="1:8" x14ac:dyDescent="0.2">
      <c r="A44" t="s">
        <v>187</v>
      </c>
      <c r="B44" t="s">
        <v>110</v>
      </c>
      <c r="C44" t="s">
        <v>191</v>
      </c>
      <c r="E44" t="s">
        <v>192</v>
      </c>
      <c r="H44" t="str">
        <f t="shared" si="0"/>
        <v xml:space="preserve">Bottleneck &amp;  &amp; Line limits and transformer capacities across different voltage levels. &amp;  \\ </v>
      </c>
    </row>
    <row r="45" spans="1:8" x14ac:dyDescent="0.2">
      <c r="A45" t="s">
        <v>187</v>
      </c>
      <c r="B45" t="s">
        <v>110</v>
      </c>
      <c r="C45" t="s">
        <v>193</v>
      </c>
      <c r="E45" t="s">
        <v>194</v>
      </c>
      <c r="H45" t="str">
        <f t="shared" si="0"/>
        <v xml:space="preserve">Equivalent aging factor &amp;  &amp; It is the aggregation of the AAF product of computing it at each time interval. &amp;  \\ </v>
      </c>
    </row>
    <row r="46" spans="1:8" x14ac:dyDescent="0.2">
      <c r="A46" t="s">
        <v>187</v>
      </c>
      <c r="B46" t="s">
        <v>110</v>
      </c>
      <c r="C46" t="s">
        <v>195</v>
      </c>
      <c r="D46" t="s">
        <v>196</v>
      </c>
      <c r="E46" t="s">
        <v>197</v>
      </c>
      <c r="H46" t="str">
        <f t="shared" si="0"/>
        <v xml:space="preserve">Loss of life percentage &amp; LOL &amp; It is the wear of the transformer throughout time. It is computed by mutiplying the EAF by the total operation time dived by 180,000. &amp;  \\ </v>
      </c>
    </row>
    <row r="47" spans="1:8" x14ac:dyDescent="0.2">
      <c r="A47" t="s">
        <v>187</v>
      </c>
      <c r="B47" t="s">
        <v>126</v>
      </c>
      <c r="C47" t="s">
        <v>198</v>
      </c>
      <c r="E47" t="s">
        <v>199</v>
      </c>
      <c r="H47" t="str">
        <f t="shared" si="0"/>
        <v xml:space="preserve">Power generation system &amp;  &amp; Encompasses the production of electricity and the allocation of required demand between producers. &amp;  \\ </v>
      </c>
    </row>
    <row r="48" spans="1:8" x14ac:dyDescent="0.2">
      <c r="A48" t="s">
        <v>187</v>
      </c>
      <c r="B48" t="s">
        <v>126</v>
      </c>
      <c r="C48" t="s">
        <v>200</v>
      </c>
      <c r="D48" t="s">
        <v>201</v>
      </c>
      <c r="E48" t="s">
        <v>202</v>
      </c>
      <c r="H48" t="str">
        <f t="shared" si="0"/>
        <v xml:space="preserve">Unit commitment &amp; UC &amp; It is the problem that schedules the energy production at minimum cost. &amp;  \\ </v>
      </c>
    </row>
    <row r="49" spans="1:8" x14ac:dyDescent="0.2">
      <c r="A49" t="s">
        <v>42</v>
      </c>
      <c r="B49" t="s">
        <v>110</v>
      </c>
      <c r="C49" t="s">
        <v>203</v>
      </c>
      <c r="E49" t="s">
        <v>204</v>
      </c>
      <c r="F49" t="s">
        <v>205</v>
      </c>
      <c r="H49" t="str">
        <f t="shared" si="0"/>
        <v xml:space="preserve">Non-preemptive charging &amp;  &amp; Once charging starts, it is not allowed to stop supplying energy. &amp; Non-stop charging \\ </v>
      </c>
    </row>
    <row r="50" spans="1:8" x14ac:dyDescent="0.2">
      <c r="A50" t="s">
        <v>42</v>
      </c>
      <c r="B50" t="s">
        <v>110</v>
      </c>
      <c r="C50" t="s">
        <v>206</v>
      </c>
      <c r="D50" t="s">
        <v>207</v>
      </c>
      <c r="E50" t="s">
        <v>208</v>
      </c>
      <c r="F50" t="s">
        <v>209</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42</v>
      </c>
      <c r="B51" t="s">
        <v>110</v>
      </c>
      <c r="C51" t="s">
        <v>210</v>
      </c>
      <c r="E51" t="s">
        <v>211</v>
      </c>
      <c r="F51" t="s">
        <v>212</v>
      </c>
      <c r="H51" t="str">
        <f t="shared" si="0"/>
        <v xml:space="preserve">Preemptive charging &amp;  &amp; Once charging starts, it is allowed to stop supplying energy. &amp; Free charging \\ </v>
      </c>
    </row>
    <row r="52" spans="1:8" x14ac:dyDescent="0.2">
      <c r="A52" t="s">
        <v>42</v>
      </c>
      <c r="B52" t="s">
        <v>110</v>
      </c>
      <c r="C52" t="s">
        <v>213</v>
      </c>
      <c r="D52" t="s">
        <v>214</v>
      </c>
      <c r="E52" t="s">
        <v>215</v>
      </c>
      <c r="F52" t="s">
        <v>216</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217</v>
      </c>
      <c r="B53" t="s">
        <v>126</v>
      </c>
      <c r="C53" t="s">
        <v>218</v>
      </c>
      <c r="D53" t="s">
        <v>219</v>
      </c>
      <c r="E53" t="s">
        <v>220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217</v>
      </c>
      <c r="B54" t="s">
        <v>126</v>
      </c>
      <c r="C54" t="s">
        <v>221</v>
      </c>
      <c r="E54" t="s">
        <v>222</v>
      </c>
      <c r="F54" t="s">
        <v>223</v>
      </c>
      <c r="H54" t="str">
        <f t="shared" si="0"/>
        <v xml:space="preserve">Centralized charging &amp;  &amp; The AU decides when and how much to charge each EV by gathering the information of all EVs that demand energy. &amp; Centralized control, Direct control. \\ </v>
      </c>
    </row>
    <row r="55" spans="1:8" x14ac:dyDescent="0.2">
      <c r="A55" t="s">
        <v>217</v>
      </c>
      <c r="B55" t="s">
        <v>126</v>
      </c>
      <c r="C55" t="s">
        <v>224</v>
      </c>
      <c r="E55" t="s">
        <v>225</v>
      </c>
      <c r="F55" t="s">
        <v>226</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217</v>
      </c>
      <c r="B56" t="s">
        <v>126</v>
      </c>
      <c r="C56" t="s">
        <v>227</v>
      </c>
      <c r="E56" t="s">
        <v>228</v>
      </c>
      <c r="F56" t="s">
        <v>229</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168</v>
      </c>
      <c r="B57" t="s">
        <v>168</v>
      </c>
      <c r="C57" t="s">
        <v>230</v>
      </c>
      <c r="D57" t="s">
        <v>231</v>
      </c>
      <c r="H57" t="str">
        <f t="shared" si="0"/>
        <v xml:space="preserve">Locational marginal pricing &amp; LMP &amp;  &amp;  \\ </v>
      </c>
    </row>
    <row r="58" spans="1:8" x14ac:dyDescent="0.2">
      <c r="A58" t="s">
        <v>168</v>
      </c>
      <c r="B58" t="s">
        <v>168</v>
      </c>
      <c r="C58" t="s">
        <v>232</v>
      </c>
      <c r="D58" t="s">
        <v>233</v>
      </c>
      <c r="E58" t="s">
        <v>234</v>
      </c>
      <c r="F58" t="s">
        <v>235</v>
      </c>
      <c r="H58" t="str">
        <f t="shared" si="0"/>
        <v xml:space="preserve">Real-time pricing &amp; RTP &amp; Pricing scheme that is adjusted according to a function that varies over the time. &amp; Dynamic pricing, time-varying price/tariff. \\ </v>
      </c>
    </row>
    <row r="59" spans="1:8" x14ac:dyDescent="0.2">
      <c r="A59" t="s">
        <v>168</v>
      </c>
      <c r="B59" t="s">
        <v>168</v>
      </c>
      <c r="C59" t="s">
        <v>236</v>
      </c>
      <c r="D59" t="s">
        <v>237</v>
      </c>
      <c r="E59" t="s">
        <v>238</v>
      </c>
      <c r="F59" t="s">
        <v>239</v>
      </c>
      <c r="H59" t="str">
        <f t="shared" si="0"/>
        <v xml:space="preserve">Time-of-use &amp; ToU &amp; Pricing scheme that is constant by time frame (static price), commonly three frame: off-peak, shoulder and peak. &amp; Piece-wise constant, White tariff. \\ </v>
      </c>
    </row>
    <row r="60" spans="1:8" x14ac:dyDescent="0.2">
      <c r="A60" t="s">
        <v>104</v>
      </c>
      <c r="B60" t="s">
        <v>110</v>
      </c>
      <c r="C60" t="s">
        <v>240</v>
      </c>
      <c r="D60" t="s">
        <v>241</v>
      </c>
      <c r="E60" t="s">
        <v>242</v>
      </c>
    </row>
    <row r="61" spans="1:8" x14ac:dyDescent="0.2">
      <c r="A61" t="s">
        <v>104</v>
      </c>
      <c r="B61" t="s">
        <v>126</v>
      </c>
      <c r="C61" t="s">
        <v>305</v>
      </c>
      <c r="E61" t="s">
        <v>306</v>
      </c>
    </row>
    <row r="62" spans="1:8" x14ac:dyDescent="0.2">
      <c r="A62" t="s">
        <v>104</v>
      </c>
      <c r="B62" t="s">
        <v>126</v>
      </c>
      <c r="C62" t="s">
        <v>307</v>
      </c>
      <c r="E62" t="s">
        <v>308</v>
      </c>
    </row>
    <row r="63" spans="1:8" x14ac:dyDescent="0.2">
      <c r="A63" t="s">
        <v>104</v>
      </c>
      <c r="B63" t="s">
        <v>126</v>
      </c>
      <c r="C63" t="s">
        <v>309</v>
      </c>
      <c r="E63" t="s">
        <v>310</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2022-12-24T06:32:45Z</dcterms:modified>
</cp:coreProperties>
</file>