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6102" documentId="8_{17DEEFF1-BAB4-5849-B7C0-A3BF255A1A4C}" xr6:coauthVersionLast="47" xr6:coauthVersionMax="47" xr10:uidLastSave="{6D8CA83C-1B24-1F49-A4D0-FED192530876}"/>
  <bookViews>
    <workbookView xWindow="0" yWindow="760" windowWidth="14900" windowHeight="17600" xr2:uid="{C6B8CF38-FB30-0C42-B284-5B06A968FAD4}"/>
  </bookViews>
  <sheets>
    <sheet name="ReadingList" sheetId="11" r:id="rId1"/>
    <sheet name="Dashboard" sheetId="13" r:id="rId2"/>
    <sheet name="Deletion" sheetId="14" r:id="rId3"/>
    <sheet name="Draft" sheetId="6" r:id="rId4"/>
    <sheet name="Single_Station" sheetId="1" r:id="rId5"/>
    <sheet name="Multi_Station" sheetId="4" r:id="rId6"/>
    <sheet name="Power_Grid" sheetId="5" r:id="rId7"/>
    <sheet name="Dictionary" sheetId="7" r:id="rId8"/>
    <sheet name="Comments" sheetId="9" r:id="rId9"/>
    <sheet name="Paper_Structure" sheetId="10" r:id="rId10"/>
  </sheets>
  <definedNames>
    <definedName name="_xlnm._FilterDatabase" localSheetId="8" hidden="1">Comments!$A$1:$F$94</definedName>
    <definedName name="_xlnm._FilterDatabase" localSheetId="7" hidden="1">Dictionary!$A$1:$F$60</definedName>
    <definedName name="_xlnm._FilterDatabase" localSheetId="5" hidden="1">Multi_Station!$A$1:$AP$14</definedName>
    <definedName name="_xlnm._FilterDatabase" localSheetId="0" hidden="1">ReadingList!$A$1:$BY$627</definedName>
    <definedName name="_xlnm._FilterDatabase" localSheetId="4" hidden="1">Single_Station!$A$1:$AP$21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Y3" i="11" l="1"/>
  <c r="BY4" i="11"/>
  <c r="BY5" i="11"/>
  <c r="BY6" i="11"/>
  <c r="BY7" i="11"/>
  <c r="BY8" i="11"/>
  <c r="BY9" i="11"/>
  <c r="BY10" i="11"/>
  <c r="BY11" i="11"/>
  <c r="BY12" i="11"/>
  <c r="BY13" i="11"/>
  <c r="BY14" i="11"/>
  <c r="BY15" i="11"/>
  <c r="BY16" i="11"/>
  <c r="BY17" i="11"/>
  <c r="BY18" i="11"/>
  <c r="BY19" i="11"/>
  <c r="BY20" i="11"/>
  <c r="BY21" i="11"/>
  <c r="BY22" i="11"/>
  <c r="BY23" i="11"/>
  <c r="BY24" i="11"/>
  <c r="BY25" i="11"/>
  <c r="BY26" i="11"/>
  <c r="BY27" i="11"/>
  <c r="BY28" i="11"/>
  <c r="BY29" i="11"/>
  <c r="BY30" i="11"/>
  <c r="BY31" i="11"/>
  <c r="BY32" i="11"/>
  <c r="BY33" i="11"/>
  <c r="BY34" i="11"/>
  <c r="BY35" i="11"/>
  <c r="BY36" i="11"/>
  <c r="BY37" i="11"/>
  <c r="BY38" i="11"/>
  <c r="BY39" i="11"/>
  <c r="BY40" i="11"/>
  <c r="BY41" i="11"/>
  <c r="BY42" i="11"/>
  <c r="BY43" i="11"/>
  <c r="BY44" i="11"/>
  <c r="BY45" i="11"/>
  <c r="BY46" i="11"/>
  <c r="BY47" i="11"/>
  <c r="BY48" i="11"/>
  <c r="BY49" i="11"/>
  <c r="BY50" i="11"/>
  <c r="BY51" i="11"/>
  <c r="BY52" i="11"/>
  <c r="BY53" i="11"/>
  <c r="BY54" i="11"/>
  <c r="BY55" i="11"/>
  <c r="BY56" i="11"/>
  <c r="BY57" i="11"/>
  <c r="BY58" i="11"/>
  <c r="BY59" i="11"/>
  <c r="BY60" i="11"/>
  <c r="BY61" i="11"/>
  <c r="BY62" i="11"/>
  <c r="BY63" i="11"/>
  <c r="BY64" i="11"/>
  <c r="BY65" i="11"/>
  <c r="BY66" i="11"/>
  <c r="BY67" i="11"/>
  <c r="BY68" i="11"/>
  <c r="BY69" i="11"/>
  <c r="BY70" i="11"/>
  <c r="BY71" i="11"/>
  <c r="BY72" i="11"/>
  <c r="BY73" i="11"/>
  <c r="BY74" i="11"/>
  <c r="BY75" i="11"/>
  <c r="BY76" i="11"/>
  <c r="BY77" i="11"/>
  <c r="BY78" i="11"/>
  <c r="BY79" i="11"/>
  <c r="BY80" i="11"/>
  <c r="BY81" i="11"/>
  <c r="BY82" i="11"/>
  <c r="BY83" i="11"/>
  <c r="BY84" i="11"/>
  <c r="BY85" i="11"/>
  <c r="BY86" i="11"/>
  <c r="BY87" i="11"/>
  <c r="BY88" i="11"/>
  <c r="BY89" i="11"/>
  <c r="BY90" i="11"/>
  <c r="BY91" i="11"/>
  <c r="BY92" i="11"/>
  <c r="BY93" i="11"/>
  <c r="BY94" i="11"/>
  <c r="BY95" i="11"/>
  <c r="BY96" i="11"/>
  <c r="BY97" i="11"/>
  <c r="BY98" i="11"/>
  <c r="BY99" i="11"/>
  <c r="BY100" i="11"/>
  <c r="BY101" i="11"/>
  <c r="BY102" i="11"/>
  <c r="BY103" i="11"/>
  <c r="BY104" i="11"/>
  <c r="BY105" i="11"/>
  <c r="BY106" i="11"/>
  <c r="BY107" i="11"/>
  <c r="BY108" i="11"/>
  <c r="BY109" i="11"/>
  <c r="BY110" i="11"/>
  <c r="BY111" i="11"/>
  <c r="BY112" i="11"/>
  <c r="BY113" i="11"/>
  <c r="BY114" i="11"/>
  <c r="BY115" i="11"/>
  <c r="BY116" i="11"/>
  <c r="BY117" i="11"/>
  <c r="BY118" i="11"/>
  <c r="BY119" i="11"/>
  <c r="BY120" i="11"/>
  <c r="BY121" i="11"/>
  <c r="BY122" i="11"/>
  <c r="BY123" i="11"/>
  <c r="BY124" i="11"/>
  <c r="BY125" i="11"/>
  <c r="BY126" i="11"/>
  <c r="BY127" i="11"/>
  <c r="BY128" i="11"/>
  <c r="BY129" i="11"/>
  <c r="BY130" i="11"/>
  <c r="BY131" i="11"/>
  <c r="BY132" i="11"/>
  <c r="BY133" i="11"/>
  <c r="BY134" i="11"/>
  <c r="BY135" i="11"/>
  <c r="BY136" i="11"/>
  <c r="BY137" i="11"/>
  <c r="BY138" i="11"/>
  <c r="BY139" i="11"/>
  <c r="BY140" i="11"/>
  <c r="BY141" i="11"/>
  <c r="BY142" i="11"/>
  <c r="BY143" i="11"/>
  <c r="BY144" i="11"/>
  <c r="BY145" i="11"/>
  <c r="BY146" i="11"/>
  <c r="BY147" i="11"/>
  <c r="BY148" i="11"/>
  <c r="BY149" i="11"/>
  <c r="BY150" i="11"/>
  <c r="BY151" i="11"/>
  <c r="BY152" i="11"/>
  <c r="BY153" i="11"/>
  <c r="BY154" i="11"/>
  <c r="BY155" i="11"/>
  <c r="BY156" i="11"/>
  <c r="BY157" i="11"/>
  <c r="BY158" i="11"/>
  <c r="BY159" i="11"/>
  <c r="BY160" i="11"/>
  <c r="BY161" i="11"/>
  <c r="BY162" i="11"/>
  <c r="BY163" i="11"/>
  <c r="BY164" i="11"/>
  <c r="BY165" i="11"/>
  <c r="BY166" i="11"/>
  <c r="BY167" i="11"/>
  <c r="BY168" i="11"/>
  <c r="BY169" i="11"/>
  <c r="BY170" i="11"/>
  <c r="BY171" i="11"/>
  <c r="BY172" i="11"/>
  <c r="BY173" i="11"/>
  <c r="BY174" i="11"/>
  <c r="BY175" i="11"/>
  <c r="BY176" i="11"/>
  <c r="BY177" i="11"/>
  <c r="BY178" i="11"/>
  <c r="BY179" i="11"/>
  <c r="BY180" i="11"/>
  <c r="BY181" i="11"/>
  <c r="BY182" i="11"/>
  <c r="BY183" i="11"/>
  <c r="BY184" i="11"/>
  <c r="BY185" i="11"/>
  <c r="BY186" i="11"/>
  <c r="BY187" i="11"/>
  <c r="BY188" i="11"/>
  <c r="BY189" i="11"/>
  <c r="BY190" i="11"/>
  <c r="BY191" i="11"/>
  <c r="BY192" i="11"/>
  <c r="BY193" i="11"/>
  <c r="BY194" i="11"/>
  <c r="BY195" i="11"/>
  <c r="BY196" i="11"/>
  <c r="BY197" i="11"/>
  <c r="BY198" i="11"/>
  <c r="BY199" i="11"/>
  <c r="BY200" i="11"/>
  <c r="BY201" i="11"/>
  <c r="BY202" i="11"/>
  <c r="BY203" i="11"/>
  <c r="BY204" i="11"/>
  <c r="BY205" i="11"/>
  <c r="BY206" i="11"/>
  <c r="BY207" i="11"/>
  <c r="BY208" i="11"/>
  <c r="BY209" i="11"/>
  <c r="BY210" i="11"/>
  <c r="BY211" i="11"/>
  <c r="BY212" i="11"/>
  <c r="BY213" i="11"/>
  <c r="BY214" i="11"/>
  <c r="BY215" i="11"/>
  <c r="BY216" i="11"/>
  <c r="BY217" i="11"/>
  <c r="BY218" i="11"/>
  <c r="BY219" i="11"/>
  <c r="BY220" i="11"/>
  <c r="BY221" i="11"/>
  <c r="BY222" i="11"/>
  <c r="BY223" i="11"/>
  <c r="BY224" i="11"/>
  <c r="BY225" i="11"/>
  <c r="BY226" i="11"/>
  <c r="BY227" i="11"/>
  <c r="BY228" i="11"/>
  <c r="BY229" i="11"/>
  <c r="BY230" i="11"/>
  <c r="BY231" i="11"/>
  <c r="BY232" i="11"/>
  <c r="BY233" i="11"/>
  <c r="BY234" i="11"/>
  <c r="BY235" i="11"/>
  <c r="BY236" i="11"/>
  <c r="BY237" i="11"/>
  <c r="BY238" i="11"/>
  <c r="BY239" i="11"/>
  <c r="BY240" i="11"/>
  <c r="BY241" i="11"/>
  <c r="BY242" i="11"/>
  <c r="BY243" i="11"/>
  <c r="BY244" i="11"/>
  <c r="BY245" i="11"/>
  <c r="BY246" i="11"/>
  <c r="BY247" i="11"/>
  <c r="BY248" i="11"/>
  <c r="BY249" i="11"/>
  <c r="BY250" i="11"/>
  <c r="BY251" i="11"/>
  <c r="BY252" i="11"/>
  <c r="BY253" i="11"/>
  <c r="BY254" i="11"/>
  <c r="BY255" i="11"/>
  <c r="BY256" i="11"/>
  <c r="BY257" i="11"/>
  <c r="BY258" i="11"/>
  <c r="BY259" i="11"/>
  <c r="BY260" i="11"/>
  <c r="BY261" i="11"/>
  <c r="BY262" i="11"/>
  <c r="BY263" i="11"/>
  <c r="BY264" i="11"/>
  <c r="BY265" i="11"/>
  <c r="BY266" i="11"/>
  <c r="BY267" i="11"/>
  <c r="BY268" i="11"/>
  <c r="BY269" i="11"/>
  <c r="BY270" i="11"/>
  <c r="BY271" i="11"/>
  <c r="BY272" i="11"/>
  <c r="BY273" i="11"/>
  <c r="BY274" i="11"/>
  <c r="BY275" i="11"/>
  <c r="BY276" i="11"/>
  <c r="BY277" i="11"/>
  <c r="BY278" i="11"/>
  <c r="BY279" i="11"/>
  <c r="BY280" i="11"/>
  <c r="BY281" i="11"/>
  <c r="BY282" i="11"/>
  <c r="BY283" i="11"/>
  <c r="BY284" i="11"/>
  <c r="BY285" i="11"/>
  <c r="BY286" i="11"/>
  <c r="BY287" i="11"/>
  <c r="BY288" i="11"/>
  <c r="BY289" i="11"/>
  <c r="BY290" i="11"/>
  <c r="BY291" i="11"/>
  <c r="BY292" i="11"/>
  <c r="BY293" i="11"/>
  <c r="BY294" i="11"/>
  <c r="BY295" i="11"/>
  <c r="BY296" i="11"/>
  <c r="BY297" i="11"/>
  <c r="BY298" i="11"/>
  <c r="BY299" i="11"/>
  <c r="BY300" i="11"/>
  <c r="BY301" i="11"/>
  <c r="BY302" i="11"/>
  <c r="BY303" i="11"/>
  <c r="BY304" i="11"/>
  <c r="BY305" i="11"/>
  <c r="BY306" i="11"/>
  <c r="BY307" i="11"/>
  <c r="BY308" i="11"/>
  <c r="BY309" i="11"/>
  <c r="BY310" i="11"/>
  <c r="BY311" i="11"/>
  <c r="BY312" i="11"/>
  <c r="BY313" i="11"/>
  <c r="BY314" i="11"/>
  <c r="BY315" i="11"/>
  <c r="BY316" i="11"/>
  <c r="BY317" i="11"/>
  <c r="BY318" i="11"/>
  <c r="BY319" i="11"/>
  <c r="BY320" i="11"/>
  <c r="BY321" i="11"/>
  <c r="BY322" i="11"/>
  <c r="BY323" i="11"/>
  <c r="BY324" i="11"/>
  <c r="BY325" i="11"/>
  <c r="BY326" i="11"/>
  <c r="BY327" i="11"/>
  <c r="BY328" i="11"/>
  <c r="BY329" i="11"/>
  <c r="BY330" i="11"/>
  <c r="BY331" i="11"/>
  <c r="BY332" i="11"/>
  <c r="BY333" i="11"/>
  <c r="BY334" i="11"/>
  <c r="BY335" i="11"/>
  <c r="BY336" i="11"/>
  <c r="BY337" i="11"/>
  <c r="BY338" i="11"/>
  <c r="BY339" i="11"/>
  <c r="BY340" i="11"/>
  <c r="BY341" i="11"/>
  <c r="BY342" i="11"/>
  <c r="BY343" i="11"/>
  <c r="BY344" i="11"/>
  <c r="BY345" i="11"/>
  <c r="BY346" i="11"/>
  <c r="BY347" i="11"/>
  <c r="BY348" i="11"/>
  <c r="BY349" i="11"/>
  <c r="BY350" i="11"/>
  <c r="BY351" i="11"/>
  <c r="BY352" i="11"/>
  <c r="BY353" i="11"/>
  <c r="BY354" i="11"/>
  <c r="BY355" i="11"/>
  <c r="BY356" i="11"/>
  <c r="BY357" i="11"/>
  <c r="BY358" i="11"/>
  <c r="BY359" i="11"/>
  <c r="BY360" i="11"/>
  <c r="BY361" i="11"/>
  <c r="BY362" i="11"/>
  <c r="BY363" i="11"/>
  <c r="BY364" i="11"/>
  <c r="BY365" i="11"/>
  <c r="BY366" i="11"/>
  <c r="BY367" i="11"/>
  <c r="BY368" i="11"/>
  <c r="BY369" i="11"/>
  <c r="BY370" i="11"/>
  <c r="BY371" i="11"/>
  <c r="BY372" i="11"/>
  <c r="BY373" i="11"/>
  <c r="BY374" i="11"/>
  <c r="BY375" i="11"/>
  <c r="BY376" i="11"/>
  <c r="BY377" i="11"/>
  <c r="BY378" i="11"/>
  <c r="BY379" i="11"/>
  <c r="BY380" i="11"/>
  <c r="BY381" i="11"/>
  <c r="BY382" i="11"/>
  <c r="BY383" i="11"/>
  <c r="BY384" i="11"/>
  <c r="BY385" i="11"/>
  <c r="BY386" i="11"/>
  <c r="BY387" i="11"/>
  <c r="BY388" i="11"/>
  <c r="BY389" i="11"/>
  <c r="BY390" i="11"/>
  <c r="BY391" i="11"/>
  <c r="BY392" i="11"/>
  <c r="BY393" i="11"/>
  <c r="BY394" i="11"/>
  <c r="BY395" i="11"/>
  <c r="BY396" i="11"/>
  <c r="BY397" i="11"/>
  <c r="BY398" i="11"/>
  <c r="BY399" i="11"/>
  <c r="BY400" i="11"/>
  <c r="BY401" i="11"/>
  <c r="BY402" i="11"/>
  <c r="BY403" i="11"/>
  <c r="BY404" i="11"/>
  <c r="BY405" i="11"/>
  <c r="BY406" i="11"/>
  <c r="BY407" i="11"/>
  <c r="BY408" i="11"/>
  <c r="BY409" i="11"/>
  <c r="BY410" i="11"/>
  <c r="BY411" i="11"/>
  <c r="BY412" i="11"/>
  <c r="BY413" i="11"/>
  <c r="BY414" i="11"/>
  <c r="BY415" i="11"/>
  <c r="BY416" i="11"/>
  <c r="BY417" i="11"/>
  <c r="BY418" i="11"/>
  <c r="BY419" i="11"/>
  <c r="BY420" i="11"/>
  <c r="BY421" i="11"/>
  <c r="BY422" i="11"/>
  <c r="BY423" i="11"/>
  <c r="BY424" i="11"/>
  <c r="BY425" i="11"/>
  <c r="BY426" i="11"/>
  <c r="BY427" i="11"/>
  <c r="BY428" i="11"/>
  <c r="BY429" i="11"/>
  <c r="BY430" i="11"/>
  <c r="BY431" i="11"/>
  <c r="BY432" i="11"/>
  <c r="BY433" i="11"/>
  <c r="BY434" i="11"/>
  <c r="BY435" i="11"/>
  <c r="BY436" i="11"/>
  <c r="BY437" i="11"/>
  <c r="BY438" i="11"/>
  <c r="BY439" i="11"/>
  <c r="BY440" i="11"/>
  <c r="BY441" i="11"/>
  <c r="BY442" i="11"/>
  <c r="BY443" i="11"/>
  <c r="BY444" i="11"/>
  <c r="BY445" i="11"/>
  <c r="BY446" i="11"/>
  <c r="BY447" i="11"/>
  <c r="BY448" i="11"/>
  <c r="BY449" i="11"/>
  <c r="BY450" i="11"/>
  <c r="BY451" i="11"/>
  <c r="BY452" i="11"/>
  <c r="BY453" i="11"/>
  <c r="BY454" i="11"/>
  <c r="BY455" i="11"/>
  <c r="BY456" i="11"/>
  <c r="BY457" i="11"/>
  <c r="BY458" i="11"/>
  <c r="BY459" i="11"/>
  <c r="BY460" i="11"/>
  <c r="BY461" i="11"/>
  <c r="BY462" i="11"/>
  <c r="BY463" i="11"/>
  <c r="BY464" i="11"/>
  <c r="BY465" i="11"/>
  <c r="BY466" i="11"/>
  <c r="BY467" i="11"/>
  <c r="BY468" i="11"/>
  <c r="BY469" i="11"/>
  <c r="BY470" i="11"/>
  <c r="BY471" i="11"/>
  <c r="BY472" i="11"/>
  <c r="BY473" i="11"/>
  <c r="BY474" i="11"/>
  <c r="BY475" i="11"/>
  <c r="BY476" i="11"/>
  <c r="BY477" i="11"/>
  <c r="BY478" i="11"/>
  <c r="BY479" i="11"/>
  <c r="BY480" i="11"/>
  <c r="BY481" i="11"/>
  <c r="BY482" i="11"/>
  <c r="BY483" i="11"/>
  <c r="BY484" i="11"/>
  <c r="BY485" i="11"/>
  <c r="BY486" i="11"/>
  <c r="BY487" i="11"/>
  <c r="BY488" i="11"/>
  <c r="BY489" i="11"/>
  <c r="BY490" i="11"/>
  <c r="BY491" i="11"/>
  <c r="BY492" i="11"/>
  <c r="BY493" i="11"/>
  <c r="BY494" i="11"/>
  <c r="BY495" i="11"/>
  <c r="BY496" i="11"/>
  <c r="BY497" i="11"/>
  <c r="BY498" i="11"/>
  <c r="BY499" i="11"/>
  <c r="BY500" i="11"/>
  <c r="BY501" i="11"/>
  <c r="BY502" i="11"/>
  <c r="BY503" i="11"/>
  <c r="BY504" i="11"/>
  <c r="BY505" i="11"/>
  <c r="BY506" i="11"/>
  <c r="BY507" i="11"/>
  <c r="BY508" i="11"/>
  <c r="BY509" i="11"/>
  <c r="BY510" i="11"/>
  <c r="BY511" i="11"/>
  <c r="BY512" i="11"/>
  <c r="BY513" i="11"/>
  <c r="BY514" i="11"/>
  <c r="BY515" i="11"/>
  <c r="BY516" i="11"/>
  <c r="BY517" i="11"/>
  <c r="BY518" i="11"/>
  <c r="BY519" i="11"/>
  <c r="BY520" i="11"/>
  <c r="BY521" i="11"/>
  <c r="BY522" i="11"/>
  <c r="BY523" i="11"/>
  <c r="BY524" i="11"/>
  <c r="BY525" i="11"/>
  <c r="BY526" i="11"/>
  <c r="BY527" i="11"/>
  <c r="BY528" i="11"/>
  <c r="BY529" i="11"/>
  <c r="BY530" i="11"/>
  <c r="BY531" i="11"/>
  <c r="BY532" i="11"/>
  <c r="BY533" i="11"/>
  <c r="BY534" i="11"/>
  <c r="BY535" i="11"/>
  <c r="BY536" i="11"/>
  <c r="BY537" i="11"/>
  <c r="BY538" i="11"/>
  <c r="BY539" i="11"/>
  <c r="BY540" i="11"/>
  <c r="BY541" i="11"/>
  <c r="BY542" i="11"/>
  <c r="BY543" i="11"/>
  <c r="BY544" i="11"/>
  <c r="BY545" i="11"/>
  <c r="BY546" i="11"/>
  <c r="BY547" i="11"/>
  <c r="BY548" i="11"/>
  <c r="BY549" i="11"/>
  <c r="BY550" i="11"/>
  <c r="BY551" i="11"/>
  <c r="BY552" i="11"/>
  <c r="BY553" i="11"/>
  <c r="BY554" i="11"/>
  <c r="BY555" i="11"/>
  <c r="BY556" i="11"/>
  <c r="BY557" i="11"/>
  <c r="BY558" i="11"/>
  <c r="BY559" i="11"/>
  <c r="BY560" i="11"/>
  <c r="BY561" i="11"/>
  <c r="BY562" i="11"/>
  <c r="BY563" i="11"/>
  <c r="BY564" i="11"/>
  <c r="BY565" i="11"/>
  <c r="BY566" i="11"/>
  <c r="BY567" i="11"/>
  <c r="BY568" i="11"/>
  <c r="BY569" i="11"/>
  <c r="BY570" i="11"/>
  <c r="BY571" i="11"/>
  <c r="BY572" i="11"/>
  <c r="BY573" i="11"/>
  <c r="BY574" i="11"/>
  <c r="BY575" i="11"/>
  <c r="BY576" i="11"/>
  <c r="BY577" i="11"/>
  <c r="BY578" i="11"/>
  <c r="BY579" i="11"/>
  <c r="BY580" i="11"/>
  <c r="BY581" i="11"/>
  <c r="BY582" i="11"/>
  <c r="BY583" i="11"/>
  <c r="BY584" i="11"/>
  <c r="BY585" i="11"/>
  <c r="BY586" i="11"/>
  <c r="BY587" i="11"/>
  <c r="BY588" i="11"/>
  <c r="BY589" i="11"/>
  <c r="BY590" i="11"/>
  <c r="BY591" i="11"/>
  <c r="BY592" i="11"/>
  <c r="BY593" i="11"/>
  <c r="BY594" i="11"/>
  <c r="BY595" i="11"/>
  <c r="BY596" i="11"/>
  <c r="BY597" i="11"/>
  <c r="BY598" i="11"/>
  <c r="BY599" i="11"/>
  <c r="BY600" i="11"/>
  <c r="BY601" i="11"/>
  <c r="BY602" i="11"/>
  <c r="BY603" i="11"/>
  <c r="BY604" i="11"/>
  <c r="BY605" i="11"/>
  <c r="BY606" i="11"/>
  <c r="BY607" i="11"/>
  <c r="BY608" i="11"/>
  <c r="BY609" i="11"/>
  <c r="BY610" i="11"/>
  <c r="BY611" i="11"/>
  <c r="BY612" i="11"/>
  <c r="BY613" i="11"/>
  <c r="BY614" i="11"/>
  <c r="BY615" i="11"/>
  <c r="BY616" i="11"/>
  <c r="BY617" i="11"/>
  <c r="BY618" i="11"/>
  <c r="BY619" i="11"/>
  <c r="BY620" i="11"/>
  <c r="BY621" i="11"/>
  <c r="BY622" i="11"/>
  <c r="BY623" i="11"/>
  <c r="BY624" i="11"/>
  <c r="BY625" i="11"/>
  <c r="BY626" i="11"/>
  <c r="BY627" i="11"/>
  <c r="BY2" i="11"/>
  <c r="L4" i="13"/>
  <c r="B6" i="13"/>
  <c r="D2" i="6"/>
  <c r="L5" i="13"/>
  <c r="G3" i="13"/>
  <c r="F3" i="13"/>
  <c r="E3" i="13"/>
  <c r="D3" i="13"/>
  <c r="C3" i="13"/>
  <c r="E23" i="13"/>
  <c r="F22" i="13"/>
  <c r="E22" i="13"/>
  <c r="F21" i="13"/>
  <c r="E21" i="13"/>
  <c r="F20" i="13"/>
  <c r="E20" i="13"/>
  <c r="F19" i="13"/>
  <c r="E19" i="13"/>
  <c r="F18" i="13"/>
  <c r="E18" i="13"/>
  <c r="F17" i="13"/>
  <c r="E17" i="13"/>
  <c r="F16" i="13"/>
  <c r="E16" i="13"/>
  <c r="F15" i="13"/>
  <c r="E15" i="13"/>
  <c r="F14" i="13"/>
  <c r="E14" i="13"/>
  <c r="F13" i="13"/>
  <c r="E13" i="13"/>
  <c r="F12" i="13"/>
  <c r="E12" i="13"/>
  <c r="F11" i="13"/>
  <c r="E11" i="13"/>
  <c r="F10" i="13"/>
  <c r="E10" i="13"/>
  <c r="B10" i="13"/>
  <c r="B11" i="13" s="1"/>
  <c r="B12" i="13" s="1"/>
  <c r="B13" i="13" s="1"/>
  <c r="B14" i="13" s="1"/>
  <c r="B15" i="13" s="1"/>
  <c r="B16" i="13" s="1"/>
  <c r="B17" i="13" s="1"/>
  <c r="B18" i="13" s="1"/>
  <c r="B19" i="13" s="1"/>
  <c r="B20" i="13" s="1"/>
  <c r="B21" i="13" s="1"/>
  <c r="B22" i="13" s="1"/>
  <c r="B23" i="13" s="1"/>
  <c r="B24" i="13" s="1"/>
  <c r="B25" i="13" s="1"/>
  <c r="F9" i="13"/>
  <c r="E9" i="13"/>
  <c r="E36" i="13" s="1"/>
  <c r="I36" i="13" s="1"/>
  <c r="BW627" i="11"/>
  <c r="BI627" i="11"/>
  <c r="BW626" i="11"/>
  <c r="BI626" i="11"/>
  <c r="BW625" i="11"/>
  <c r="BI625" i="11"/>
  <c r="BW624" i="11"/>
  <c r="BI624" i="11"/>
  <c r="BW623" i="11"/>
  <c r="BI623" i="11"/>
  <c r="BW622" i="11"/>
  <c r="BI622" i="11"/>
  <c r="BW621" i="11"/>
  <c r="BI621" i="11"/>
  <c r="BW620" i="11"/>
  <c r="BI620" i="11"/>
  <c r="BW619" i="11"/>
  <c r="BI619" i="11"/>
  <c r="BW618" i="11"/>
  <c r="BI618" i="11"/>
  <c r="BW617" i="11"/>
  <c r="BI617" i="11"/>
  <c r="BW616" i="11"/>
  <c r="BI616" i="11"/>
  <c r="BW615" i="11"/>
  <c r="BI615" i="11"/>
  <c r="BW614" i="11"/>
  <c r="BI614" i="11"/>
  <c r="BW613" i="11"/>
  <c r="BI613" i="11"/>
  <c r="BW612" i="11"/>
  <c r="BI612" i="11"/>
  <c r="BW611" i="11"/>
  <c r="BI611" i="11"/>
  <c r="BW610" i="11"/>
  <c r="BI610" i="11"/>
  <c r="BW609" i="11"/>
  <c r="BI609" i="11"/>
  <c r="BW608" i="11"/>
  <c r="BI608" i="11"/>
  <c r="BW607" i="11"/>
  <c r="BI607" i="11"/>
  <c r="BW606" i="11"/>
  <c r="BI606" i="11"/>
  <c r="BW605" i="11"/>
  <c r="BI605" i="11"/>
  <c r="BW604" i="11"/>
  <c r="BI604" i="11"/>
  <c r="BW603" i="11"/>
  <c r="BI603" i="11"/>
  <c r="BW602" i="11"/>
  <c r="BI602" i="11"/>
  <c r="BW601" i="11"/>
  <c r="BI601" i="11"/>
  <c r="BW600" i="11"/>
  <c r="BI600" i="11"/>
  <c r="BW599" i="11"/>
  <c r="BI599" i="11"/>
  <c r="BW598" i="11"/>
  <c r="BI598" i="11"/>
  <c r="BW597" i="11"/>
  <c r="BI597" i="11"/>
  <c r="BW596" i="11"/>
  <c r="BI596" i="11"/>
  <c r="BW595" i="11"/>
  <c r="BI595" i="11"/>
  <c r="BW594" i="11"/>
  <c r="BI594" i="11"/>
  <c r="BW593" i="11"/>
  <c r="BI593" i="11"/>
  <c r="BW592" i="11"/>
  <c r="BI592" i="11"/>
  <c r="BW591" i="11"/>
  <c r="BI591" i="11"/>
  <c r="BW590" i="11"/>
  <c r="BI590" i="11"/>
  <c r="BW589" i="11"/>
  <c r="BI589" i="11"/>
  <c r="BW588" i="11"/>
  <c r="BI588" i="11"/>
  <c r="BW587" i="11"/>
  <c r="BI587" i="11"/>
  <c r="BW586" i="11"/>
  <c r="BI586" i="11"/>
  <c r="BW585" i="11"/>
  <c r="BI585" i="11"/>
  <c r="BW584" i="11"/>
  <c r="BI584" i="11"/>
  <c r="BW583" i="11"/>
  <c r="BI583" i="11"/>
  <c r="BW582" i="11"/>
  <c r="BI582" i="11"/>
  <c r="BW581" i="11"/>
  <c r="BI581" i="11"/>
  <c r="BW580" i="11"/>
  <c r="BI580" i="11"/>
  <c r="BW579" i="11"/>
  <c r="BI579" i="11"/>
  <c r="BW578" i="11"/>
  <c r="BI578" i="11"/>
  <c r="BW577" i="11"/>
  <c r="BI577" i="11"/>
  <c r="BW576" i="11"/>
  <c r="BI576" i="11"/>
  <c r="BW575" i="11"/>
  <c r="BI575" i="11"/>
  <c r="BW574" i="11"/>
  <c r="BI574" i="11"/>
  <c r="BW573" i="11"/>
  <c r="BI573" i="11"/>
  <c r="BW572" i="11"/>
  <c r="BI572" i="11"/>
  <c r="BW571" i="11"/>
  <c r="BI571" i="11"/>
  <c r="BW570" i="11"/>
  <c r="BI570" i="11"/>
  <c r="BW569" i="11"/>
  <c r="BI569" i="11"/>
  <c r="BW568" i="11"/>
  <c r="BI568" i="11"/>
  <c r="BW567" i="11"/>
  <c r="BI567" i="11"/>
  <c r="BW566" i="11"/>
  <c r="BI566" i="11"/>
  <c r="BW565" i="11"/>
  <c r="BI565" i="11"/>
  <c r="BW564" i="11"/>
  <c r="BI564" i="11"/>
  <c r="BW563" i="11"/>
  <c r="BI563" i="11"/>
  <c r="BW562" i="11"/>
  <c r="BI562" i="11"/>
  <c r="BW561" i="11"/>
  <c r="BI561" i="11"/>
  <c r="BW560" i="11"/>
  <c r="BI560" i="11"/>
  <c r="BW559" i="11"/>
  <c r="BI559" i="11"/>
  <c r="BW558" i="11"/>
  <c r="BI558" i="11"/>
  <c r="BW557" i="11"/>
  <c r="BI557" i="11"/>
  <c r="BW556" i="11"/>
  <c r="BI556" i="11"/>
  <c r="BW555" i="11"/>
  <c r="BI555" i="11"/>
  <c r="BW554" i="11"/>
  <c r="BI554" i="11"/>
  <c r="BW553" i="11"/>
  <c r="BI553" i="11"/>
  <c r="BW552" i="11"/>
  <c r="BI552" i="11"/>
  <c r="BW551" i="11"/>
  <c r="BI551" i="11"/>
  <c r="BW550" i="11"/>
  <c r="BI550" i="11"/>
  <c r="BW549" i="11"/>
  <c r="BI549" i="11"/>
  <c r="BW548" i="11"/>
  <c r="BI548" i="11"/>
  <c r="BW547" i="11"/>
  <c r="BI547" i="11"/>
  <c r="BW546" i="11"/>
  <c r="BI546" i="11"/>
  <c r="BW545" i="11"/>
  <c r="BI545" i="11"/>
  <c r="BW544" i="11"/>
  <c r="BI544" i="11"/>
  <c r="BW543" i="11"/>
  <c r="BI543" i="11"/>
  <c r="BW542" i="11"/>
  <c r="BI542" i="11"/>
  <c r="BW541" i="11"/>
  <c r="BI541" i="11"/>
  <c r="BW540" i="11"/>
  <c r="BI540" i="11"/>
  <c r="BW539" i="11"/>
  <c r="BI539" i="11"/>
  <c r="BW538" i="11"/>
  <c r="BI538" i="11"/>
  <c r="BW537" i="11"/>
  <c r="BI537" i="11"/>
  <c r="BW536" i="11"/>
  <c r="BI536" i="11"/>
  <c r="BW535" i="11"/>
  <c r="BI535" i="11"/>
  <c r="BW534" i="11"/>
  <c r="BI534" i="11"/>
  <c r="BW533" i="11"/>
  <c r="BI533" i="11"/>
  <c r="BW532" i="11"/>
  <c r="BI532" i="11"/>
  <c r="BW531" i="11"/>
  <c r="BI531" i="11"/>
  <c r="BW530" i="11"/>
  <c r="BI530" i="11"/>
  <c r="BW529" i="11"/>
  <c r="BI529" i="11"/>
  <c r="BW528" i="11"/>
  <c r="BI528" i="11"/>
  <c r="BW527" i="11"/>
  <c r="BI527" i="11"/>
  <c r="BW526" i="11"/>
  <c r="BI526" i="11"/>
  <c r="BW525" i="11"/>
  <c r="BI525" i="11"/>
  <c r="BW524" i="11"/>
  <c r="BI524" i="11"/>
  <c r="BW523" i="11"/>
  <c r="BI523" i="11"/>
  <c r="BW522" i="11"/>
  <c r="BI522" i="11"/>
  <c r="BW521" i="11"/>
  <c r="BI521" i="11"/>
  <c r="BW520" i="11"/>
  <c r="BI520" i="11"/>
  <c r="BW519" i="11"/>
  <c r="BI519" i="11"/>
  <c r="BW518" i="11"/>
  <c r="BI518" i="11"/>
  <c r="BW517" i="11"/>
  <c r="BI517" i="11"/>
  <c r="BW516" i="11"/>
  <c r="BI516" i="11"/>
  <c r="BW515" i="11"/>
  <c r="BI515" i="11"/>
  <c r="BW514" i="11"/>
  <c r="BI514" i="11"/>
  <c r="BW513" i="11"/>
  <c r="BI513" i="11"/>
  <c r="BW512" i="11"/>
  <c r="BI512" i="11"/>
  <c r="BW511" i="11"/>
  <c r="BI511" i="11"/>
  <c r="BW510" i="11"/>
  <c r="BI510" i="11"/>
  <c r="BW509" i="11"/>
  <c r="BI509" i="11"/>
  <c r="BW508" i="11"/>
  <c r="BI508" i="11"/>
  <c r="BW507" i="11"/>
  <c r="BI507" i="11"/>
  <c r="BW506" i="11"/>
  <c r="BI506" i="11"/>
  <c r="BW505" i="11"/>
  <c r="BI505" i="11"/>
  <c r="BW504" i="11"/>
  <c r="BI504" i="11"/>
  <c r="BW503" i="11"/>
  <c r="BI503" i="11"/>
  <c r="BW502" i="11"/>
  <c r="BI502" i="11"/>
  <c r="BW501" i="11"/>
  <c r="BI501" i="11"/>
  <c r="BW500" i="11"/>
  <c r="BI500" i="11"/>
  <c r="BW499" i="11"/>
  <c r="BW498" i="11"/>
  <c r="BI498" i="11"/>
  <c r="BW497" i="11"/>
  <c r="BI497" i="11"/>
  <c r="BW496" i="11"/>
  <c r="BI496" i="11"/>
  <c r="BW495" i="11"/>
  <c r="BI495" i="11"/>
  <c r="BW494" i="11"/>
  <c r="BI494" i="11"/>
  <c r="BW493" i="11"/>
  <c r="BI493" i="11"/>
  <c r="BW492" i="11"/>
  <c r="BI492" i="11"/>
  <c r="BW491" i="11"/>
  <c r="BI491" i="11"/>
  <c r="BW490" i="11"/>
  <c r="BI490" i="11"/>
  <c r="BW489" i="11"/>
  <c r="BI489" i="11"/>
  <c r="BW488" i="11"/>
  <c r="BI488" i="11"/>
  <c r="BW487" i="11"/>
  <c r="BI487" i="11"/>
  <c r="BW486" i="11"/>
  <c r="BI486" i="11"/>
  <c r="BW485" i="11"/>
  <c r="BI485" i="11"/>
  <c r="BW484" i="11"/>
  <c r="BI484" i="11"/>
  <c r="BW483" i="11"/>
  <c r="BI483" i="11"/>
  <c r="BW482" i="11"/>
  <c r="BI482" i="11"/>
  <c r="BW481" i="11"/>
  <c r="BI481" i="11"/>
  <c r="BW480" i="11"/>
  <c r="BI480" i="11"/>
  <c r="BW479" i="11"/>
  <c r="BI479" i="11"/>
  <c r="BW478" i="11"/>
  <c r="BI478" i="11"/>
  <c r="BW477" i="11"/>
  <c r="BI477" i="11"/>
  <c r="BW476" i="11"/>
  <c r="BI476" i="11"/>
  <c r="BW475" i="11"/>
  <c r="BI475" i="11"/>
  <c r="BW474" i="11"/>
  <c r="BI474" i="11"/>
  <c r="BW473" i="11"/>
  <c r="BI473" i="11"/>
  <c r="BW472" i="11"/>
  <c r="BI472" i="11"/>
  <c r="BW471" i="11"/>
  <c r="BI471" i="11"/>
  <c r="BW470" i="11"/>
  <c r="BI470" i="11"/>
  <c r="BW469" i="11"/>
  <c r="BI469" i="11"/>
  <c r="BW468" i="11"/>
  <c r="BI468" i="11"/>
  <c r="BW467" i="11"/>
  <c r="BI467" i="11"/>
  <c r="BW466" i="11"/>
  <c r="BI466" i="11"/>
  <c r="BW465" i="11"/>
  <c r="BI465" i="11"/>
  <c r="BW464" i="11"/>
  <c r="BI464" i="11"/>
  <c r="BW463" i="11"/>
  <c r="BI463" i="11"/>
  <c r="BW462" i="11"/>
  <c r="BI462" i="11"/>
  <c r="BW461" i="11"/>
  <c r="BI461" i="11"/>
  <c r="BW460" i="11"/>
  <c r="BI460" i="11"/>
  <c r="BW459" i="11"/>
  <c r="BI459" i="11"/>
  <c r="BW458" i="11"/>
  <c r="BI458" i="11"/>
  <c r="BW457" i="11"/>
  <c r="BI457" i="11"/>
  <c r="BW456" i="11"/>
  <c r="BI456" i="11"/>
  <c r="BW455" i="11"/>
  <c r="BI455" i="11"/>
  <c r="BW454" i="11"/>
  <c r="BI454" i="11"/>
  <c r="BW453" i="11"/>
  <c r="BI453" i="11"/>
  <c r="BW452" i="11"/>
  <c r="BI452" i="11"/>
  <c r="BW451" i="11"/>
  <c r="BI451" i="11"/>
  <c r="BW450" i="11"/>
  <c r="BI450" i="11"/>
  <c r="BW449" i="11"/>
  <c r="BI449" i="11"/>
  <c r="BW448" i="11"/>
  <c r="BI448" i="11"/>
  <c r="BW447" i="11"/>
  <c r="BI447" i="11"/>
  <c r="BW446" i="11"/>
  <c r="BI446" i="11"/>
  <c r="BW445" i="11"/>
  <c r="BI445" i="11"/>
  <c r="BW444" i="11"/>
  <c r="BI444" i="11"/>
  <c r="BW443" i="11"/>
  <c r="BI443" i="11"/>
  <c r="BW442" i="11"/>
  <c r="BI442" i="11"/>
  <c r="BW441" i="11"/>
  <c r="BI441" i="11"/>
  <c r="BW440" i="11"/>
  <c r="BI440" i="11"/>
  <c r="BW439" i="11"/>
  <c r="BI439" i="11"/>
  <c r="BW438" i="11"/>
  <c r="BI438" i="11"/>
  <c r="BW437" i="11"/>
  <c r="BI437" i="11"/>
  <c r="BW436" i="11"/>
  <c r="BI436" i="11"/>
  <c r="BW435" i="11"/>
  <c r="BI435" i="11"/>
  <c r="BW434" i="11"/>
  <c r="BI434" i="11"/>
  <c r="BW433" i="11"/>
  <c r="BI433" i="11"/>
  <c r="BW432" i="11"/>
  <c r="BI432" i="11"/>
  <c r="BW431" i="11"/>
  <c r="BI431" i="11"/>
  <c r="BW430" i="11"/>
  <c r="BI430" i="11"/>
  <c r="BW429" i="11"/>
  <c r="BI429" i="11"/>
  <c r="BW428" i="11"/>
  <c r="BI428" i="11"/>
  <c r="BW427" i="11"/>
  <c r="BI427" i="11"/>
  <c r="BW426" i="11"/>
  <c r="BI426" i="11"/>
  <c r="BW425" i="11"/>
  <c r="BI425" i="11"/>
  <c r="BW424" i="11"/>
  <c r="BI424" i="11"/>
  <c r="BW423" i="11"/>
  <c r="BI423" i="11"/>
  <c r="BW422" i="11"/>
  <c r="BI422" i="11"/>
  <c r="BW421" i="11"/>
  <c r="BI421" i="11"/>
  <c r="BW420" i="11"/>
  <c r="BI420" i="11"/>
  <c r="BW419" i="11"/>
  <c r="BI419" i="11"/>
  <c r="BW418" i="11"/>
  <c r="BI418" i="11"/>
  <c r="BW417" i="11"/>
  <c r="BI417" i="11"/>
  <c r="BW416" i="11"/>
  <c r="BI416" i="11"/>
  <c r="BW415" i="11"/>
  <c r="BI415" i="11"/>
  <c r="BW414" i="11"/>
  <c r="BI414" i="11"/>
  <c r="BW413" i="11"/>
  <c r="BI413" i="11"/>
  <c r="BW412" i="11"/>
  <c r="BI412" i="11"/>
  <c r="BW411" i="11"/>
  <c r="BI411" i="11"/>
  <c r="BW410" i="11"/>
  <c r="BI410" i="11"/>
  <c r="BW409" i="11"/>
  <c r="BI409" i="11"/>
  <c r="BW408" i="11"/>
  <c r="BI408" i="11"/>
  <c r="BW407" i="11"/>
  <c r="BI407" i="11"/>
  <c r="BW406" i="11"/>
  <c r="BI406" i="11"/>
  <c r="BW405" i="11"/>
  <c r="BI405" i="11"/>
  <c r="BW404" i="11"/>
  <c r="BI404" i="11"/>
  <c r="BW403" i="11"/>
  <c r="BI403" i="11"/>
  <c r="BW402" i="11"/>
  <c r="BI402" i="11"/>
  <c r="BW401" i="11"/>
  <c r="BI401" i="11"/>
  <c r="BW400" i="11"/>
  <c r="BI400" i="11"/>
  <c r="BW399" i="11"/>
  <c r="BI399" i="11"/>
  <c r="BW398" i="11"/>
  <c r="BI398" i="11"/>
  <c r="BW397" i="11"/>
  <c r="BI397" i="11"/>
  <c r="BW396" i="11"/>
  <c r="BI396" i="11"/>
  <c r="BW395" i="11"/>
  <c r="BI395" i="11"/>
  <c r="BW394" i="11"/>
  <c r="BI394" i="11"/>
  <c r="BW393" i="11"/>
  <c r="BI393" i="11"/>
  <c r="BW392" i="11"/>
  <c r="BI392" i="11"/>
  <c r="BW391" i="11"/>
  <c r="BI391" i="11"/>
  <c r="BW390" i="11"/>
  <c r="BI390" i="11"/>
  <c r="BW389" i="11"/>
  <c r="BI389" i="11"/>
  <c r="BW388" i="11"/>
  <c r="BI388" i="11"/>
  <c r="BW387" i="11"/>
  <c r="BI387" i="11"/>
  <c r="BW386" i="11"/>
  <c r="BI386" i="11"/>
  <c r="BW385" i="11"/>
  <c r="BI385" i="11"/>
  <c r="BW384" i="11"/>
  <c r="BI384" i="11"/>
  <c r="BW383" i="11"/>
  <c r="BI383" i="11"/>
  <c r="BW382" i="11"/>
  <c r="BI382" i="11"/>
  <c r="BW381" i="11"/>
  <c r="BI381" i="11"/>
  <c r="BW380" i="11"/>
  <c r="BI380" i="11"/>
  <c r="BW379" i="11"/>
  <c r="BI379" i="11"/>
  <c r="BW378" i="11"/>
  <c r="BI378" i="11"/>
  <c r="BW377" i="11"/>
  <c r="BI377" i="11"/>
  <c r="BW376" i="11"/>
  <c r="BI376" i="11"/>
  <c r="BW375" i="11"/>
  <c r="BI375" i="11"/>
  <c r="BW374" i="11"/>
  <c r="BI374" i="11"/>
  <c r="BW373" i="11"/>
  <c r="BI373" i="11"/>
  <c r="BW372" i="11"/>
  <c r="BI372" i="11"/>
  <c r="BW371" i="11"/>
  <c r="BI371" i="11"/>
  <c r="BW370" i="11"/>
  <c r="BI370" i="11"/>
  <c r="BW369" i="11"/>
  <c r="BI369" i="11"/>
  <c r="BW368" i="11"/>
  <c r="BI368" i="11"/>
  <c r="BW367" i="11"/>
  <c r="BI367" i="11"/>
  <c r="BW366" i="11"/>
  <c r="BI366" i="11"/>
  <c r="BW365" i="11"/>
  <c r="BI365" i="11"/>
  <c r="BW364" i="11"/>
  <c r="BI364" i="11"/>
  <c r="BW363" i="11"/>
  <c r="BI363" i="11"/>
  <c r="BW362" i="11"/>
  <c r="BI362" i="11"/>
  <c r="BW361" i="11"/>
  <c r="BI361" i="11"/>
  <c r="BW360" i="11"/>
  <c r="BI360" i="11"/>
  <c r="BW359" i="11"/>
  <c r="BI359" i="11"/>
  <c r="BW358" i="11"/>
  <c r="BI358" i="11"/>
  <c r="BW357" i="11"/>
  <c r="BI357" i="11"/>
  <c r="BW356" i="11"/>
  <c r="BI356" i="11"/>
  <c r="BW355" i="11"/>
  <c r="BI355" i="11"/>
  <c r="BW354" i="11"/>
  <c r="BI354" i="11"/>
  <c r="BW353" i="11"/>
  <c r="BI353" i="11"/>
  <c r="BW352" i="11"/>
  <c r="BI352" i="11"/>
  <c r="BW351" i="11"/>
  <c r="BI351" i="11"/>
  <c r="BW350" i="11"/>
  <c r="BI350" i="11"/>
  <c r="BW349" i="11"/>
  <c r="BI349" i="11"/>
  <c r="BW348" i="11"/>
  <c r="BI348" i="11"/>
  <c r="BW347" i="11"/>
  <c r="BI347" i="11"/>
  <c r="BW346" i="11"/>
  <c r="BI346" i="11"/>
  <c r="BW345" i="11"/>
  <c r="BI345" i="11"/>
  <c r="BW344" i="11"/>
  <c r="BI344" i="11"/>
  <c r="BW343" i="11"/>
  <c r="BI343" i="11"/>
  <c r="BW342" i="11"/>
  <c r="BI342" i="11"/>
  <c r="BW341" i="11"/>
  <c r="BI341" i="11"/>
  <c r="BW340" i="11"/>
  <c r="BI340" i="11"/>
  <c r="BW339" i="11"/>
  <c r="BI339" i="11"/>
  <c r="BW338" i="11"/>
  <c r="BI338" i="11"/>
  <c r="BW337" i="11"/>
  <c r="BI337" i="11"/>
  <c r="BW336" i="11"/>
  <c r="BI336" i="11"/>
  <c r="BW335" i="11"/>
  <c r="BI335" i="11"/>
  <c r="BW334" i="11"/>
  <c r="BI334" i="11"/>
  <c r="BW333" i="11"/>
  <c r="BI333" i="11"/>
  <c r="BW332" i="11"/>
  <c r="BI332" i="11"/>
  <c r="BW331" i="11"/>
  <c r="BI331" i="11"/>
  <c r="BW330" i="11"/>
  <c r="BI330" i="11"/>
  <c r="BW329" i="11"/>
  <c r="BI329" i="11"/>
  <c r="BW328" i="11"/>
  <c r="BI328" i="11"/>
  <c r="BW327" i="11"/>
  <c r="BI327" i="11"/>
  <c r="BW326" i="11"/>
  <c r="BI326" i="11"/>
  <c r="BW325" i="11"/>
  <c r="BI325" i="11"/>
  <c r="BW324" i="11"/>
  <c r="BI324" i="11"/>
  <c r="BW323" i="11"/>
  <c r="BI323" i="11"/>
  <c r="BW322" i="11"/>
  <c r="BI322" i="11"/>
  <c r="BW321" i="11"/>
  <c r="BI321" i="11"/>
  <c r="BW320" i="11"/>
  <c r="BI320" i="11"/>
  <c r="BW319" i="11"/>
  <c r="BI319" i="11"/>
  <c r="BW318" i="11"/>
  <c r="BI318" i="11"/>
  <c r="BW317" i="11"/>
  <c r="BI317" i="11"/>
  <c r="BW316" i="11"/>
  <c r="BI316" i="11"/>
  <c r="BW315" i="11"/>
  <c r="BI315" i="11"/>
  <c r="BW314" i="11"/>
  <c r="BI314" i="11"/>
  <c r="BW313" i="11"/>
  <c r="BI313" i="11"/>
  <c r="BW312" i="11"/>
  <c r="BI312" i="11"/>
  <c r="BW311" i="11"/>
  <c r="BI311" i="11"/>
  <c r="BW310" i="11"/>
  <c r="BI310" i="11"/>
  <c r="BW309" i="11"/>
  <c r="BI309" i="11"/>
  <c r="BW308" i="11"/>
  <c r="BI308" i="11"/>
  <c r="BW307" i="11"/>
  <c r="BI307" i="11"/>
  <c r="BW306" i="11"/>
  <c r="BI306" i="11"/>
  <c r="BW305" i="11"/>
  <c r="BI305" i="11"/>
  <c r="BW304" i="11"/>
  <c r="BI304" i="11"/>
  <c r="BW303" i="11"/>
  <c r="BI303" i="11"/>
  <c r="BW302" i="11"/>
  <c r="BI302" i="11"/>
  <c r="BW301" i="11"/>
  <c r="BW300" i="11"/>
  <c r="BW299" i="11"/>
  <c r="BI299" i="11"/>
  <c r="BW298" i="11"/>
  <c r="BI298" i="11"/>
  <c r="BW297" i="11"/>
  <c r="BI297" i="11"/>
  <c r="BW296" i="11"/>
  <c r="BI296" i="11"/>
  <c r="BW295" i="11"/>
  <c r="BI295" i="11"/>
  <c r="BW294" i="11"/>
  <c r="BI294" i="11"/>
  <c r="BW293" i="11"/>
  <c r="BI293" i="11"/>
  <c r="BW292" i="11"/>
  <c r="BI292" i="11"/>
  <c r="BW291" i="11"/>
  <c r="BI291" i="11"/>
  <c r="BW290" i="11"/>
  <c r="BI290" i="11"/>
  <c r="BW289" i="11"/>
  <c r="BI289" i="11"/>
  <c r="BW288" i="11"/>
  <c r="BI288" i="11"/>
  <c r="BW287" i="11"/>
  <c r="BI287" i="11"/>
  <c r="BW286" i="11"/>
  <c r="BI286" i="11"/>
  <c r="BW285" i="11"/>
  <c r="BI285" i="11"/>
  <c r="BW284" i="11"/>
  <c r="BI284" i="11"/>
  <c r="BW283" i="11"/>
  <c r="BI283" i="11"/>
  <c r="BW282" i="11"/>
  <c r="BI282" i="11"/>
  <c r="BW281" i="11"/>
  <c r="BI281" i="11"/>
  <c r="BW280" i="11"/>
  <c r="BI280" i="11"/>
  <c r="BW279" i="11"/>
  <c r="BI279" i="11"/>
  <c r="BW278" i="11"/>
  <c r="BI278" i="11"/>
  <c r="BW277" i="11"/>
  <c r="BI277" i="11"/>
  <c r="BW276" i="11"/>
  <c r="BI276" i="11"/>
  <c r="BW275" i="11"/>
  <c r="BI275" i="11"/>
  <c r="BW274" i="11"/>
  <c r="BI274" i="11"/>
  <c r="BW273" i="11"/>
  <c r="BI273" i="11"/>
  <c r="BW272" i="11"/>
  <c r="BI272" i="11"/>
  <c r="BW271" i="11"/>
  <c r="BI271" i="11"/>
  <c r="BW270" i="11"/>
  <c r="BI270" i="11"/>
  <c r="BW269" i="11"/>
  <c r="BI269" i="11"/>
  <c r="BW268" i="11"/>
  <c r="BI268" i="11"/>
  <c r="BW267" i="11"/>
  <c r="BI267" i="11"/>
  <c r="BW266" i="11"/>
  <c r="BI266" i="11"/>
  <c r="BW265" i="11"/>
  <c r="BI265" i="11"/>
  <c r="BW264" i="11"/>
  <c r="BI264" i="11"/>
  <c r="BW263" i="11"/>
  <c r="BI263" i="11"/>
  <c r="BW262" i="11"/>
  <c r="BI262" i="11"/>
  <c r="BW261" i="11"/>
  <c r="BI261" i="11"/>
  <c r="BW260" i="11"/>
  <c r="BI260" i="11"/>
  <c r="BW259" i="11"/>
  <c r="BI259" i="11"/>
  <c r="BW258" i="11"/>
  <c r="BI258" i="11"/>
  <c r="BW257" i="11"/>
  <c r="BI257" i="11"/>
  <c r="BW256" i="11"/>
  <c r="BI256" i="11"/>
  <c r="BW255" i="11"/>
  <c r="BI255" i="11"/>
  <c r="BW254" i="11"/>
  <c r="BI254" i="11"/>
  <c r="BW253" i="11"/>
  <c r="BI253" i="11"/>
  <c r="BW252" i="11"/>
  <c r="BI252" i="11"/>
  <c r="BW251" i="11"/>
  <c r="BI251" i="11"/>
  <c r="BW250" i="11"/>
  <c r="BI250" i="11"/>
  <c r="BW249" i="11"/>
  <c r="BI249" i="11"/>
  <c r="BW248" i="11"/>
  <c r="BI248" i="11"/>
  <c r="BW247" i="11"/>
  <c r="BI247" i="11"/>
  <c r="BW246" i="11"/>
  <c r="BI246" i="11"/>
  <c r="BW245" i="11"/>
  <c r="BI245" i="11"/>
  <c r="BW244" i="11"/>
  <c r="BI244" i="11"/>
  <c r="BW243" i="11"/>
  <c r="BI243" i="11"/>
  <c r="BW242" i="11"/>
  <c r="BI242" i="11"/>
  <c r="BW241" i="11"/>
  <c r="BI241" i="11"/>
  <c r="BW240" i="11"/>
  <c r="BI240" i="11"/>
  <c r="BW239" i="11"/>
  <c r="BI239" i="11"/>
  <c r="BW238" i="11"/>
  <c r="BI238" i="11"/>
  <c r="BW237" i="11"/>
  <c r="BI237" i="11"/>
  <c r="BW236" i="11"/>
  <c r="BI236" i="11"/>
  <c r="BW235" i="11"/>
  <c r="BI235" i="11"/>
  <c r="BW234" i="11"/>
  <c r="BI234" i="11"/>
  <c r="BW233" i="11"/>
  <c r="BI233" i="11"/>
  <c r="BW232" i="11"/>
  <c r="BI232" i="11"/>
  <c r="BW231" i="11"/>
  <c r="BI231" i="11"/>
  <c r="BW230" i="11"/>
  <c r="BI230" i="11"/>
  <c r="BW229" i="11"/>
  <c r="BI229" i="11"/>
  <c r="BW228" i="11"/>
  <c r="BI228" i="11"/>
  <c r="BW227" i="11"/>
  <c r="BI227" i="11"/>
  <c r="BW226" i="11"/>
  <c r="BI226" i="11"/>
  <c r="BW225" i="11"/>
  <c r="BI225" i="11"/>
  <c r="BW224" i="11"/>
  <c r="BI224" i="11"/>
  <c r="BW223" i="11"/>
  <c r="BI223" i="11"/>
  <c r="BW222" i="11"/>
  <c r="BI222" i="11"/>
  <c r="BW221" i="11"/>
  <c r="BI221" i="11"/>
  <c r="BW220" i="11"/>
  <c r="BI220" i="11"/>
  <c r="BW219" i="11"/>
  <c r="BI219" i="11"/>
  <c r="BW218" i="11"/>
  <c r="BI218" i="11"/>
  <c r="BW217" i="11"/>
  <c r="BI217" i="11"/>
  <c r="BW216" i="11"/>
  <c r="BI216" i="11"/>
  <c r="BW215" i="11"/>
  <c r="BI215" i="11"/>
  <c r="BW214" i="11"/>
  <c r="BI214" i="11"/>
  <c r="BW213" i="11"/>
  <c r="BI213" i="11"/>
  <c r="BW212" i="11"/>
  <c r="BI212" i="11"/>
  <c r="BW211" i="11"/>
  <c r="BI211" i="11"/>
  <c r="BW210" i="11"/>
  <c r="BI210" i="11"/>
  <c r="BW209" i="11"/>
  <c r="BI209" i="11"/>
  <c r="BW208" i="11"/>
  <c r="BI208" i="11"/>
  <c r="BW207" i="11"/>
  <c r="BW206" i="11"/>
  <c r="BI206" i="11"/>
  <c r="BW205" i="11"/>
  <c r="BI205" i="11"/>
  <c r="BW204" i="11"/>
  <c r="BI204" i="11"/>
  <c r="BW203" i="11"/>
  <c r="BI203" i="11"/>
  <c r="BW202" i="11"/>
  <c r="BI202" i="11"/>
  <c r="BW201" i="11"/>
  <c r="BI201" i="11"/>
  <c r="BW200" i="11"/>
  <c r="BI200" i="11"/>
  <c r="BW199" i="11"/>
  <c r="BI199" i="11"/>
  <c r="BW198" i="11"/>
  <c r="BI198" i="11"/>
  <c r="BW197" i="11"/>
  <c r="BI197" i="11"/>
  <c r="BW196" i="11"/>
  <c r="BI196" i="11"/>
  <c r="BW195" i="11"/>
  <c r="BI195" i="11"/>
  <c r="BW194" i="11"/>
  <c r="BI194" i="11"/>
  <c r="BW193" i="11"/>
  <c r="BI193" i="11"/>
  <c r="BW192" i="11"/>
  <c r="BI192" i="11"/>
  <c r="BW191" i="11"/>
  <c r="BI191" i="11"/>
  <c r="BW190" i="11"/>
  <c r="BI190" i="11"/>
  <c r="BW189" i="11"/>
  <c r="BI189" i="11"/>
  <c r="BW188" i="11"/>
  <c r="BI188" i="11"/>
  <c r="BW187" i="11"/>
  <c r="BI187" i="11"/>
  <c r="BW186" i="11"/>
  <c r="BI186" i="11"/>
  <c r="BW185" i="11"/>
  <c r="BI185" i="11"/>
  <c r="BW184" i="11"/>
  <c r="BI184" i="11"/>
  <c r="BW183" i="11"/>
  <c r="BI183" i="11"/>
  <c r="BW182" i="11"/>
  <c r="BI182" i="11"/>
  <c r="BW181" i="11"/>
  <c r="BI181" i="11"/>
  <c r="BW180" i="11"/>
  <c r="BI180" i="11"/>
  <c r="BW179" i="11"/>
  <c r="BI179" i="11"/>
  <c r="BW178" i="11"/>
  <c r="BI178" i="11"/>
  <c r="BW177" i="11"/>
  <c r="BI177" i="11"/>
  <c r="BW176" i="11"/>
  <c r="BI176" i="11"/>
  <c r="BW175" i="11"/>
  <c r="BI175" i="11"/>
  <c r="BW174" i="11"/>
  <c r="BI174" i="11"/>
  <c r="BW173" i="11"/>
  <c r="BI173" i="11"/>
  <c r="BW172" i="11"/>
  <c r="BI172" i="11"/>
  <c r="BW171" i="11"/>
  <c r="BI171" i="11"/>
  <c r="BW170" i="11"/>
  <c r="BI170" i="11"/>
  <c r="BW169" i="11"/>
  <c r="BI169" i="11"/>
  <c r="BW168" i="11"/>
  <c r="BI168" i="11"/>
  <c r="BW167" i="11"/>
  <c r="BI167" i="11"/>
  <c r="BW166" i="11"/>
  <c r="BI166" i="11"/>
  <c r="BW165" i="11"/>
  <c r="BI165" i="11"/>
  <c r="BW164" i="11"/>
  <c r="BI164" i="11"/>
  <c r="BW163" i="11"/>
  <c r="BI163" i="11"/>
  <c r="BW162" i="11"/>
  <c r="BI162" i="11"/>
  <c r="BW161" i="11"/>
  <c r="BI161" i="11"/>
  <c r="BW160" i="11"/>
  <c r="BI160" i="11"/>
  <c r="BW159" i="11"/>
  <c r="BI159" i="11"/>
  <c r="BW158" i="11"/>
  <c r="BI158" i="11"/>
  <c r="BW157" i="11"/>
  <c r="BI157" i="11"/>
  <c r="BW156" i="11"/>
  <c r="BI156" i="11"/>
  <c r="BW155" i="11"/>
  <c r="BI155" i="11"/>
  <c r="BW154" i="11"/>
  <c r="BI154" i="11"/>
  <c r="BW153" i="11"/>
  <c r="BI153" i="11"/>
  <c r="BW152" i="11"/>
  <c r="BI152" i="11"/>
  <c r="BW151" i="11"/>
  <c r="BI151" i="11"/>
  <c r="BW150" i="11"/>
  <c r="BI150" i="11"/>
  <c r="BW149" i="11"/>
  <c r="BI149" i="11"/>
  <c r="BW148" i="11"/>
  <c r="BI148" i="11"/>
  <c r="BW147" i="11"/>
  <c r="BI147" i="11"/>
  <c r="BW146" i="11"/>
  <c r="BI146" i="11"/>
  <c r="BW145" i="11"/>
  <c r="BI145" i="11"/>
  <c r="BW144" i="11"/>
  <c r="BI144" i="11"/>
  <c r="BW143" i="11"/>
  <c r="BI143" i="11"/>
  <c r="BW142" i="11"/>
  <c r="BI142" i="11"/>
  <c r="BW141" i="11"/>
  <c r="BI141" i="11"/>
  <c r="BW140" i="11"/>
  <c r="BI140" i="11"/>
  <c r="BW139" i="11"/>
  <c r="BI139" i="11"/>
  <c r="BW138" i="11"/>
  <c r="BI138" i="11"/>
  <c r="BW137" i="11"/>
  <c r="BI137" i="11"/>
  <c r="BW136" i="11"/>
  <c r="BI136" i="11"/>
  <c r="BW135" i="11"/>
  <c r="BI135" i="11"/>
  <c r="BW134" i="11"/>
  <c r="BI134" i="11"/>
  <c r="BW133" i="11"/>
  <c r="BI133" i="11"/>
  <c r="BW132" i="11"/>
  <c r="BI132" i="11"/>
  <c r="BW131" i="11"/>
  <c r="BI131" i="11"/>
  <c r="BW130" i="11"/>
  <c r="BI130" i="11"/>
  <c r="BW129" i="11"/>
  <c r="BI129" i="11"/>
  <c r="BW128" i="11"/>
  <c r="BI128" i="11"/>
  <c r="BW127" i="11"/>
  <c r="BI127" i="11"/>
  <c r="BW126" i="11"/>
  <c r="BI126" i="11"/>
  <c r="BW125" i="11"/>
  <c r="BI125" i="11"/>
  <c r="BW124" i="11"/>
  <c r="BI124" i="11"/>
  <c r="BW123" i="11"/>
  <c r="BI123" i="11"/>
  <c r="BW122" i="11"/>
  <c r="BI122" i="11"/>
  <c r="BW121" i="11"/>
  <c r="BI121" i="11"/>
  <c r="BW120" i="11"/>
  <c r="BI120" i="11"/>
  <c r="BW119" i="11"/>
  <c r="BI119" i="11"/>
  <c r="BW118" i="11"/>
  <c r="BI118" i="11"/>
  <c r="BW117" i="11"/>
  <c r="BI117" i="11"/>
  <c r="BW116" i="11"/>
  <c r="BI116" i="11"/>
  <c r="BW115" i="11"/>
  <c r="BI115" i="11"/>
  <c r="BW114" i="11"/>
  <c r="BI114" i="11"/>
  <c r="BW113" i="11"/>
  <c r="BI113" i="11"/>
  <c r="BW112" i="11"/>
  <c r="BI112" i="11"/>
  <c r="BW111" i="11"/>
  <c r="BI111" i="11"/>
  <c r="BW110" i="11"/>
  <c r="BI110" i="11"/>
  <c r="BW109" i="11"/>
  <c r="BI109" i="11"/>
  <c r="BW108" i="11"/>
  <c r="BI108" i="11"/>
  <c r="BW107" i="11"/>
  <c r="BI107" i="11"/>
  <c r="BW106" i="11"/>
  <c r="BI106" i="11"/>
  <c r="BW105" i="11"/>
  <c r="BI105" i="11"/>
  <c r="BW104" i="11"/>
  <c r="BI104" i="11"/>
  <c r="BW103" i="11"/>
  <c r="BI103" i="11"/>
  <c r="BW102" i="11"/>
  <c r="BI102" i="11"/>
  <c r="BW101" i="11"/>
  <c r="BI101" i="11"/>
  <c r="BW100" i="11"/>
  <c r="BI100" i="11"/>
  <c r="BW99" i="11"/>
  <c r="BI99" i="11"/>
  <c r="BW98" i="11"/>
  <c r="BW97" i="11"/>
  <c r="BI97" i="11"/>
  <c r="BW96" i="11"/>
  <c r="BI96" i="11"/>
  <c r="BW95" i="11"/>
  <c r="BI95" i="11"/>
  <c r="BW94" i="11"/>
  <c r="BI94" i="11"/>
  <c r="BW93" i="11"/>
  <c r="BI93" i="11"/>
  <c r="BW92" i="11"/>
  <c r="BI92" i="11"/>
  <c r="BW91" i="11"/>
  <c r="BI91" i="11"/>
  <c r="BW90" i="11"/>
  <c r="BI90" i="11"/>
  <c r="BW89" i="11"/>
  <c r="BI89" i="11"/>
  <c r="BW88" i="11"/>
  <c r="BI88" i="11"/>
  <c r="BW87" i="11"/>
  <c r="BI87" i="11"/>
  <c r="BW86" i="11"/>
  <c r="BI86" i="11"/>
  <c r="BW85" i="11"/>
  <c r="BI85" i="11"/>
  <c r="BW84" i="11"/>
  <c r="BI84" i="11"/>
  <c r="BW83" i="11"/>
  <c r="BI83" i="11"/>
  <c r="BW82" i="11"/>
  <c r="BI82" i="11"/>
  <c r="BW81" i="11"/>
  <c r="BI81" i="11"/>
  <c r="BW80" i="11"/>
  <c r="BI80" i="11"/>
  <c r="BW79" i="11"/>
  <c r="BI79" i="11"/>
  <c r="BW78" i="11"/>
  <c r="BI78" i="11"/>
  <c r="BW77" i="11"/>
  <c r="BI77" i="11"/>
  <c r="BW76" i="11"/>
  <c r="BI76" i="11"/>
  <c r="BW75" i="11"/>
  <c r="BI75" i="11"/>
  <c r="BW74" i="11"/>
  <c r="BI74" i="11"/>
  <c r="BW73" i="11"/>
  <c r="BI73" i="11"/>
  <c r="BW72" i="11"/>
  <c r="BI72" i="11"/>
  <c r="BW71" i="11"/>
  <c r="BI71" i="11"/>
  <c r="BW70" i="11"/>
  <c r="BI70" i="11"/>
  <c r="BW69" i="11"/>
  <c r="BI69" i="11"/>
  <c r="BW68" i="11"/>
  <c r="BI68" i="11"/>
  <c r="BW67" i="11"/>
  <c r="BI67" i="11"/>
  <c r="BW66" i="11"/>
  <c r="BI66" i="11"/>
  <c r="BW65" i="11"/>
  <c r="BI65" i="11"/>
  <c r="BW64" i="11"/>
  <c r="BI64" i="11"/>
  <c r="BW63" i="11"/>
  <c r="BI63" i="11"/>
  <c r="BW62" i="11"/>
  <c r="BI62" i="11"/>
  <c r="BW61" i="11"/>
  <c r="BI61" i="11"/>
  <c r="BW60" i="11"/>
  <c r="BI60" i="11"/>
  <c r="BW59" i="11"/>
  <c r="BI59" i="11"/>
  <c r="BW58" i="11"/>
  <c r="BI58" i="11"/>
  <c r="BW57" i="11"/>
  <c r="BI57" i="11"/>
  <c r="BW56" i="11"/>
  <c r="BI56" i="11"/>
  <c r="BW55" i="11"/>
  <c r="BI55" i="11"/>
  <c r="BW54" i="11"/>
  <c r="BI54" i="11"/>
  <c r="BW53" i="11"/>
  <c r="BW52" i="11"/>
  <c r="BI52" i="11"/>
  <c r="BW51" i="11"/>
  <c r="BI51" i="11"/>
  <c r="BW50" i="11"/>
  <c r="BI50" i="11"/>
  <c r="BW49" i="11"/>
  <c r="BI49" i="11"/>
  <c r="BW48" i="11"/>
  <c r="BI48" i="11"/>
  <c r="BW47" i="11"/>
  <c r="BI47" i="11"/>
  <c r="BW46" i="11"/>
  <c r="BI46" i="11"/>
  <c r="BW45" i="11"/>
  <c r="BI45" i="11"/>
  <c r="BW44" i="11"/>
  <c r="BI44" i="11"/>
  <c r="BW43" i="11"/>
  <c r="BI43" i="11"/>
  <c r="BW42" i="11"/>
  <c r="BI42" i="11"/>
  <c r="BW41" i="11"/>
  <c r="BI41" i="11"/>
  <c r="BW40" i="11"/>
  <c r="BW39" i="11"/>
  <c r="BI39" i="11"/>
  <c r="BW38" i="11"/>
  <c r="BI38" i="11"/>
  <c r="BW37" i="11"/>
  <c r="BI37" i="11"/>
  <c r="BW36" i="11"/>
  <c r="BI36" i="11"/>
  <c r="BW35" i="11"/>
  <c r="BI35" i="11"/>
  <c r="BW34" i="11"/>
  <c r="BI34" i="11"/>
  <c r="BW33" i="11"/>
  <c r="BI33" i="11"/>
  <c r="BW32" i="11"/>
  <c r="BI32" i="11"/>
  <c r="BW31" i="11"/>
  <c r="BI31" i="11"/>
  <c r="BW30" i="11"/>
  <c r="BI30" i="11"/>
  <c r="BW29" i="11"/>
  <c r="BI29" i="11"/>
  <c r="BW28" i="11"/>
  <c r="BI28" i="11"/>
  <c r="BW27" i="11"/>
  <c r="BI27" i="11"/>
  <c r="BW26" i="11"/>
  <c r="BI26" i="11"/>
  <c r="BW25" i="11"/>
  <c r="BI25" i="11"/>
  <c r="BW24" i="11"/>
  <c r="BI24" i="11"/>
  <c r="BW23" i="11"/>
  <c r="BI23" i="11"/>
  <c r="BW22" i="11"/>
  <c r="BI22" i="11"/>
  <c r="BW21" i="11"/>
  <c r="BI21" i="11"/>
  <c r="BW20" i="11"/>
  <c r="BI20" i="11"/>
  <c r="BW19" i="11"/>
  <c r="BI19" i="11"/>
  <c r="BW18" i="11"/>
  <c r="BI18" i="11"/>
  <c r="BW17" i="11"/>
  <c r="BI17" i="11"/>
  <c r="BW16" i="11"/>
  <c r="BI16" i="11"/>
  <c r="BW15" i="11"/>
  <c r="BI15" i="11"/>
  <c r="BW14" i="11"/>
  <c r="BI14" i="11"/>
  <c r="BW13" i="11"/>
  <c r="BI13" i="11"/>
  <c r="BW12" i="11"/>
  <c r="BI12" i="11"/>
  <c r="BW11" i="11"/>
  <c r="BI11" i="11"/>
  <c r="BW10" i="11"/>
  <c r="BI10" i="11"/>
  <c r="BW9" i="11"/>
  <c r="BI9" i="11"/>
  <c r="BW8" i="11"/>
  <c r="BI8" i="11"/>
  <c r="BW7" i="11"/>
  <c r="BI7" i="11"/>
  <c r="BW6" i="11"/>
  <c r="BI6" i="11"/>
  <c r="BW5" i="11"/>
  <c r="BI5" i="11"/>
  <c r="BW4" i="11"/>
  <c r="BI4" i="1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BW3" i="11"/>
  <c r="BI3" i="11"/>
  <c r="BW2" i="11"/>
  <c r="BI2" i="11"/>
  <c r="H30" i="7"/>
  <c r="H29" i="7"/>
  <c r="H3" i="7"/>
  <c r="H4" i="7"/>
  <c r="H5" i="7"/>
  <c r="H6" i="7"/>
  <c r="H7" i="7"/>
  <c r="H8" i="7"/>
  <c r="H9" i="7"/>
  <c r="H10" i="7"/>
  <c r="H11" i="7"/>
  <c r="H12" i="7"/>
  <c r="H13" i="7"/>
  <c r="H14" i="7"/>
  <c r="H15" i="7"/>
  <c r="H16" i="7"/>
  <c r="H17" i="7"/>
  <c r="H18" i="7"/>
  <c r="H19" i="7"/>
  <c r="H20" i="7"/>
  <c r="H21" i="7"/>
  <c r="H22" i="7"/>
  <c r="H23" i="7"/>
  <c r="H24" i="7"/>
  <c r="H25" i="7"/>
  <c r="H26" i="7"/>
  <c r="H27" i="7"/>
  <c r="H28"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2" i="7"/>
  <c r="E8" i="10"/>
  <c r="E6" i="10"/>
  <c r="E7" i="10"/>
  <c r="E13" i="10"/>
  <c r="E14" i="10"/>
  <c r="E20" i="10"/>
  <c r="E4" i="10"/>
  <c r="E5" i="10"/>
  <c r="E9" i="10"/>
  <c r="E10" i="10"/>
  <c r="E11" i="10"/>
  <c r="E12" i="10"/>
  <c r="E15" i="10"/>
  <c r="E16" i="10"/>
  <c r="E17" i="10"/>
  <c r="E18" i="10"/>
  <c r="E19" i="10"/>
  <c r="E21" i="10"/>
  <c r="E22" i="10"/>
  <c r="E23" i="10"/>
  <c r="E24" i="10"/>
  <c r="E25" i="10"/>
  <c r="E26" i="10"/>
  <c r="E27" i="10"/>
  <c r="E28" i="10"/>
  <c r="E29" i="10"/>
  <c r="E30" i="10"/>
  <c r="E31" i="10"/>
  <c r="E32" i="10"/>
  <c r="E33" i="10"/>
  <c r="E34" i="10"/>
  <c r="E35" i="10"/>
  <c r="E36" i="10"/>
  <c r="E37" i="10"/>
  <c r="E38" i="10"/>
  <c r="E39" i="10"/>
  <c r="E40" i="10"/>
  <c r="E3" i="10"/>
  <c r="E41" i="10"/>
  <c r="E42" i="10"/>
  <c r="E43" i="10"/>
  <c r="E44" i="10"/>
  <c r="E45" i="10"/>
  <c r="E2" i="10"/>
  <c r="K4" i="13" l="1"/>
  <c r="O3" i="13" s="1"/>
  <c r="K5" i="13"/>
  <c r="O4" i="13" s="1"/>
  <c r="G10" i="13"/>
  <c r="G14" i="13"/>
  <c r="G18" i="13"/>
  <c r="G22" i="13"/>
  <c r="G11" i="13"/>
  <c r="G15" i="13"/>
  <c r="G19" i="13"/>
  <c r="G12" i="13"/>
  <c r="G16" i="13"/>
  <c r="G20" i="13"/>
  <c r="G9" i="13"/>
  <c r="G13" i="13"/>
  <c r="G17" i="13"/>
  <c r="G21" i="13"/>
  <c r="I2" i="6"/>
  <c r="E2" i="6"/>
  <c r="F2" i="6"/>
  <c r="G2" i="6"/>
  <c r="H2" i="6"/>
  <c r="F36" i="13"/>
  <c r="G36" i="13" s="1"/>
  <c r="B26" i="13"/>
  <c r="B27" i="13" s="1"/>
  <c r="B28" i="13" s="1"/>
  <c r="B29" i="13" s="1"/>
  <c r="B30" i="13" s="1"/>
  <c r="B31" i="13" s="1"/>
  <c r="B32" i="13" s="1"/>
  <c r="B33" i="13" s="1"/>
  <c r="G38" i="13" s="1"/>
  <c r="E37" i="13"/>
  <c r="I37" i="13" s="1"/>
  <c r="G23" i="13"/>
  <c r="F37" i="13"/>
  <c r="G37" i="13" s="1"/>
  <c r="C6" i="13"/>
  <c r="E6" i="13" s="1"/>
  <c r="F6" i="13" s="1"/>
  <c r="D6" i="13"/>
  <c r="F38" i="13" l="1"/>
  <c r="E38" i="13" s="1"/>
  <c r="I3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tc={D00C8E99-13D7-8D40-94AF-9C604B4915A5}</author>
    <author>tc={4D4F2EED-7AE6-9344-B005-FA8B1673E731}</author>
    <author>tc={003F46C1-4A44-5547-A6C0-F3F1B9E623F5}</author>
    <author>tc={FFA27125-E6BA-F741-9578-8559B02A2090}</author>
    <author>tc={CA7CE49A-1AB3-664D-A6B3-FB54AEF9D587}</author>
    <author>tc={7A287BE2-FBEA-8248-806A-7690A40A9F79}</author>
    <author>tc={C4F300C0-D2F1-104C-B0FB-EB6C7F36AAD0}</author>
    <author>tc={AB7EE3C8-4FBB-5141-9061-CB1D3458D151}</author>
    <author>tc={01B2B6F4-8589-9644-8C1D-2E08604F45FC}</author>
    <author>tc={4B238FD6-6099-5B47-B781-7AA070328EE7}</author>
    <author>tc={0B091B3E-C2A9-3742-9396-EF302C561CCD}</author>
    <author>tc={F497BDB5-8EED-9A43-8B56-20C146A7D27F}</author>
    <author>tc={BEC76AD4-42F4-F842-84A0-5BDCB8218A21}</author>
  </authors>
  <commentList>
    <comment ref="K1" authorId="0" shapeId="0" xr:uid="{D00C8E99-13D7-8D40-94AF-9C604B4915A5}">
      <text>
        <t>[Threaded comment]
Your version of Excel allows you to read this threaded comment; however, any edits to it will get removed if the file is opened in a newer version of Excel. Learn more: https://go.microsoft.com/fwlink/?linkid=870924
Comment:
    Full or Partial</t>
      </text>
    </comment>
    <comment ref="O1" authorId="1" shapeId="0" xr:uid="{4D4F2EED-7AE6-9344-B005-FA8B1673E731}">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P1" authorId="2" shapeId="0" xr:uid="{003F46C1-4A44-5547-A6C0-F3F1B9E623F5}">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Q1" authorId="3" shapeId="0" xr:uid="{FFA27125-E6BA-F741-9578-8559B02A2090}">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R1" authorId="4" shapeId="0" xr:uid="{CA7CE49A-1AB3-664D-A6B3-FB54AEF9D587}">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S1" authorId="5" shapeId="0" xr:uid="{7A287BE2-FBEA-8248-806A-7690A40A9F7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U1" authorId="6" shapeId="0" xr:uid="{C4F300C0-D2F1-104C-B0FB-EB6C7F36AAD0}">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V1" authorId="7" shapeId="0" xr:uid="{AB7EE3C8-4FBB-5141-9061-CB1D3458D151}">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Y1" authorId="8" shapeId="0" xr:uid="{01B2B6F4-8589-9644-8C1D-2E08604F45F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Z1" authorId="9" shapeId="0" xr:uid="{4B238FD6-6099-5B47-B781-7AA070328EE7}">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AA1" authorId="10" shapeId="0" xr:uid="{0B091B3E-C2A9-3742-9396-EF302C561CCD}">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C1" authorId="11" shapeId="0" xr:uid="{F497BDB5-8EED-9A43-8B56-20C146A7D27F}">
      <text>
        <t>[Threaded comment]
Your version of Excel allows you to read this threaded comment; however, any edits to it will get removed if the file is opened in a newer version of Excel. Learn more: https://go.microsoft.com/fwlink/?linkid=870924
Comment:
    EVSE or Power</t>
      </text>
    </comment>
    <comment ref="AL1" authorId="12" shapeId="0" xr:uid="{BEC76AD4-42F4-F842-84A0-5BDCB8218A2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tc={D0F27FC5-13A2-314D-9510-5595AF980023}</author>
    <author>tc={E6D3F157-B7FC-6E4C-8910-0124914CF872}</author>
    <author>tc={67C89A5D-FDD6-0240-8688-27481CACBEF8}</author>
    <author>tc={DEB3888D-D5E5-1A4C-A1C9-7CA12B69AB8A}</author>
    <author>tc={20CCBE16-F98D-134C-ACA3-85461D2F8F49}</author>
    <author>tc={263B1709-7878-DA4D-89C3-92CDE2019F8C}</author>
    <author>tc={6EE6F3C0-01B9-AB44-8925-B94BEA96D07E}</author>
    <author>tc={D292BBF5-251A-9441-A599-942595DE8A3A}</author>
    <author>tc={9E789717-B342-B64C-8BD8-A6A2AD1E0E3A}</author>
    <author>tc={057DB60B-F74A-7843-B4D5-234A08A3F165}</author>
    <author>tc={DE1DC3B3-38C1-0A4D-ACF8-CDC154952791}</author>
    <author>tc={716B8647-A8D4-694C-A45F-9F6DE26955D6}</author>
    <author>tc={FFCDA6E4-3132-3D43-900E-FA924DF6ADC1}</author>
  </authors>
  <commentList>
    <comment ref="J1" authorId="0" shapeId="0" xr:uid="{D0F27FC5-13A2-314D-9510-5595AF980023}">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E6D3F157-B7FC-6E4C-8910-0124914CF872}">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67C89A5D-FDD6-0240-8688-27481CACBEF8}">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DEB3888D-D5E5-1A4C-A1C9-7CA12B69AB8A}">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20CCBE16-F98D-134C-ACA3-85461D2F8F49}">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263B1709-7878-DA4D-89C3-92CDE2019F8C}">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6EE6F3C0-01B9-AB44-8925-B94BEA96D07E}">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292BBF5-251A-9441-A599-942595DE8A3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9E789717-B342-B64C-8BD8-A6A2AD1E0E3A}">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057DB60B-F74A-7843-B4D5-234A08A3F165}">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DE1DC3B3-38C1-0A4D-ACF8-CDC154952791}">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16B8647-A8D4-694C-A45F-9F6DE26955D6}">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FFCDA6E4-3132-3D43-900E-FA924DF6ADC1}">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tc={925FD534-73E4-BD46-8226-1057178D3BDB}</author>
    <author>tc={56A75373-AE4F-444A-90DC-04D89FDCE7EF}</author>
    <author>tc={1FA542BC-662F-6B49-8C0A-5A09FBCCB9D1}</author>
    <author>tc={BBB2A30E-D3F8-8348-9B9C-52ABAF8B2B2D}</author>
    <author>tc={1BC14BE4-681E-274B-9731-2CBB53133C16}</author>
    <author>tc={CB508461-5599-FD47-94BC-3ABBC263355E}</author>
    <author>tc={30DBC78B-314C-5548-9B37-0E9573C58E93}</author>
    <author>tc={0710EAEA-76B8-F04B-A086-BBCA5C9C44F2}</author>
    <author>tc={585475E7-7183-7C43-87F9-ACB13F05543C}</author>
    <author>tc={88F49A90-61E8-1E41-934E-47C8710F6C32}</author>
    <author>tc={4F634279-615E-C141-9BDE-B5713921CC30}</author>
    <author>tc={34F93D11-1F2A-5548-AE47-F2526C862815}</author>
    <author>tc={75B5C022-EBF7-5242-BA52-AC34F16B8CA8}</author>
  </authors>
  <commentList>
    <comment ref="J1" authorId="0" shapeId="0" xr:uid="{925FD534-73E4-BD46-8226-1057178D3BDB}">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56A75373-AE4F-444A-90DC-04D89FDCE7EF}">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1FA542BC-662F-6B49-8C0A-5A09FBCCB9D1}">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BB2A30E-D3F8-8348-9B9C-52ABAF8B2B2D}">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1BC14BE4-681E-274B-9731-2CBB53133C16}">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CB508461-5599-FD47-94BC-3ABBC263355E}">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30DBC78B-314C-5548-9B37-0E9573C58E9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0710EAEA-76B8-F04B-A086-BBCA5C9C44F2}">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585475E7-7183-7C43-87F9-ACB13F05543C}">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88F49A90-61E8-1E41-934E-47C8710F6C32}">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4F634279-615E-C141-9BDE-B5713921CC30}">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34F93D11-1F2A-5548-AE47-F2526C862815}">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75B5C022-EBF7-5242-BA52-AC34F16B8CA8}">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tc={716D769A-D0D5-A241-B0C0-4E45C2A05A76}</author>
    <author>tc={A92378EF-984E-2E4E-A803-D97B266AB795}</author>
    <author>tc={FA04F048-7F81-284F-AA4C-4384E390B63D}</author>
    <author>tc={B7CED3D5-494A-2845-9AB6-5B76A8AE8198}</author>
    <author>tc={0EB0FC3A-FC91-224C-96BD-89AB28FDFEEC}</author>
    <author>tc={1DC75901-BFDF-0A41-B5B6-B17FB8C93392}</author>
    <author>tc={1715A329-AFA4-8B43-8385-FF137ED0891D}</author>
    <author>tc={DCE9F4C5-9837-C249-9D96-3359E5987130}</author>
    <author>tc={7678B19F-65F8-1847-B7C9-4AC8357CA775}</author>
    <author>tc={B75F8B28-501A-4746-A427-6846F45B64E0}</author>
    <author>tc={05A695A9-7C53-1E4D-AD74-BAA61EFA3DF9}</author>
    <author>tc={7A29552C-E0A0-0940-8B7E-F35918F531FB}</author>
    <author>tc={C42D0D86-107B-874E-8051-86FA347000F5}</author>
  </authors>
  <commentList>
    <comment ref="J1" authorId="0" shapeId="0" xr:uid="{716D769A-D0D5-A241-B0C0-4E45C2A05A76}">
      <text>
        <t>[Threaded comment]
Your version of Excel allows you to read this threaded comment; however, any edits to it will get removed if the file is opened in a newer version of Excel. Learn more: https://go.microsoft.com/fwlink/?linkid=870924
Comment:
    Full or Partial</t>
      </text>
    </comment>
    <comment ref="N1" authorId="1" shapeId="0" xr:uid="{A92378EF-984E-2E4E-A803-D97B266AB795}">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O1" authorId="2" shapeId="0" xr:uid="{FA04F048-7F81-284F-AA4C-4384E390B63D}">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P1" authorId="3" shapeId="0" xr:uid="{B7CED3D5-494A-2845-9AB6-5B76A8AE8198}">
      <text>
        <t>[Threaded comment]
Your version of Excel allows you to read this threaded comment; however, any edits to it will get removed if the file is opened in a newer version of Excel. Learn more: https://go.microsoft.com/fwlink/?linkid=870924
Comment:
    Number of EVs
Reply:
    Fleet size, how many vehicles are considered</t>
      </text>
    </comment>
    <comment ref="Q1" authorId="4" shapeId="0" xr:uid="{0EB0FC3A-FC91-224C-96BD-89AB28FDFEE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R1" authorId="5" shapeId="0" xr:uid="{1DC75901-BFDF-0A41-B5B6-B17FB8C93392}">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T1" authorId="6" shapeId="0" xr:uid="{1715A329-AFA4-8B43-8385-FF137ED0891D}">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U1" authorId="7" shapeId="0" xr:uid="{DCE9F4C5-9837-C249-9D96-3359E5987130}">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X1" authorId="8" shapeId="0" xr:uid="{7678B19F-65F8-1847-B7C9-4AC8357CA775}">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Y1" authorId="9" shapeId="0" xr:uid="{B75F8B28-501A-4746-A427-6846F45B64E0}">
      <text>
        <t>[Threaded comment]
Your version of Excel allows you to read this threaded comment; however, any edits to it will get removed if the file is opened in a newer version of Excel. Learn more: https://go.microsoft.com/fwlink/?linkid=870924
Comment:
    TCC or PCC
Preemptive: once start charging it can be stopped to receive power.
Non-preemptive: once start charging it cannot stop receive energy till satisfying either desired SoC or departure time.</t>
      </text>
    </comment>
    <comment ref="Z1" authorId="10" shapeId="0" xr:uid="{05A695A9-7C53-1E4D-AD74-BAA61EFA3DF9}">
      <text>
        <t>[Threaded comment]
Your version of Excel allows you to read this threaded comment; however, any edits to it will get removed if the file is opened in a newer version of Excel. Learn more: https://go.microsoft.com/fwlink/?linkid=870924
Comment:
    Optimization or Simulation</t>
      </text>
    </comment>
    <comment ref="AB1" authorId="11" shapeId="0" xr:uid="{7A29552C-E0A0-0940-8B7E-F35918F531FB}">
      <text>
        <t>[Threaded comment]
Your version of Excel allows you to read this threaded comment; however, any edits to it will get removed if the file is opened in a newer version of Excel. Learn more: https://go.microsoft.com/fwlink/?linkid=870924
Comment:
    EVSE or Power</t>
      </text>
    </comment>
    <comment ref="AK1" authorId="12" shapeId="0" xr:uid="{C42D0D86-107B-874E-8051-86FA347000F5}">
      <text>
        <t>[Threaded comment]
Your version of Excel allows you to read this threaded comment; however, any edits to it will get removed if the file is opened in a newer version of Excel. Learn more: https://go.microsoft.com/fwlink/?linkid=870924
Comment:
    - Public: Station or Parking
- Residential: Parking or Home
- Workplace: Parking</t>
      </text>
    </comment>
  </commentList>
</comments>
</file>

<file path=xl/sharedStrings.xml><?xml version="1.0" encoding="utf-8"?>
<sst xmlns="http://schemas.openxmlformats.org/spreadsheetml/2006/main" count="49292" uniqueCount="6210">
  <si>
    <t>Title</t>
  </si>
  <si>
    <t>Year</t>
  </si>
  <si>
    <t>Authors</t>
  </si>
  <si>
    <t>Keywords</t>
  </si>
  <si>
    <t>Abstract</t>
  </si>
  <si>
    <t>Analysis</t>
  </si>
  <si>
    <t>Time horizon</t>
  </si>
  <si>
    <t>Real-time algorithm</t>
  </si>
  <si>
    <t>Objective</t>
  </si>
  <si>
    <t>Journal</t>
  </si>
  <si>
    <t>Bibtex</t>
  </si>
  <si>
    <t>Database</t>
  </si>
  <si>
    <t>WoS</t>
  </si>
  <si>
    <t>Maximize the total renevue; Maximize the total number of EVs that fulfill their requirements before departure</t>
  </si>
  <si>
    <t>Name</t>
  </si>
  <si>
    <t>Description</t>
  </si>
  <si>
    <t>Aggregator unit</t>
  </si>
  <si>
    <t>AU</t>
  </si>
  <si>
    <t>Distribution system operator</t>
  </si>
  <si>
    <t>DSO</t>
  </si>
  <si>
    <t>The AUs are connected to them. They manage the energy demand of the connected AUs. They are located between the transmission and distribution networks.</t>
  </si>
  <si>
    <t>Brownout</t>
  </si>
  <si>
    <t>Blackout</t>
  </si>
  <si>
    <t>Phemonenon when there is an intentional or unintentional drop in the voltage.</t>
  </si>
  <si>
    <t>It is the loss of the electrical power network supply to an end user (a.k.a. power outage, powercut, a power out, a power blackout, a power failure or a power loss).</t>
  </si>
  <si>
    <t>V2G</t>
  </si>
  <si>
    <t>Point of view</t>
  </si>
  <si>
    <t>No</t>
  </si>
  <si>
    <t>Homogeneous</t>
  </si>
  <si>
    <t>24 h</t>
  </si>
  <si>
    <t>Partial</t>
  </si>
  <si>
    <t>Linear</t>
  </si>
  <si>
    <t>Optimization</t>
  </si>
  <si>
    <t>Yes</t>
  </si>
  <si>
    <t>Centralized</t>
  </si>
  <si>
    <t>Price</t>
  </si>
  <si>
    <t>Cristicism</t>
  </si>
  <si>
    <t>This paper focuses on developing algorithms and no extensive details are given about the performance of the model such as running times. Thus, is it difficult to properly analyze the results since the optimization model is expected to outperform the explored algorithms per se. Even so, it aims to address the phenomenon in a very clear manner using different aspects such as partial recharging and vehicles with different battery sizes.</t>
  </si>
  <si>
    <t>A smart parking lot management system for scheduling the recharging of electric vehicles</t>
  </si>
  <si>
    <t>IEEE Transactions on Smart Grid</t>
  </si>
  <si>
    <t>In this paper, we propose a centralized electric vehicles (EVs) recharge scheduling system for parking lots using a realistic vehicular mobility/parking pattern focusing on individual parking lots. We consider two different types of EV based on their mobility/parking patterns: 1) regular EVs; and 2) irregular EVs. An extensive trace-based vehicular mobility model collected from the Canton of Zurich is used for the regular EVs, and a probabilistic pattern built on top of this trace is used for modeling the behavior of irregular EVs. To the extent of our knowledge, this is the first EV charging scheduling study in the literature that takes into account a realistic vehicular mobility pattern focusing on individual parking lots. We compare the performance of our proposed system with two well-known basic scheduling mechanisms, first come first serve and earliest deadline first, with regard to two objective functions: 1) maximizing the total parking lot revenue; and 2) maximizing the total number of EVs fulfilling their requirements. Comparison results show that our proposed system outperforms well-known basic scheduling mechanisms with regards to both objectives. Parking lots managing the recharging of a high number of EVs will greatly benefit from using such recharge scheduling systems in the context of smart cities.</t>
  </si>
  <si>
    <t>Electric vehicles (EVs); recharging; scheduling; smart grids</t>
  </si>
  <si>
    <t>Why this classification?</t>
  </si>
  <si>
    <t>This is because it handles the problem as a microgrid and does not consider that the parking lots share energy that come from a meta system. It is a bit confusing since it mentions the system as micro grids, but the thing is it isolates the system excluding the external energy consumption.</t>
  </si>
  <si>
    <t>A coordinated charging scheduling method for electric vehicles considering different charging demands</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</si>
  <si>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t>
  </si>
  <si>
    <t>Electric vehicles; Coordinated charging; Optimal load scheduling; Charging demand</t>
  </si>
  <si>
    <t>@article{zhou2020coordinated,
  title={A coordinated charging scheduling method for electric vehicles considering different charging demands},
  author={Zhou, Kaile and Cheng, Lexin and Wen, Lulu and Lu, Xinhui and Ding, Tao},
  journal={Energy},
  volume={213},
  pages={118882},
  year={2020},
  publisher={Elsevier}
}'</t>
  </si>
  <si>
    <t>@article{kuran2015smart,
  title={A smart parking lot management system for scheduling the recharging of electric vehicles},
  author={Kuran, Mehmetkr {\c{S}}{\"u}kr{\"u} and Viana, Aline Carneiro and Iannone, Luigi and Kofman, Daniel and Mermoud, Gregory and Vasseur, Jean P},
  journal={IEEE Transactions on Smart Grid},
  volume={6},
  number={6},
  pages={2942--2953},
  year={2015},
  publisher={IEEE}
}'</t>
  </si>
  <si>
    <t>To minimize the peak-valley load difference of the microgrid</t>
  </si>
  <si>
    <t>Heterogeneous</t>
  </si>
  <si>
    <t>This work presents a two step scheduling problem by computing a coefficient that prioritizes the charge of Evs, being used as a parameter by a binary programming model that schedules the charging throughout time. In this regard, the method considers a discretization on time given by 15 min time slots during the day. Furthermore, the EVs are classified in two groups according to where they are charged. So, they are either charge at home or in a public charging station. As the time is discretized, it is also computed the time at they arrive and the time they depart from the charging station. These times are assumed to be drawn from a normal distribution with parameters obtained from previous works. Then, the prioritization coefficient is computed based on the charging requirements giving the charging speed the EV must be connected at to satisfy its needs, i.e., slow or fast charging. Computational experiments are performed in synthetic data drawn from fitted distributions based on parameteres retrieved from literature. Three fleet sizes of homogeneous EVs with different energy demands and arrival/departure times are considered. The results show that the method, against the uncoordinnated schedule, is able to reduce the peak load up to 43.62% when satisfying the maximum energy demand and up to 32.22% when satisfying the minimum energy demand. Besides, the variance power loads in both situations are reduced by 99.54% and 99.13% when maximum and minimum energy demands are met.</t>
  </si>
  <si>
    <t>Unless there is no explicit mention to the size of the grid, it is clear that it uses different charging stations that can be either at home or around the city.</t>
  </si>
  <si>
    <t>It is well established the way the method is developed and deployed. Several important details are considered, such as the different fleet sizes and charging speeds. Nevertheless, they do not take into account the willingness of EV owners to pay for fast charging services when they are more expensive. Thus, although they would require an urgent service, they might not be willing to pay for such a service and so prefer the cheaper one, even when that means change their needs.</t>
  </si>
  <si>
    <t>@article{jian2017high,
  title={High efficient valley-filling strategy for centralized coordinated charging of large-scale electric vehicles},
  author={Jian, Linni and Zheng, Yanchong and Shao, Ziyun},
  journal={Applied Energy},
  volume={186},
  pages={46--55},
  year={2017},
  publisher={Elsevier}
}'</t>
  </si>
  <si>
    <t>High efficient valley-filling strategy for centralized coordinated charging of large-scale electric vehicles</t>
  </si>
  <si>
    <t>Electric vehicle; Coordinated charging; Valley-filling; Charging scheduling; Computational complexity</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</si>
  <si>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t>
  </si>
  <si>
    <t>Simulation</t>
  </si>
  <si>
    <t>Valley-filling</t>
  </si>
  <si>
    <t>It handles several charging stations, but it does not consider the radial shape of the power grid.</t>
  </si>
  <si>
    <t>It is a well written work. Besides, it uses good relationships toward the problem statement. Nonetheless, its main drawbacks lie on the assumtions related to the EV owners to wait for a service regardless the charging time as well as using a linear charging time above the threshold fixed at 80% that has been proved to be the slowest interval to increase the SoC. Furthermore, it should also be noted that above that SoC the battery degradation plays an important role and, hence, the charging time would decrease and communication between EVs and the aggregator unit might be imprecise.</t>
  </si>
  <si>
    <t>Maximize the average satisfaction rate; maximize the minimum satisfaction rate.</t>
  </si>
  <si>
    <t>EV owners</t>
  </si>
  <si>
    <t>It uses the network topology that corresponds to the 33-bus system.</t>
  </si>
  <si>
    <t>Although this study addresses an interesting problem, it highly depend on the process to get the enery, that is to say, if the workflow before and when plugging-in the EV does not include the declaration of the parking time, this study will not be useful. Conversely, this study could be improved assuming stochastic charging rates and so the parking times are stochastic as well, however they do not depend on the wrong information provided by EV owners but on the power flow itself.</t>
  </si>
  <si>
    <t>@article{kecceci2021analysis,
  title={Analysis of EV Charging Coordination Efficiency in Presence of Cheating Customers},
  author={Ke{\c{c}}eci, Cihat and Ismail, Muhammad and Serpedin, Erchin},
  journal={IEEE Access},
  volume={9},
  pages={153666--153677},
  year={2021},
  publisher={IEEE}
}'</t>
  </si>
  <si>
    <t>Analysis of EV Charging Coordination Efficiency in Presence of Cheating Customers</t>
  </si>
  <si>
    <t>IEEE ACCESS</t>
  </si>
  <si>
    <t>Charging coordination is employed to efficiently serve electric vehicle (EV) charging requests without overloading the distribution network. Parameters such as parking duration, battery state-of-charge (SoC), and charging amount are provided by EVs to the charging coordination center to schedule their charging requests efficiently. The existing literature assumes that the customers always provide correct information. Unfortunately, customers may provide false information to gain higher charging priority. Assessing the impact of cheating behavior represents a significant and open problem. Herein paper, the impact of providing false information (e.g., parking duration) on the efficiency of the charging coordination mechanism is investigated. The charging coordination strategy is formulated as a linear optimization problem. Two different objectives are used to assess the impact of the objective function on the amount of performance degradation. Our investigations reveal that the degradation of the efficiency of the charging coordination mechanism depends on the percentage of cheating customers and cheating duration versus the typical parking duration. In addition, the impact of cheating behavior increases with the number of deployed chargers. Thus, the severity of the cheating impact will increase in the future as more fast chargers are allocated in charging networks.</t>
  </si>
  <si>
    <t>Electric vehicle charging; Optimization; Costs; Schedules; Power demand; Charging stations; Batteries; Electric vehicle charging; electric vehicles; energy management; optimization; scheduling; smart grids</t>
  </si>
  <si>
    <t>@article{kumar2015impact,
  title={Impact of priority criteria on electric vehicle charge scheduling},
  author={Kumar, Kandasamy Nandha and Sivaneasan, Balakrishnan and So, Ping Lam},
  journal={IEEE Transactions on Transportation Electrification},
  volume={1},
  number={3},
  pages={200--210},
  year={2015},
  publisher={IEEE}
}'</t>
  </si>
  <si>
    <t>Impact of Priority Criteria on Electric Vehicle Charge Scheduling</t>
  </si>
  <si>
    <t>IEEE TRANSACTIONS ON TRANSPORTATION ELECTRIFICATION</t>
  </si>
  <si>
    <t>Coordinated charging is the superior charging method for integrating electric vehicles (EVs) smoothly and efficiently into the existing power system. Coordinated EV charging can be further classified into two types, namely time coordinated charging (TCC) and power coordinated charging (PCC). Scheduling of EV charging is the vital component in both types of coordinated EV charging methods. Generally, priority criteria such as battery state of charge (SOC) and slack time are used for scheduling EV charging. In this paper, the impact of different priority criteria on the chargeability of EVs and charging fairness is studied for both types of coordinated EV charging methods. The overall performance of the coordinated EV charging methods employing various combinations of different priority criteria is evaluated using data-driven simulations. In addition, this paper evaluates the need for using weighted priority criteria for scheduling EV charging along with appropriate weights required for different cases.</t>
  </si>
  <si>
    <t>Chargeability; coordinated charging; electric vehicle (EV); fairness; priority criteria; scheduling</t>
  </si>
  <si>
    <t>TCC</t>
  </si>
  <si>
    <t>Time coordinated charging</t>
  </si>
  <si>
    <t>Power coordinated charging</t>
  </si>
  <si>
    <t>PCC</t>
  </si>
  <si>
    <t>The power consumer by each EV is controlled such that the total load demand does not exceed the total power availability.</t>
  </si>
  <si>
    <t>There is a maximum number of Evs each time such that the total load demand does not exceed the total power availability.</t>
  </si>
  <si>
    <t>This work presents the problem of using parking lots as recharging places considering them as micro grids, i.e., their energy comes from different DSO. In this regard, two types of EV owners are considered based on whether the vehicle is based on the charging frequency. Thus, an EV owner is either regular or irregular. To construct the recharging schedule, two step are proposed. The first step is in charge of schedule the regular EVs by predicting their behaviour, while the second one manages the irregular EVs and also the random behaviour produced by regular EVs when new trips are planned but no predicted. As irregular and random demands are possible to crash the system, the second step considers a mechanism to handles them and schedule them, if possible. Hence, it works by reserving a part of the parking lot for regular EVs and the remaining for irregular EVs if the first step does not reserve all the parking lot. The problem from the point of view of the AU, whose goal is to maximize its revenue, is formulated as a linear program, wheras the problem from the point of view of the EV owner, whose objective is to met its energy demand, is formulated as a binary program. Both formulations discretize the time in 30 minute slices, and so the EV must stay in the parking lot during that whole time slice and till the minimum SoC to perform a trip to its destination. Computational experiments are carried out on Swiss real data that contains information about driving patterns of 260 000 EVs and compared against the FCFS and EDF scheduling algorithms using two scenarios for the initial SoC. Results reveal that the optimization models clearly outperform the FCFS and EDF algorithms regardless the scenario.</t>
  </si>
  <si>
    <t>This work proposes a strategy for the valley-filling algorithms such that large-scale Evs fleet sizes can be handled. Time is discretized in 15 min slots during a day based on the fact that most of works use this time length. Thus, Evs are gathered into two groups according to the time frame they are plugged-in to the grid being charged during night. Synthetic data is generated from truncated normal distributions for connection times during the night and from uniform distributions for connection times during the day. Furthermore, the starting SoC is a realization from a uniform distribution between 0.2 and 0.4 whereas the objective SoC when EV is unplugged from the grid is a function of the connection time and its battery especification with a lower bound of 0.8, i.e., the EV must be charged at 80% of its capacity when it is disconnected, at least. Then, the method performs a precomputation of an prioritization index based on current grid load to discriminate which EV are going to be scheduled for charge if there is no room for the whole fleet. Computational experiments are repeatedly carried out (because of randomly generated data) considering two fleet sizes of heterogeneous EVs (one and two million vehicles). Results reveal that the power load peak values can be decreased by 17% being less than the unccordinated charging method during the whole day.</t>
  </si>
  <si>
    <t>In this work, authors present a novel analysis on wrong information provided by EV owners to take advantage of widely study prioritization coefficients within the charging schedule. To do this, a linear program is formulated to represent the power flow in a power grid infrastructure considering homogeneous EVs and charging stations that provide energy a different rates. The latter allows to avoid binary variables and use a linear relaxation instead. Thus, the EVs' SoC is formulated as a function of the received energy throughout time and the battery efficiency that remains constant. Computational experiments are repeatedly carried out on synthetic data for EV requirements whereas arrival and departura times are taken from the city of Dundee by discretizing the time on 15 min intervals during a day. The power grid under study corresponds to a 83-bus system with five charging stations located over the network. The EVs' SoC are drawn from uniform disttribution between 0.1 and 0.3 for initial states and between 0.9 and 1.0 for desired states. Then, different scenarios are proposed to analyze the changes over the results. They reveal that, if the EV remains plugged-in during three hours instead of the two hours declared at the beginning, the average satisfaction decreases by 15% when all the EV owners give wrong information to the charging system. On the same scenario, the minimum satisfaction scenario decreases around 10%. Furthermore, it is also noted that, if the number of charging stations increase, the system becomes more robust against cheating. The same effect can be noted when the declared parking time at the beginning is high.</t>
  </si>
  <si>
    <t>This work analyzes the performance of three different priority coefficients under a TCC and a PCC scheduling point of views. In both cases, time is discretized in 30 min slices during two days of simulation considering an heterogeneous EVs fleet of 15 vehicles. The three priority coefficients rely on the concepts of current SoC, an estimation of the required time to reach the desired SoC in the best case scenario (i.e., when no other EV is connected) and either the required energy to be supplied, in the case of PCC, or the time to reach the desired SoC, in the case of TCC. Notice that, these coefficients are updated every 30 minutes and therefore the order of priority. Thus, a simulation is performed ordering the vehicles to be charged according to the summation of the three priority coefficients. In the case of PCC, it is possible to charge all the plugged-in vehicles by splitting up the available power. Whereby, the priority order can suffer high changes over time and so the method uses a variance reduction step by adding an auxiliar priority order based on the power consumed by each EV. In the case of TCC, each EV has its own power consumption and therefore the constraint is that the summation of currently charging vehicles must not exceeds the available power each time interval. That is to say, the method takes a subset of EVs to be charged according to the priority order. Several simulations are carried out on the assumption that arrival and departure times as well as distances follow a normal distribution. These simulations are obtained from different scenarios according to the diffferent combinations of priority coefficients, and allow the computation of the probability of not reaching the resired SoC for each EV. Yet, unless these probabilities show promising insights regardless the use of TCC or PCC, the comparison must be done through the proposed fairness index, which is a way to standardize the different battery capacities of the considered fleet. Nevertheless, this index does not reveal fair results unless a weighted summation over the priority coefficients is used. In this regard, is can be noted that the probability of not reaching the desired SoC decreases from 12.64% to 11.67 when considering TCC, while for PCC it corresponds to an increasing from 2.69% to 2.72%, in the worst case for each one of them. Furthermore, the maximum deviation from mean is decreased by 74% when the three priority coefficients are considered with different weights in TCC. Accordingly, in PCC this value decreases by 56%.</t>
  </si>
  <si>
    <t>This classification is not clear at all, however there is no way it uses the power grid topology. Furhtermore, in concordance with arrival and departure times data, it is likely to be just one charging station.</t>
  </si>
  <si>
    <t>Maximize customer satisfaction</t>
  </si>
  <si>
    <t>Online optimal variable charge-rate coordination of plug-in electric vehicles to maximize customer satisfaction and improve grid performance</t>
  </si>
  <si>
    <t>ELECTRIC POWER SYSTEMS RESEARCH</t>
  </si>
  <si>
    <t>Electric vehicle charging coordination; Customer satisfaction; Variable charging; Coordinated aggregated PSO; Smart grid</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</si>
  <si>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t>
  </si>
  <si>
    <t>@article{hajforoosh2016online,
  title={Online optimal variable charge-rate coordination of plug-in electric vehicles to maximize customer satisfaction and improve grid performance},
  author={Hajforoosh, Somayeh and Masoum, Mohammad AS and Islam, Syed M},
  journal={Electric Power Systems Research},
  volume={141},
  pages={407--420},
  year={2016},
  publisher={Elsevier}
}'</t>
  </si>
  <si>
    <t>This work proposes a nonlinear optimization model that schedules the charging of different EVs under a PCC scheme over a 31-bus network. The model discretizes 24 h in 5 min intervals, being solved either after every 5 min interval or when an EV is plugged-in or plugged-out. The coordinated aggregated particle swarm optimization (CAPSO) algorithm. The problem statement considers that EV owners provide full information and also the possibility that this information might suffer changes on departure times; nevertheless, with the promise of a certain SoC. Furthermore, it considers that energy price is variable and that EV owners are willing to pay different tariffs, which takes the problem into a bidding for energy. Synthetic data is generated by assuming a 0-1 uniform distribution to simulate the probability an EV is plugged-in or plugged-out as well as their desired SoC. Then, different instances are solved based on different EVs penetration at different power flows and bus voltages. Obtained results show that power load drops when considering PCC against TCC. Furthermore, customer satisfaction over the instance with larger EV penetration (63%) is fully achieved in both TCC and PCC. Nevertheless, TCC achieves it by overloading the power grid by a 2.72% while PCC does not; even more, it fulfills the demand sooner than TCC.</t>
  </si>
  <si>
    <t>It clearly handles a network topology</t>
  </si>
  <si>
    <t>The main strenght of the proposal relies on the reoptimization of the model throughout time. However, there is not details about the solving times and whether this can be eventually deployed. Besides, it assumes complete information with random behaviour, but they are solved independently by scenario and not assuming a stochastic formulation. Also, the optimization model seems to be highly nonlinear and no further details are given related to the heuristic to solve it. Finally, battery degradation might be an important factor to consider in customer satisfaction in long-term and even more, when using different power flows.</t>
  </si>
  <si>
    <t>A novel real-time scheduling strategy with near-linear complexity for integrating large-scale electric vehicles into smart grid</t>
  </si>
  <si>
    <t>APPLIED ENERGY</t>
  </si>
  <si>
    <t>Coordinated charging can utilize the properties of electric vehicles (EVs) to obtain various benefits. However, there are two major challenges, viz. the uncertainty of EV charging behaviors and the overlong solving time for the optimal solutions in the charging scheduling problem of large-scale EVs. It is almost infeasible to precisely predict the charging information of EVs due to the uncertainty of their mobility as transportation tools. In order to tackle this issue, the real-time charging scheduling method is employed in this paper. Even so, the computational complexity is crucially important in the real-time scheduling methods since the charging strategies of large-scale EVs must be acquired in a short time. Hence, a high efficient methodology is proposed for EV real-time scheduling based on the definition of capacity margin index and charging priority index. Finally, the simulation results show that the proposed scheduling method has a significant superiority over the uncoordinated charging in the regard of relieving the demand stress on the power system. Moreover, the complexity analysis demonstrates that the proposed method has near-linear complexity so that it can acquire the optimal real-time charging scheme in a rather shorter time than other methods.</t>
  </si>
  <si>
    <t>Electric vehicle; Coordinated charging; Real-time scheduling; Near-linear complexity; Smart grid</t>
  </si>
  <si>
    <t>@article{zheng2018novel,
  title={A novel real-time scheduling strategy with near-linear complexity for integrating large-scale electric vehicles into smart grid},
  author={Zheng, Yanchong and Shang, Yitong and Shao, Ziyun and Jian, Linni},
  journal={Applied Energy},
  volume={217},
  pages={1--13},
  year={2018},
  publisher={Elsevier}
}'</t>
  </si>
  <si>
    <t>Clearly, these results show important advantages on the use of different priority coeffcients on a weighted fashion; obviously, with adequately -tunned or chosen- weights. Undoubtedly, the proposed fairness index is quite a contribution towards the consideration of heterogeneous vehicles; nevertheless, the no consideration of battery degradation nor the power grid reliability are important drawbacks to be overcome since it is an important factor for EV owners given by its market value, whereas power grid reliability might be negatively affected when no network topology is considered nor even mentioned the settings experiments are performed.</t>
  </si>
  <si>
    <t>It handles 1.5 million EVs and also home- and public-based chargers</t>
  </si>
  <si>
    <t>This study emphasizes on large-scale EVs fleet sizes and the complexity of getting a schedule by using optimal algorithms such as those required by optimization models. Thereby, authors propose two indexes that work sequentially over 15 min intervals during a day. The first index, called capacity margin index, assess whether the available power is enough to handle the demand each interval, whereas the second one, called charging priority index, ranks the vehicles demanding energy to schedule their charge based on the available power at each time interval. Clearly, if the first index shows that there is not enough available power, just a subset of demanding vehicles in the highest positions in the ranking would receive energy. To simulate the phenomenon, two kind of charging patterns are considered. Those that aim to get energy at home and those that want it in public stations on a relationship of 75/25 of the fleet. Thus, arrival and departure times are generated using normal distributions for home-charging vehicles whereas for public-charging uniform distributions are likely to fit in real data collected from a Chinese city. Furthermore, is it also considered the possibility of EVs might be plugged-out in advance. Thus, a Bernoulli distribution is used with an expectation of 1% of the entire fleet that aims to generate a number of vehicles with that pattern. Computational experiments are carried out considering two fleet sizes of 1.5 and 2.0 million vehicles whose results are compared against each other and if under an uncoordinated charging scheme. Thus, results reveal that the 50% of load peak when using the proposed method reaches 15 954 MW and 15 989 when 1.5 and 2.0 million vehicles are considered, respectively. Conversely, when unccordinated charging is used, the load peak corresponds to 16 189 MW and 18 247 for the same instances. Therefore, it should be noted that the proposed method outperforms the unccordinated charging and, moreover, it does not suffer big changes when 500 thousands more vehicles penetrate in the grid.</t>
  </si>
  <si>
    <t>This research handles the problem of large fleet sizes; however, although it incorporates two kind of charging stations for public-charging vehicle profiles, different models of vehicles could negatively impact on the time complexity of proposed indexes since more subscripts would be required. Furthermore, a network topoloy is not explored and therefore assessments on peak load could be wrong on real instances. Finally, the generation of random departure times from actual departure times and nor from parking times plus the arrival times could discard extreme plugged-in connections such as the shortest and longest ones. Hence, the method can only be analyzed on standar but no extreme scenarios.</t>
  </si>
  <si>
    <t>Kuran, Mehmet Sukru; Viana, Aline Carneiro; Iannone, Luigi; Kofman, Daniel; Mermoud, Gregory; Vasseur, Jean P.</t>
  </si>
  <si>
    <t>Kumar, Kandasamy Nandha; Sivaneasan, Balakrishnan; So, Ping Lam</t>
  </si>
  <si>
    <t>Zhou, Kaile; Cheng, Lexin; Wen, Lulu; Lu, Xinhui; Ding, Tao</t>
  </si>
  <si>
    <t>Jian, Linni; Zheng, Yanchong; Shao, Ziyun</t>
  </si>
  <si>
    <t>Zheng, Yanchong; Shang, Yitong; Shao, Ziyun; Jian, Linni</t>
  </si>
  <si>
    <t>Kececi, Cihat; Ismail, Muhammad; Serpedin, Erchin</t>
  </si>
  <si>
    <t>Hajforoosh, Somayeh; Masoum, Mohammad A. S.; Islam, Syed M.</t>
  </si>
  <si>
    <t>@article{frendo2020improving,
  title={Improving smart charging prioritization by predicting electric vehicle departure time},
  author={Frendo, Oliver and Gaertner, Nadine and Stuckenschmidt, Heiner},
  journal={IEEE Transactions on Intelligent Transportation Systems},
  volume={22},
  number={10},
  pages={6646--6653},
  year={2020},
  publisher={IEEE}
}'</t>
  </si>
  <si>
    <t>Improving Smart Charging Prioritization by Predicting Electric Vehicle Departure Time</t>
  </si>
  <si>
    <t>IEEE TRANSACTIONS ON INTELLIGENT TRANSPORTATION SYSTEMS</t>
  </si>
  <si>
    <t>Frendo, Oliver; Gaertner, Nadine; Stuckenschmidt, Heiner</t>
  </si>
  <si>
    <t>Predictive models; Uncertainty; Schedules; Employment; Optimal scheduling; Load modeling; Electric vehicle charging; Smart charging; machine learning; uncertainty; electric vehicles</t>
  </si>
  <si>
    <t>Electric vehicles (EVs) are increasingly used for commuting to the workplace where employees expect charging opportunities. Limited power supply in existing infrastructures prevents charging many EVs concurrently. Smart charging balances scarce charging resources and distributes power by prioritizing EVs. We maximize fair share among EVs by prioritizing for equal chances of reaching a sufficient state of charge by the time of departure. To address uncertain EV availability, we use regression models trained on historical data to predict departures. More sophisticated regression models show higher prediction accuracy. We improve a smart charging heuristic by incorporating these predictions. Simulations show accurate predictions improve EV prioritization and thus fair share.</t>
  </si>
  <si>
    <t>Maximize minimum SoC</t>
  </si>
  <si>
    <t>This study develops a coordinated charging real-time algorithm considering a priority index based on forecasted departure times. To do so, several regression models are fitted using historical records of three years over –non revealed– eight cities. The models considered include classical multiple linear regression model, XGBoost and artificial neural networks. These models are fitted on standard workflow for coefficient estimation and model selection of k-fold cross validation with L1 regularization. The later, is taken given the several dummy variables on the dataset the authors work with. Once the departure times are fitted and hence possible to get future estimations, they are used as inputs to compute a concave priority function that reaches its maximum value at actual departure time. Then, a priority list is obtained each time. Furthermore, time is discretized on 15 min intervals where priority list is recomputed by updating forecasted departure times while time unfolds. Besides, available power is also available and the algorithm consider a subset of vehicles to be charged during each interval when demand is greater than availability. Thus, it might be possible a receive energy at different power levels during a set of discontinuous time intervals. The aim of this study is to maximize the minimum SoC at the moment the vehicle is plugged-out from the grid. Several simulations are runned considering 400 charging stations and different number of a single EV model (from one to 400 vehicles). Results are compared from each other and models that consider exact forecasting and expected departure time along each EV. Simulations result show minimum SoC ranges from –around– 72% (with 400 vehicles) to 100% (one vehicle). Furthermore, the algorithm shows an important change on performance at 250 vehicles.</t>
  </si>
  <si>
    <t>The work is well-established but it does not present several crucial details for replication. Furthermore, it assumes that departure times do not change or they do not have inherent stochastic nature. Even when departure times do not change in short- or medium-term, it is likely that they may change in the future. Thus, in long-term battery capacity, that is not considered nor a nonlinear charging time, is degradated and so different driving patterns are likely to observe. In concordance, fitted models must be updated and estimation times may make the algorithm infeasible if driving patterns change fast. Finally, large-scale fleet sizes are not analyzed nor heterogeneous EV, nevertheless the later is mentioned in future works.</t>
  </si>
  <si>
    <t>@article{binetti2015scalable,
  title={Scalable real-time electric vehicles charging with discrete charging rates},
  author={Binetti, Giulio and Davoudi, Ali and Naso, David and Turchiano, Biagio and Lewis, Frank L},
  journal={IEEE Transactions on Smart Grid},
  volume={6},
  number={5},
  pages={2211--2220},
  year={2015},
  publisher={IEEE}
}'</t>
  </si>
  <si>
    <t>Binetti, Giulio; Davoudi, Ali; Naso, David; Turchiano, Biagio; Lewis, Frank L.</t>
  </si>
  <si>
    <t>Scalable Real-Time Electric Vehicles Charging With Discrete Charging Rates</t>
  </si>
  <si>
    <t>IEEE TRANSACTIONS ON SMART GRID</t>
  </si>
  <si>
    <t>Charging; electric vehicle (EV); scheduling algorithm; smart grid</t>
  </si>
  <si>
    <t>Large penetration of electric vehicles (EVs) can have a negative impact on the power grid, e.g., increased peak load and losses, that can be largely mitigated using coordinated charging strategies. In addition to shifting the charging process to the night valley when the electricity price is lower, this paper explicitly considers the EV owner convenience that can be mainly characterized by a desired state of charge at the departure time. To this end, the EV charging procedure is defined as an uninterruptible process that happens at a given discrete charging rate and the coordinated charging is formulated as a scheduling problem. The scalable real-time greedy (S-RTG) algorithm is proposed to schedule a large population of EVs in a decentralized fashion, explicitly considering the EV owner criteria. Unlike the majority of existing approaches, the S-RTG algorithm does not rely on iterative procedures and does not require heavy computations, broadcast messages, or extensive bi-directional communications. Instead, the proposed algorithm schedules one EV at a time with simple computations, only once (i.e., at the time the EV connects to the grid), and only requires low-speed communication capability making it suitable for real-time implementation. Numerical simulations with significant EVs penetration and comparative analysis with scheduling policies demonstrate the effectiveness of the proposed algorithm.</t>
  </si>
  <si>
    <t>EV owner</t>
  </si>
  <si>
    <t>EDF</t>
  </si>
  <si>
    <t>Earliest deadline first</t>
  </si>
  <si>
    <t>Scheduling algorithm that schedules the charge of the vehicle with earliest departure time first.</t>
  </si>
  <si>
    <t>LST</t>
  </si>
  <si>
    <t>Least slack time</t>
  </si>
  <si>
    <t>SJF</t>
  </si>
  <si>
    <t>Shortest job first</t>
  </si>
  <si>
    <t>Scheduling algorithm that charges the vehicle with less required energy first.</t>
  </si>
  <si>
    <t>Scheduling algorithm that prioritizes those vehicle with shortest remaining time to achieve the desired SoC.</t>
  </si>
  <si>
    <t>Time interval</t>
  </si>
  <si>
    <t>15 min</t>
  </si>
  <si>
    <t>30 min</t>
  </si>
  <si>
    <t>5 min</t>
  </si>
  <si>
    <t>Decentralized</t>
  </si>
  <si>
    <t>This study addresses the problem of scheduling home-based charging considering the existing load of residential neighborhoods as a baseline to compute available power. Thus, departure and arrival times are drawn from normal distributions with parameters retrieved from literature. Besides, it is assumed that EV owners do not plug-in their vehicles at work. It is formulated an quadratic program that aims to minimize the variance over the power load adding a penalization for peak loads. This model considers constant charging rates over 15 min intervals during a day of simulation. In this case, the model is not solved optimally but through a proposed heuristic called S-RTG, that belong to the greedy class. In this algorithm, each EV locally solves the optimization problem communicating the solution to the AU. To compare the performance of proposed algorithm, its results are compared against the often used rules EDF, LST, SJF and lottery policy. In contrast to the proposed algorithm, these rules assume presence of perfect information and thus impracticable on real-instances; hence, a time interval of 15 min is considered to collect the data prior to construct the schedule. Computationals simulations are carried out considering 9300 EVs and a base load given by 10 000 homes of the Southern California Edison (USA) on two seasons, summer and winter; furthermore, three different EV models are taken into account with their respective technical especifications. In here, an 80% SoC is considered as full charge to avoid prematurely battery degradation. In either scenario, results reveal similar performance against experimentation with perfect information and that one when data collection time is allowed. In them, valley-filling is successfully achieved while peak load is minimized. In particular, the S-RTG algorithm minimizes the variance over the power load given by the baseline load and performs as good as benchmark algorithms on perfect information.</t>
  </si>
  <si>
    <t>They consider several home-based charging station, but no network topology.</t>
  </si>
  <si>
    <t>This study emphasizes on the development of an algorithm capable to be deployed on real-time for home-based TCC charging. However, there is no constraints over charging times nor strategies to tackle out the energy price. Besides, simulation time length could not be representative while time unfolds since different charging loads can exists. Finally, the actual performance of the algorithm cannot be discussed since the model is not solved with an optimal algorithm and so results are upper bounds in this minimization problem.</t>
  </si>
  <si>
    <t>Unit commitment</t>
  </si>
  <si>
    <t>UC</t>
  </si>
  <si>
    <t>It is the problem that schedules the energy production at minimum cost.</t>
  </si>
  <si>
    <t>Time-of-use</t>
  </si>
  <si>
    <t>Real-time pricing</t>
  </si>
  <si>
    <t>RTP</t>
  </si>
  <si>
    <t>Pricing scheme that is adjusted according to a function that varies over the time.</t>
  </si>
  <si>
    <t>Synonyms</t>
  </si>
  <si>
    <t>Class</t>
  </si>
  <si>
    <t>Infrastructure</t>
  </si>
  <si>
    <t>Concept</t>
  </si>
  <si>
    <t>Scheduling algorithm</t>
  </si>
  <si>
    <t>Pricing</t>
  </si>
  <si>
    <t>Problem</t>
  </si>
  <si>
    <t>SoC</t>
  </si>
  <si>
    <t>State-of-chage</t>
  </si>
  <si>
    <t>Almacenated energy in the battery, commonly represented as a fraction of the total capacity.</t>
  </si>
  <si>
    <t>It is the box where the vehicle is connected through the cable.</t>
  </si>
  <si>
    <t>Acronym</t>
  </si>
  <si>
    <t>EV load</t>
  </si>
  <si>
    <t>It is the power or energy consumed at EVSEs over time.</t>
  </si>
  <si>
    <t>Electric vehicle</t>
  </si>
  <si>
    <t>EV</t>
  </si>
  <si>
    <t>ICEV</t>
  </si>
  <si>
    <t>Internal combustion engine vehicle</t>
  </si>
  <si>
    <t>Vehicle-to-grid</t>
  </si>
  <si>
    <t>EVs are also energy sources since they can provide energy to the grid by discharging their batteries.</t>
  </si>
  <si>
    <t>G2V</t>
  </si>
  <si>
    <t>The power grid supplies energy to EVs.</t>
  </si>
  <si>
    <t>Grid-to-vehicle</t>
  </si>
  <si>
    <t>Transmission system operator</t>
  </si>
  <si>
    <t>TSO</t>
  </si>
  <si>
    <t>The network that transports the enery at high voltage from the generation source to cities.</t>
  </si>
  <si>
    <t>EVSE</t>
  </si>
  <si>
    <t>FCEV</t>
  </si>
  <si>
    <t>Fuel cell electric vehicle</t>
  </si>
  <si>
    <t>HEV</t>
  </si>
  <si>
    <t>Hybrid electric vehicle</t>
  </si>
  <si>
    <t>Coordinated charging</t>
  </si>
  <si>
    <t>Uncoordinated charging</t>
  </si>
  <si>
    <t>Energy supplied is controled under power availability and/or power grid constraints.</t>
  </si>
  <si>
    <t>Vehicles that use gasoline only.</t>
  </si>
  <si>
    <t>Light-weight vehicles that require a rechargeable battery.</t>
  </si>
  <si>
    <t>Vehicles that work with hydrogen fuel.</t>
  </si>
  <si>
    <t>Vehicles that use gasoline and electricity.</t>
  </si>
  <si>
    <t>Piece-wise constant, White tariff.</t>
  </si>
  <si>
    <t>Variable charge-rate coordination (VCC).</t>
  </si>
  <si>
    <t>Internal combustion vehicles (ICVs), Conventional vehicle (CV).</t>
  </si>
  <si>
    <t>Centralized charging</t>
  </si>
  <si>
    <t>Decentralized charging</t>
  </si>
  <si>
    <t>Price control</t>
  </si>
  <si>
    <t>Coordination method in which the AU sets the price over the day as an incentive or disincentive mechanism to plug-in EV when needed.</t>
  </si>
  <si>
    <t>Centralized control, Direct control.</t>
  </si>
  <si>
    <t>Unidirectional, Unidirectional V2G, V1G.</t>
  </si>
  <si>
    <t>Distributed charging, self-scheduling, transactive control, Indirect control.</t>
  </si>
  <si>
    <t>Energy market</t>
  </si>
  <si>
    <t>Impact of electric vehicles on distribution substations: A Swiss case study</t>
  </si>
  <si>
    <t>Salah, Florian; Ilg, Jens P.; Flath, Christoph M.; Basse, Hauke; van Dinther, Clemens</t>
  </si>
  <si>
    <t>Electric vehicles; Charging coordination; Grid planning</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</si>
  <si>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t>
  </si>
  <si>
    <t>@article{salah2015impact,
  title={Impact of electric vehicles on distribution substations: A Swiss case study},
  author={Salah, Florian and Ilg, Jens P and Flath, Christoph M and Basse, Hauke and Van Dinther, Clemens},
  journal={Applied Energy},
  volume={137},
  pages={88--96},
  year={2015},
  publisher={Elsevier}
}'</t>
  </si>
  <si>
    <t>PV, Wind</t>
  </si>
  <si>
    <t>When energy is supplied with no control nor constraint until desired SoC is reached. In other words, charge whenever possible (obviously).</t>
  </si>
  <si>
    <t>Minimize charging cost</t>
  </si>
  <si>
    <t>1 week</t>
  </si>
  <si>
    <t>Bottleneck</t>
  </si>
  <si>
    <t>Line limits and transformer capacities across different voltage levels.</t>
  </si>
  <si>
    <t>They clearly stated that it is a power grid and also use the topology of it.</t>
  </si>
  <si>
    <t>Although this is a clear and well-written article, it lacks of some details on power grid behavior. Furthermore, arrival and departure times are not clearly stated on the computation and so results cannot be analyzed throughout the day. Realistic demands are also omitted and hence some important insights are not shown in results. The base-load is neither considered and thus only EV power demand could lead to misinterpret the overloading metric. Then, the so-called avalanche effect is not taken into account since a smooth energy flow is not pursue as an objective. Finally, gathering the entire demand of a bus is not generalizable to a problem where public charging stations are also considered.</t>
  </si>
  <si>
    <t>This study focues son home-based charging by utilizing a charging scheduling based on the price scheme which can be either TOU or RTP. In this regard, it is assumed that energy price is influenced by PV and windy energy generation. A driving pattern is assumed such that a travel distance is known every day over a week. Thus, a linear program is formulated and solved for each EV through CPLEX to get the charging schedule considering a 15 min time interval, a desired SoC equals to the SoC at the beginning of the time horizon for a periodic solution and a charging rate that might vary between time intervals. It is important to note that the total load is computed by summing all the charging stations that belong to each bus. Three different computational experiments are considered under a real instance provided from a well-known energy company in Switzerland. Different EV penetration level (16%, 50% and 100%), RES generation levels and -aforementioned- price schemes. Furthermore, 12 different weeks are considered to analyze temporality. Results reveal an -expected- scenario where 100% of penetration leads to an overloading. Furthermore, the RTP scheme in combination with high renwable energy generation show an increasing in powerload motivated by lower energy prices. Finally, when comparing different weeks to depict different demands, it is shown that there are certain buses that are more loaded given, most likely, their location.</t>
  </si>
  <si>
    <t>Apartment-level electric vehicle charging coordination: peak load reduction and charging payment minimization</t>
  </si>
  <si>
    <t>ENERGY AND BUILDINGS</t>
  </si>
  <si>
    <t>Jang, Han Seung; Bae, Kuk Yeol; Jung, Bang Chul; Sung, Dan Keun</t>
  </si>
  <si>
    <t>Electric vehicles; Charging coordination; Scheduling algorithm; Apartment; Peak load reduction; Charging payment minimization</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</si>
  <si>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t>
  </si>
  <si>
    <t>@article{jang2020apartment,
  title={Apartment-level electric vehicle charging coordination: Peak load reduction and charging payment minimization},
  author={Jang, Han Seung and Bae, Kuk Yeol and Jung, Bang Chul and Sung, Dan Keun},
  journal={Energy and Buildings},
  volume={223},
  pages={110155},
  year={2020},
  publisher={Elsevier}
}'</t>
  </si>
  <si>
    <t>Fixed charge-rate coordination (FCC), on-off based charging.</t>
  </si>
  <si>
    <t>It assumes a sinlge apartment complex, so it could be compared as a singles charging station.</t>
  </si>
  <si>
    <t>Full</t>
  </si>
  <si>
    <t>40 h</t>
  </si>
  <si>
    <t>This work propose two approaches depending on the price scheme aiming to reduce the peak load. In particular, the authors consider a flat or a TOU schemes. Thus, for a residential charging place that aim to charge 1000 Evs (50% of penetration). The general workflow of the proposal gathers the information of customers demanding energy, computes the necessary energy and thereafter gets the number of time slots required to reach the desired SoC for each EV with a certain priority level that acts as a penalty in the time marging function. Thus, two subsets of EVs are made, those urgent charging and those normal charging. Then, when the demand is greater than the energy availability, a subset of urgent charging EVs is scheduled according to their priority place regardless the pricing scheme. Otherwise, when flat price is under study, all urgent charging EVs are scheduled and normal charging as well according to their position in the priority place; in case of using TOU price, all urgent charging vehicles are scheduled and normal charging EVs are scheduled such that the total cost is minimized under energy availability. Computational experiments are carried out considering the base-load of common consumption of houses, street lights an elevators, among others. The simulation settings assume a defined transformer capacity, a starting SoC normally distributed around 50% and a fully charged battery as final SoC. Furhtermore, the proposed algorithms are compared using the peak loads and total cost against FIFO and random selection scheduling. Results reveal that neither FIFO nor random selection algorithm met the constraint of available energy while the proposed methods satisfy this constraint and also can save up to 37.5% of the electricity bill per-day.</t>
  </si>
  <si>
    <t>The proposal can be summaryzed as others using priority indexes. Also, a prediction system is assumed but not developed. Furthermore, benchmarks against other proposed algorithms should be necessary in order to compare and to highlight the results since priority indexes are widely used in literature. Finally, it is mentioned that a large number of EVs is considered, but 1000 vehicles is a quite small number of vehicles.</t>
  </si>
  <si>
    <t>Decentralized coordinated charging of electric vehicles considering locational and temporal flexibility</t>
  </si>
  <si>
    <t>INTERNATIONAL TRANSACTIONS ON ELECTRICAL ENERGY SYSTEMS</t>
  </si>
  <si>
    <t>D'hulst, Reinhilde; De Ridder, Fjo; Claessens, Bert; Knapen, Luk; Janssens, Davy</t>
  </si>
  <si>
    <t>electric vehicles; charging coordination; distributed control</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</si>
  <si>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t>
  </si>
  <si>
    <t>@article{d2015decentralized,
  title={Decentralized coordinated charging of electric vehicles considering locational and temporal flexibility},
  author={D'hulst, Reinhilde and De Ridder, Fjo and Claessens, Bert and Knapen, Luk and Janssens, Davy},
  journal={International Transactions on Electrical Energy Systems},
  volume={25},
  number={10},
  pages={2562--2575},
  year={2015},
  publisher={Wiley Online Library}
}'</t>
  </si>
  <si>
    <t>One-day-ahead</t>
  </si>
  <si>
    <t>This work formulates a scheduling problem based on PCC coordination scheme in which RTP pricing is considered. The model aims to coordinate the charging along parking stations spread over the region of Flanders in Belgium. As information privacy is a major concern in centralized coordination methods, the model is solved under a decentralized way using the Alternating Direction Method of Multipliers (ADMM) exploiting the zero duality gap of the linear program formulated. In here, the variable of interest is the power supplied to each vehicle at certain time intervals of 5 min considering a certain price that is known for each EV owner. Besides, the model assumes that the EV might be able to choose the charging parking while having enough SoC to reach it and get the desired SoC to get to its destination. Hence, computational experiments consider precise one-day-ahead estimations of travel behaviors through activity-based modeling (ActBM). Furthermore, the centralized model is solved for comparison. The optimal solution reveals a total charging cost for 1000 EVs equal to 215.3 euros during a single day, while the decentralized method shows a gap of less than 0.1% after 59 iterations.</t>
  </si>
  <si>
    <t>As mentioned by the authors themselves, the major inconvenience if the proposal is the assumption of cooperation from the customers to respect their travel behaviors. Most important, the time they stay parked. On the other hand, although the number of iterations is shown through different number of EVs, the computation times of the centralized nor the decentralized methods are shown. Thus, no discusion can be made on this. In other words, in might be intractable with a large penetration.</t>
  </si>
  <si>
    <t>132 charging locations allocated in parkings; no network topology.</t>
  </si>
  <si>
    <t>Pricing scheme that is constant by time frame (static price), commonly three frame: off-peak, shoulder and peak.</t>
  </si>
  <si>
    <t>Wos</t>
  </si>
  <si>
    <t>A Multi-Stage Optimization Approach for Active Distribution Network Scheduling Considering Coordinated Electrical Vehicle Charging Strategy</t>
  </si>
  <si>
    <t>Zhu, Xiaojun; Han, Haiteng; Gao, Shan; Shi, Qingxin; Cui, Hantao; Zu, Guoqiang</t>
  </si>
  <si>
    <t>Active distribution network scheduling; electric vehicle; coordinated charging strategy; distributed energy resource</t>
  </si>
  <si>
    <t>The increasing integration of renewable resources and electric vehicles (EVs) presents new requirements for the construction of a current distribution network. As an alternative of conventional distribution network, active distribution network (ADN) has gained more interest for its flexibility and interactivity. However, the unpredictable behavior of ADN participants from source-side, network-side, and demand-side brings more challenges on ADN dispatch. Thus, it is urged to design an ADN optimal scheduling approach that can comprehensively regulate the ADN participants' behavior. In this paper, an ADN performance assessment system is first established to provide a quantitative analysis on ADN's scheduling in terms of active controllability, active manageability, and active economy, respectively. Then, according to the ADN assessment system, a multi-stage optimal scheduling approach for ADN considering coordinated EV charging strategy is proposed. It is able to not only smooth the fluctuations caused by the integration of intermittent power sources and EVs but also reconfigure the network topology. Therefore, this approach can be applied to day-ahead dispatches to help operators effectively manage the ADN. Simulation results verify the correctness and effectiveness of the proposed approach.</t>
  </si>
  <si>
    <t>@article{zhu2018multi,
  title={A multi-stage optimization approach for active distribution network scheduling considering coordinated electrical vehicle charging strategy},
  author={Zhu, Xiaojun and Han, Haiteng and Gao, Shan and Shi, Qingxin and Cui, Hantao and Zu, Guoqiang},
  journal={IEEE access},
  volume={6},
  pages={50117--50130},
  year={2018},
  publisher={IEEE}
}'</t>
  </si>
  <si>
    <t>DER</t>
  </si>
  <si>
    <t>Distributed energy resource</t>
  </si>
  <si>
    <t>It refers to those energies that are not generated and distributed by the distribution network, e.g. renewable energy resources.</t>
  </si>
  <si>
    <t>It considers different buses.</t>
  </si>
  <si>
    <t>1 h</t>
  </si>
  <si>
    <t>Wind</t>
  </si>
  <si>
    <t>PV, wind</t>
  </si>
  <si>
    <t>Minimize total cost, Minimize pollution</t>
  </si>
  <si>
    <t>This work handles the problem of a network topology considering the black-outs in a node when some reliability criterion is not met. To do this, RESs are considered on a IEEE 33-bus distribution network. The proposal considers a sequential three step algorithm: Firstly, the algorithm decides the charging mode (slow or fast) the EV is going to be dispatched to according to gaussian arrival and departure times. Secondly, the power flow is determined according to a bi-objective (economical and environmental) program considering the backward-forward sweep method. The last step deals with those problems of low voltage and overload in the system by either stop charging the vehicle or stop the energy supply to the bus in the network. Computations experiments consider 500 EV showing that the coordinated charging proposal increase the fully-charged vehicles from 65.2% to 96.4% in a day of simulation. Also, the charging cost is decreased by 31%. Furthermore, the load variability is also decreased from 1876.16 to 1817.93 kW/h.</t>
  </si>
  <si>
    <t>It misunderstood the concept of multi-stage optimization. They actually refer to a three step algorithm that works sequentially. Furthermore, several experiments are not present in the results such as different penetration levels and or arrival and departure time.</t>
  </si>
  <si>
    <t>Distributed Control for Charging Multiple Electric Vehicles with Overload Limitation</t>
  </si>
  <si>
    <t>Yang, Bo; Li, Jingwei; Han, Qiaoni; He, Tian; Chen, Cailian; Guan, Xinping</t>
  </si>
  <si>
    <t>IEEE TRANSACTIONS ON PARALLEL AND DISTRIBUTED SYSTEMS</t>
  </si>
  <si>
    <t>Electric vehicle; charging scheduling; renewable energy; smart grid; Lyapunov optmization</t>
  </si>
  <si>
    <t>Severe pollution induced by traditional fossil fuels arouses great attention on the usage of plug-in electric vehicles (PEVs) and renewable energy. However, large-scale penetration of PEVs combined with other kinds of appliances tends to cause excessive or even disastrous burden on the power grid, especially during peak hours. This paper focuses on the scheduling of PEVs charging process among different charging stations and each station can be supplied by both renewable energy generators and a distribution network. The distribution network also powers some uncontrollable loads. In order to minimize the on-grid energy cost with local renewable energy and non-ideal storage while avoiding the overload risk of the distribution network, an online algorithm consisting of scheduling the charging of PEVs and energy management of charging stations is developed based on Lyapunov optimization and Lagrange dual decomposition techniques. The algorithm can satisfy the random charging requests from PEVs with provable performance. Simulation results with real data demonstrate that the proposed algorithm can decrease the time-average cost of stations while avoiding overload in the distribution network in the presence of random uncontrollable loads.</t>
  </si>
  <si>
    <t>@article{yang2016distributed,
  title={Distributed control for charging multiple electric vehicles with overload limitation},
  author={Yang, Bo and Li, Jingwei and Han, Qiaoni and He, Tian and Chen, Cailian and Guan, Xinping},
  journal={IEEE Transactions on Parallel and Distributed Systems},
  volume={27},
  number={12},
  pages={3441--3454},
  year={2016},
  publisher={IEEE}
}'</t>
  </si>
  <si>
    <t>It considers a distribution network</t>
  </si>
  <si>
    <t>10 min</t>
  </si>
  <si>
    <t>60 h</t>
  </si>
  <si>
    <t>This work proposes a decentralized coordination scheme in a 19-bus distribution network considering 18 charging stations that gather the information independently. Besides, each charging station is assumed to have three EVSE and batteries to save surplus wind energy that is generated by turbines allocated in each station. The coordinated charging method proposal considers different subproblems to be solved depending on the context of the charging station assuming that the batteries that save the renewable energy is supply prior to grid energy, when possible; otherwise, the gap on energy to satisfy the demand is gotten from the grid. In here, the charging stations are connected to 'entry points' that receives a charging request with geometric probability. It is worth noting that overloading if allowed on certaint proportion based on a chance constraint using the Chebishev's inequality for implementation. Computational experiments reveal that overloading parameter bound plays a fundamental role during the whole day, and a even more important role during peak hours. Besides, the proposal is compared against a proposed algorithm is literature and a greedy algorithm that dispatches vehicles to the EVSE with the most charged battery. In this regard, the proposed method shows to decrease the total charging cost at any battery capacity of charging stations and less waiting time for energy,</t>
  </si>
  <si>
    <t>Although the algorithm is quite novel, it lacks of relevant information about running times and declaration of number of Evs. Furthermore, it does not consider the origin destination of the EV nor the possibility of the avalanche effect whe using decentralized approach. Finally, this paper defines the decentralized problem at each charging station; however, this charging station gathers the information of its customers causing different interpretations for the decentralized approach depending on the aggregation level.</t>
  </si>
  <si>
    <t>@article{wu2019hierarchical,
  title={A hierarchical charging control of plug-in electric vehicles with simple flexibility model},
  author={Wu, Di and Radhakrishnan, Nikitha and Huang, Sen},
  journal={Applied Energy},
  volume={253},
  pages={113490},
  year={2019},
  publisher={Elsevier}
}'</t>
  </si>
  <si>
    <t>A hierarchical charging control of plug-in electric vehicles with simple flexibility model</t>
  </si>
  <si>
    <t>Electric vehicle supply equipment; Hierarchical control; Model predictive control; Plug-in electric vehicles; Smart charging</t>
  </si>
  <si>
    <t>Wu, Di; Radhakrishnan, Nikitha; Huang, Sen</t>
  </si>
  <si>
    <t>The demand for plug-in electric vehicles (PEVs) is increasing exponentially, which could add a considerable amount of load onto the power grid, because charging one PEV is nearly equivalent to adding three houses to the power system. On the other hand, their capability to actively interact with the grid presents excellent opportunities for load management, demand response, and various other grid services. This paper proposes a hierarchical charging scheduling and control framework to enable PEVs for grid services while meeting vehicle owners' travel needs. The proposed control framework consists of coordination and vehicle layers. In the vehicle layer, each set of electric vehicle supply equipment (EVSE) is equipped with a controller that estimates charging power and energy flexibility based on vehicle characteristics, charging equipment power rating, battery energy state, and upcoming trip information. The controller also controls vehicle charging power in real-time. In the coordination layer, with the charging flexibility model received from each EVSE controller, the central coordinator determines the optimal power allocation for a look-ahead time window based on grid services to be provided. The proposed charging coordination approach can help reduce computational complexity and communication requirement compared with existing methods. It is also scalable to the expanding PEV fleet and robust to uncertainties in upcoming vehicle trips and future system condition. The proposed method is studied using a prototypical feeder developed at Pacific Northwest National Laboratory and detailed trip information extracted from National Household Travel Survey.</t>
  </si>
  <si>
    <t>Charging station</t>
  </si>
  <si>
    <t>Minimize power load variability</t>
  </si>
  <si>
    <t>Is uses a power network</t>
  </si>
  <si>
    <t>MPC</t>
  </si>
  <si>
    <t>The proposed coordination scheme considers two subproblems to be solved in a hybrid way in combination with V2G scheme. In particular, the information is gathered by the EVSE an then communicated to the charging station that, at the same time, communicate its power need to a central coordinator (that may be the DSO). Here, the problem is centralized at each charging station and decentralized at the power grid level. This is clearly feasible since power flow is not constant during the time interval considered. Both subproblems aim to minimize the power load variability with its consequences as minimizing total cost or peak shaving. Obtained results show that, in contrast to uncoordinated charging, the peak power load is reduced by 21.15% when residential and public based-charging stations are taken into account in the case of perfect information; on the other hand, when look-ahead (MPC) mode is used, the peak power load is reduced by 7.21%.</t>
  </si>
  <si>
    <t>Although the algorithm is clearly stated, the instance where results are shown consider too few vehicles making impossible to compare the its efficiency at collecting information stage. Furthermore, no pricing scheme is detailed and therefore EV owners behavior cannot be observed, such as the so-called avalanche effect. Running times are not shown and so scalability of the method is not possible to be made. Finally, although EVSE are said to gather the information, if they have capacity for just one EV to be plugged-in, the algorithm should decrease it advantage in comparison when more EV can be plugged-in.</t>
  </si>
  <si>
    <t>Sizing of electric vehicle charging stations with smart charging capabilities and quality of service requirements</t>
  </si>
  <si>
    <t>Khaksari, Alireza; Tsaousoglou, Georgios; Makris, Prodromos; Steriotis, Konstantinos; Efthymiopoulos, Nikolaos; Varvarigos, Emmanouel</t>
  </si>
  <si>
    <t>SUSTAINABLE CITIES AND SOCIETY</t>
  </si>
  <si>
    <t>Electric vehicles; Charging stations; Sizing; Smart charging; Flexibility</t>
  </si>
  <si>
    <t>The increasing penetration of electric vehicles (EVs) inherently couples the transportation system with the electricity system through charging stations (CSs). Today's regulatory context highly incentivizes CS infra-structure investments that are expected to have a significant impact on reducing air pollution, cutting emissions and promoting environmentally sustainable cities. The Sizing problem of a CS typically concerns the minimi-zation of the investment cost for charging facilities, subject to the CS being able to fulfill a certain level of charging requests. Several studies have shown the potential of Smart Charging technologies, towards controlling the charging profiles of EVs, so as to achieve a lower operational cost or a lower peak to average power con-sumption ratio for the CS, by shifting the charging of some EVs. By making more efficient use of charging fa-cilities, Smart Charging can also help reducing the amount of chargers required in order to achieve a certain Quality of Service (QoS) for the CS's clients. In this paper we solve the CS's sizing problem (i.e. decisions on number and types of installed chargers) through an optimization framework that minimizes the investment cost of CS operators, subject to achieving a certain QoS for their clients (EV owners). In particular, we extend the existing CS sizing models by taking into account also the smart charging capabilities during operation. We present a novel formulation for the QoS level of the CS using chance-constraints and propose some relaxations that constitute the problem solvable. Finally, we present a methodology that enhances the scalability of the optimal sizing algorithm. The proposed methodology is able to offer valuable services to CS operators in competitive environments.</t>
  </si>
  <si>
    <t>@article{khaksari2021sizing,
  title={Sizing of electric vehicle charging stations with smart charging capabilities and quality of service requirements},
  author={Khaksari, Alireza and Tsaousoglou, Georgios and Makris, Prodromos and Steriotis, Konstantinos and Efthymiopoulos, Nikolaos and Varvarigos, Emmanouel},
  journal={Sustainable Cities and Society},
  volume={70},
  pages={102872},
  year={2021},
  publisher={Elsevier}
}'</t>
  </si>
  <si>
    <t>Minimize investment cost</t>
  </si>
  <si>
    <t>It considers several charging stations but no network topology</t>
  </si>
  <si>
    <t>It states a good starting point towards combining tactical and strategical modeling. However, it lacks of several details that are mentioned in the paper but not shown as results.Examples of these are running times and time horizon and time intervals where optimization is running on. Thus, replicate it could be extremely difficult. In terms of the work, it makes barely real assumptions such as making an investment plan at no discount, i.e., the net present value is not the objective function. Moreover, the fleet sizes under study are not large enough to conclude about the afficacy of the model.</t>
  </si>
  <si>
    <t>Integrated PV Charging of EV Fleet Based on Energy Prices, V2G, and Offer of Reserves</t>
  </si>
  <si>
    <t>Mouli, Gautham Ram Chandra; Kefayati, Mahdi; Baldick, Ross; Bauer, Pavol</t>
  </si>
  <si>
    <t>Charging station; distribution system; electric vehicle; photovoltaic system; regulation services; scheduling; smart charging; smart grids</t>
  </si>
  <si>
    <t>Workplace charging of electric vehicles (EVs) from photovoltaic (PV) panels installed on an office building can provide several benefits. This includes the local production and use of PV energy for charging the EV and making use of dynamic tariffs from the grid to schedule the energy exchange with the grid. The long parking time at the workplace provides the chance for the EV to support the grid via vehicle-to-grid technology, the use of a single EV charger for charging several EVs by multiplexing and the offer of ancillary services to the grid for up and down regulation. Further, distribution network constraints can be considered to limit the power and prevent the overloading of the grid. A single mixed integer linear programming (MILP) formulation that considers all the above applications has been proposed in this paper for a charging a fleet of EVs from PV. The MILP is implemented as a receding-horizon model predictive energy management system. Numerical simulations based on market and PV data in Austin, TX, USA, have shown 32% to 651% reduction in the net cost of EV charging from PV when compared to immediate and average rate charging policies.</t>
  </si>
  <si>
    <t>This paper addresses a problem part of the 'QoS-aware charging station sizing' class, where charging stations are planned to be installed to met certain QoS while working with a coordination charging scheme. In here, authors formulate a chance constraint binary programming model aiming to minimize the investment cost of different charging stations under three different charging schemes: i) full power supply control or smart charging (a.k.a. PCC), ii) smart scheduling (a special class of TCC), and iii) firt-come firt-serve policy (somehow uncoordinated charging). For computational experiments, Gurobi is used to solve the problem with several candidate charging stations are considered to be installed with different settings (slow- and fast-chargers) to serve four different types of EVs at different fleet sizes. Under 200 Monte Carlo instances with normal arriving and departure time with different driving patterns, results show that PCC is the cheapest charging scheme at any EV fleet size. In this regard, as QoS is a critical indicator and given that no-delay is difficult to be ever met, some flexibility is analyzed on departure times and reaching desired SoC. Thus, with this relaxation and PCC, results reveal that fast-chargers are prefered to be installed at different EVs fleet sizes, which is mostly explained by the relationship between cost and charging rate.</t>
  </si>
  <si>
    <t>@article{mouli2019integrated,
  title={Integrated PV charging of EV fleet based on energy prices, V2G, and offer of reserves},
  author={Mouli, Gautham Ram Chandra and Kefayati, Mahdi and Baldick, Ross and Bauer, Pavol},
  journal={IEEE Transactions on Smart Grid},
  volume={10},
  number={2},
  pages={1313--1325},
  year={2019},
  publisher={IEEE}
}'</t>
  </si>
  <si>
    <t>Nonlinear</t>
  </si>
  <si>
    <t>Public (Parking)</t>
  </si>
  <si>
    <t>PV</t>
  </si>
  <si>
    <t>Is addresses the problem in a parking that belongs to a workplace, i.e., just a single charging station.</t>
  </si>
  <si>
    <t>Receding horizon control (RHC)</t>
  </si>
  <si>
    <t>It aims to repeatedly solve an optimization problem using forecast of costs and demand, among others.</t>
  </si>
  <si>
    <t>Model predictive control</t>
  </si>
  <si>
    <t>This work presents a MILP model that works with a TCC scheme in a workplace parking with EVSEs. The formulation incorporates different details as V2G and RTP. Furthermore, several computational experiments are studied during a day for different days to observe effects on prices and demands. Quasi-nonlinear charging and discharging times are considered based on SoC such that battery degradation is taken into account to depict the maximum power rate able to get during the process. The proposed model is compared against uncontroled and average rate (constant power supply throughout the day) charging schemes. Results show that having EVSEs able to supply energy to more than one EV is better than those with just one plugs. In this regard, the proposal shows to be capable of decreasing the total cost from 32% to 651% with respect to average rate power supply. Besides, it is seen that V2G plays an important role on ancillary services such as power regulation.</t>
  </si>
  <si>
    <t>The study considers to few EVs to be important making difficult to get insights on the actual potential of the proposed model. In this regard, the use of three different EV models is useless. Moreover, the model relies too much on the predictions for PV energy and so the results would not reflect the actual performance of the model on an ideal case.</t>
  </si>
  <si>
    <t>Threshold-Based Random Charging Scheme for Decentralized PEV Charging Operation in a Smart Grid</t>
  </si>
  <si>
    <t>Kwon, Ojin; Kim, Pilkee; Yoon, Yong-Jin</t>
  </si>
  <si>
    <t>SENSORS</t>
  </si>
  <si>
    <t>decentralized charging algorithm; electric vehicles; plug-in electric vehicle; overhead reduction; reduction of charging participation; smart grid; threshold</t>
  </si>
  <si>
    <t>Smart grids have been introduced to replace conventional power distribution systems without real time monitoring for accommodating the future market penetration of plug-in electric vehicles (PEVs). When a large number of PEVs require simultaneous battery charging, charging coordination techniques have become one of the most critical factors to optimize the PEV charging performance and the conventional distribution system. In this case, considerable computational complexity of a central controller and exchange of real time information among PEVs may occur. To alleviate these problems, a novel threshold-based random charging (TBRC) operation for a decentralized charging system is proposed. Using PEV charging thresholds and random access rates, the PEVs themselves can participate in the charging requests. As PEVs with a high battery state do not transmit the charging requests to the central controller, the complexity of the central controller decreases due to the reduction of the charging requests. In addition, both the charging threshold and the random access rate are statistically calculated based on the average of supply power of the PEV charging system that do not require a real time update. By using the proposed TBRC with a tolerable PEV charging degradation, a 51% reduction of the PEV charging requests is achieved.</t>
  </si>
  <si>
    <t>@article{kwon2016threshold,
  title={Threshold-Based Random Charging Scheme for Decentralized PEV Charging Operation in a Smart Grid},
  author={Kwon, Ojin and Kim, Pilkee and Yoon, Yong-Jin},
  journal={Sensors},
  volume={17},
  number={1},
  pages={39},
  year={2016},
  publisher={MDPI}
}'</t>
  </si>
  <si>
    <t>State-of-energy (SoE), Depth-of-Dischard (DoD) if 1 - SoC, Battery state of charging (BSOC).</t>
  </si>
  <si>
    <t>8 h (22:00-06:00)</t>
  </si>
  <si>
    <t>Yes (TBRC)</t>
  </si>
  <si>
    <t>Maximize SoC</t>
  </si>
  <si>
    <t>It does not mention how many charging stations are.</t>
  </si>
  <si>
    <t>It presents a really simple method to control the exponential growing of the information to handle; nevertheless, the fleet size under study is not large enough to appreciate the real impact and its usefulness. Furthermore, the assumption of ever connected EVs is a really particular case of the phenomenon. On the other hand, although the number of power request is decreased by the method, it does not make it decentralized due to there is an aggregator unit that gathers all the information anyway and EVs are not with the grid by themselves.</t>
  </si>
  <si>
    <t>A highly efficient control framework for centralized residential charging coordination of large electric vehicle populations</t>
  </si>
  <si>
    <t>INTERNATIONAL JOURNAL OF ELECTRICAL POWER &amp; ENERGY SYSTEMS</t>
  </si>
  <si>
    <t>Yi, Zonggen; Scoffield, Don; Smart, John; Meintz, Andrew; Jun, Myungsoo; Mohanpurkar, Manish; Medam, Anudeep</t>
  </si>
  <si>
    <t>Electric vehicle; Smart charging; Aggregator; Centralized charging coordination; Receding horizon control; Highly efficient</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</si>
  <si>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t>
  </si>
  <si>
    <t>@article{yi2020highly,
  title={A highly efficient control framework for centralized residential charging coordination of large electric vehicle populations},
  author={Yi, Zonggen and Scoffield, Don and Smart, John and Meintz, Andrew and Jun, Myungsoo and Mohanpurkar, Manish and Medam, Anudeep},
  journal={International Journal of Electrical Power \&amp; Energy Systems},
  volume={117},
  pages={105661},
  year={2020},
  publisher={Elsevier}
}'</t>
  </si>
  <si>
    <t>ADMM</t>
  </si>
  <si>
    <t>Alternating direction method of multipliers</t>
  </si>
  <si>
    <t>This approach solves the cooperative charging problem decomposing the original problem into smaller subproblems that are assigned to each PEV and an aggregator</t>
  </si>
  <si>
    <t>Hierarchical charging, Aggregator-assisted charging.</t>
  </si>
  <si>
    <t>Valley-filling and minimize peak loads</t>
  </si>
  <si>
    <t>26 h (10:00 - 12:00)</t>
  </si>
  <si>
    <t>It considers several charging stations represented by their homes.</t>
  </si>
  <si>
    <t>This paper propose a coordinating method for home-based charging. In particular, the method takes historical data to use MPC such that power load forecasts are obtained to allocate power needs at each time interval. Once the forecast is ready, the power is allocated and supplied to each home given priority index by solving an assignation problem aiming to balance the power load, i.e., valley-filling. The proposal in understood as two-step since it gathers residential power load along forecasted energy demand from the EVs and then solves the aforementioned problem. Computational results are performed considering penetration levels of 10%, 30%, 50%, 70% and 90% on 100,000 houses with one EV per house by assumption. The proposed method shows a peak value of 61.6 MW at 90% penetration level, while uncontrolled charging would produce a peakvalue of 109.8 MW. Furthermore, it is worth noting that the peak hour of EV energy demand is shifted from 20:00 to 04.00.</t>
  </si>
  <si>
    <t>Several assumptions are made in order to reduce running times; however, they are not realistic. Charging times beyond 80% SoC is really important. Furthermore, home-based charging is a really particular case of the phenomenon. On the other hand, although MPC is mentioned, a random walk is used based on actual values but no model is explored. This causes a biased results since the expected value of the random walk is likely the actual value.</t>
  </si>
  <si>
    <t>Rawat, Tanuj; Niazi, K. R.</t>
  </si>
  <si>
    <t>JOURNAL OF ENGINEERING-JOE</t>
  </si>
  <si>
    <t>Electric Vehicles; Smart Charging; Stakeholders; objectives</t>
  </si>
  <si>
    <t>Electric Vehicles (EVs) will become an integral part of the future smart grid. Random charging of EVs will give birth to many issues like increasing losses, voltage deviation, increase in peak etc. The threats imposed by random charging can be conquered by smart or coordinated charging strategies. The Liberalization of energy sector creates an opportunity for different market actors to use flexible EV demand for their own benefits. Thus, the objectives for smart EV charging can be formulated to meet the interest of a single stakeholder or multiple stakeholders. In this paper comparative analysis of three smart charging strategies from different stakeholder's perception/ interests: 1) aggregator (also representing customers) 2) Network operator 3) both aggregator and network operator simultaneously, while considering different EV penetration is presented in terms of increase in peak load, peak-valley difference, load factor and total charging cost. The influence of fast charging and battery charging efficiency on these results is also discussed.</t>
  </si>
  <si>
    <t>@article{rawat2017comparison,
  title={Comparison of EV smart charging strategies from multiple stakeholders' perception},
  author={Rawat, Tanuj and Niazi, Khaleequr Rehman},
  journal={The Journal of Engineering},
  volume={2017},
  number={13},
  pages={1356--1361},
  year={2017},
  publisher={Wiley Online Library}
}'</t>
  </si>
  <si>
    <t>Homogeneous (Toyota RAV4)</t>
  </si>
  <si>
    <t>Minimize charging cost and load variance.</t>
  </si>
  <si>
    <t>1 min</t>
  </si>
  <si>
    <t>It considers different home-base chargers.</t>
  </si>
  <si>
    <t>This work compares three different charging schemes for home-based charging considering the residential base-load. A bi-objective mathematical model is formulated to minimize the charging cost and the load variance, and solved using the fuzzy method each each time interval of 1 min to allocate the energy supplied to each home-charger. Computations experiments are performed considering slow and fast charging modes independently with 20, 40, 60 and 80 EVs. Results at slow-charging mode show that coordinated charging improves the load variance when 40 EVs are under study. When more than 40 EVs are considered, the peak load increases by 8.8% and 34.3% in presence of 60 and 80 EVs. When fast-charging is taken into account, the peak load increases by 17.17% (40 EVs) and 60.52% (80 EVs) for uncoordinated charging and by up to 137.37% for coordinated charging. Nevertheless, despite peak load increases, the power load range decreases from 308.69 kW to 151.11 kW by using coordinated charging.</t>
  </si>
  <si>
    <t>It does not take into account different EV models nor other objective functions. Furhtermore, home-based charging is a very particular case of the phenomenon. Also, using too few EVs does not allow to get important insights on the actual impact of the method. Furthermore, the resolution of the model is not mentioned at all, nonetheless, the model is solved and implemented within 1 min repeatedly.</t>
  </si>
  <si>
    <t>Public (Station) and Residential (Home)</t>
  </si>
  <si>
    <t>Public (Station)</t>
  </si>
  <si>
    <t>Residential (Parking)</t>
  </si>
  <si>
    <t>Workplace (Parking)</t>
  </si>
  <si>
    <t>Residential (Home)</t>
  </si>
  <si>
    <t>Residential (Home) and Workplace (Parking)</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</si>
  <si>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45% and 35% in the United States and the United Kingdom domestic settings, respectively, compared to standard PEV charging practices.</t>
  </si>
  <si>
    <t>Electric vehicles; Charging; Optimization; Smart Grid</t>
  </si>
  <si>
    <t>SIMULATION MODELLING PRACTICE AND THEORY</t>
  </si>
  <si>
    <t>iPlugie: Intelligent electric vehicle charging in buildings with grid-connected intermittent energy resources</t>
  </si>
  <si>
    <t>Panagopoulos, Athanasios Aris; Christianos, Filippos; Katsigiannis, Michail; Mykoniatis, Konstantinos; Chalkiadakis, Georgios; Pritoni, Marco; Peffer, Therese; Panagopoulos, Orestis P.; Rigas, Emmanouil S.; Culler, David E.; Jennings, Nicholas R.; Lipman, Timothy</t>
  </si>
  <si>
    <t>@article{panagopoulos2022iplugie,
  title={iPlugie: Intelligent electric vehicle charging in buildings with grid-connected intermittent energy resources},
  author={Panagopoulos, Athanasios Aris and Christianos, Filippos and Katsigiannis, Michail and Mykoniatis, Konstantinos and Chalkiadakis, Georgios and Pritoni, Marco and Peffer, Therese and Panagopoulos, Orestis P and Rigas, Emmanouil S and Culler, David E and others},
  journal={Simulation Modelling Practice and Theory},
  volume={115},
  pages={102439},
  year={2022},
  publisher={Elsevier}
}'</t>
  </si>
  <si>
    <t>Intermittent energy resource (IER)</t>
  </si>
  <si>
    <t>Dynamic pricing, time-varying price/tariff.</t>
  </si>
  <si>
    <t>Homogeneous (Nissan Leaf S)</t>
  </si>
  <si>
    <t>7 months</t>
  </si>
  <si>
    <t>It considers home-based charging that are independent from each other.</t>
  </si>
  <si>
    <t>This work present a mechanism that coordinates the home-based charging considering MPC to forecast the home consumption, the PV and wind energy, the remaining charging time of the vehicle and the charging cost. The proposed method, named iPlugie, uses the forecasted RES energy along the house consumption to get an estimated charging cost that is combined with the remaining charging -nonlinear- time to schedule the energy supply. In particular, the method consists on get the forecast and to plan the charging by solving a shortest path that minimizes the charging cost to achieve full SoC at departure time. In this regard, nodes represent the SoC while arcs are represented by the possible actions within a certain set of strategies. This set of strategies is about to charge at different fixed charging rates 0 (no charge), 1.65, 3.3 (level 1), 4.95 and 6.6 (level 2) kW. Clearly, the set of strategies is obtained by repeatedly solving the problem throughout time. Computational experiments consider the Nissan Leaf S model and is tested on the US and UK grid setting by assuming normally distributed plug-in and plug-out times. Furthermore, the proposed method is compared against uncontrolled charging, off-peak and cheapest preferences. Results reveal that, compared to uncontrolled coordination (worst case), cost savings reach 31% in the US case and 25% for the UK case.</t>
  </si>
  <si>
    <t>Simulation and Optimization</t>
  </si>
  <si>
    <t>It lacks to provide further details on the MPC since the entire method would rely on this. Besides, there is no comparison against the perfect information case to illustrate the gap and performance of the proposed algorithm. On the other hand, although home-based charging is a particular case of the phenomenon and it might not be generalizable due to full SoC requirement that can change the topology of the graph in the shortest path problem. Finally, it is claimed to be the 'first to deal with peak demand charges', however several previous attemps have addressed this by considering different pricing schemes, especially with RTP.</t>
  </si>
  <si>
    <t>@article{kim2022power,
  title={Power Scheduling Scheme for a Charging Facility Considering the Satisfaction of Electric Vehicle Users},
  author={Kim, Jangkyum and Lee, Joohyung and Park, Sangdon and Choi, Jun Kyun},
  journal={IEEE Access},
  volume={10},
  pages={25153--25164},
  year={2022},
  publisher={IEEE}
}'</t>
  </si>
  <si>
    <t>Power Scheduling Scheme for a Charging Facility Considering the Satisfaction of Electric Vehicle Users</t>
  </si>
  <si>
    <t>Kim, Jangkyum; Lee, Joohyung; Park, Sangdon; Choi, Jun Kyun</t>
  </si>
  <si>
    <t>Costs; Electric vehicle charging; Vehicle-to-grid; Job shop scheduling; Transforms; Schedules; Games; Electric vehicles; electricity market; power scheduling; smart grids; Stackelberg game</t>
  </si>
  <si>
    <t>This paper proposes a novel user-preference-aware power scheduling scheme for application at an electric vehicle (EV) charging facility. Here, the preference of the EV user is characterized as a utility function by considering two different factors: 1) a satisfaction factor according to the charged energy, and 2) payment for the received charging service. As a key component of the power scheduling method, this paper proposes a two-stage power charging method and analyzes the advantage of the proposed method from a monetary perspective. In addition, this paper analyzes the economic benefits of a charging facility and EVs using the single-leader, multi-follower Stackelkberg game. By showing the existence of a unique best response for each participant, this paper presents the improvement of financial profit of EV users and charging facility through comparison with the case where the charging facility does not apply a proper power management scheme. Based on the actual world datasets, this paper shows that the proposed power scheduling scheme is feasible for actual environment. With satisfying the constraints, it is possible to reduce overall electricity cost up to 8.59% compared to the case without considering the peak power in EV charging facility.</t>
  </si>
  <si>
    <t>Charging facility</t>
  </si>
  <si>
    <t>Place where there is an EVSE. It can be either a station, a home, a parking and a workplace.</t>
  </si>
  <si>
    <t>It is formulated to a single charging station. Nevertheless, it is likely to be possibly generalizable.</t>
  </si>
  <si>
    <t>Dataset</t>
  </si>
  <si>
    <t>In this paper, authors propose a leader multi-follower Stackelberg game to coordinate the charging in charging station under TOU pricing scheme. To this end, EV owners are described to have an utility function that is represented by the difference between the satisfaction level by energy supplied and charging cost. Satisfaction level is set as an interpolation of existing data along a cost coefficient. In here, EV owners must decide how much time they are going to be plugged-in to the grid. On the other hand, the AU utility function is defined as the total profit minus a penalization for long charging times and a penalization when peak loads are produced. Here, AU defines the power supplied to each EV. The simulated scenario reveals that the proposed scheme is able to reduce the cost by 19% compared to uncoordinated charging.</t>
  </si>
  <si>
    <t>This study is so far the only one that considers the dynamics of leader follower through a Stackelberg game; however, it does not take into account important details as heterogeneous EV settings nor nonlinear charging times. Furthermore, energy availability is assumed to be available when necessary such that energy market is not considered.</t>
  </si>
  <si>
    <t>@article{ganapaneni2020coordinated,
  title={Coordinated charging of electric vehicles including customer options for slow orfast charging},
  author={Ganapaneni, Swapna and Pinni, Srinivasa Varma},
  journal={Turkish Journal of Electrical Engineering and Computer Sciences},
  volume={28},
  number={2},
  pages={773--783},
  year={2020}
}'</t>
  </si>
  <si>
    <t>Ganapaneni, Swapna; Pinni, Srinivasa Varma</t>
  </si>
  <si>
    <t>TURKISH JOURNAL OF ELECTRICAL ENGINEERING AND COMPUTER SCIENCES</t>
  </si>
  <si>
    <t>Plug in electric vehicles; vehicle charging costs; coordinated charging; linear programming</t>
  </si>
  <si>
    <t>Transportation system electrification in the world decreases the gasoline consumption that leads to increase in usage of number of plug in electric vehicles (PEVs). PEV is a bidirectional resource which, while playing the role of a resource, poses challenges in its management. These vehicles are to be charged at a residential standard outlet or in a corporate car charging station. This paper mainly aims to maximize the benefits of a customer who comes to a charging station for charging their vehicle. An incentive-based cost mechanism is introduced to optimally schedule the vehicles; this mechanism minimizes the overall charging cost, considers their random arrival and departure times and maximizes battery energy before they leave the station. As far as we know, there are no studies on minimizing the cost of coordinated optimal charging of electric vehicles at an isolated charging station with different charging modes. This paper presents and solves a linear optimization problem by LINGO, where the vehicles are connected for charging either in slow charging mode or fast charging mode at hourly basis for 6 h. The results are analyzed and validated. A 30-vehicle model is worked out. A 24-h schedule can also be worked on the same lines as given in this paper when the number of incoming vehicles is large.</t>
  </si>
  <si>
    <t>Coordinated charging of electric vehicles including customer options for slow or fast charging</t>
  </si>
  <si>
    <t>It works in an isolated charging station</t>
  </si>
  <si>
    <t>Optimization (LP)</t>
  </si>
  <si>
    <t>6 h</t>
  </si>
  <si>
    <t>This paper handles the charging coordination within a charging station that has slow and fast chargers. Thus, a linear program is formulated to minimize the total charging cost considering a PCC charging scheme. Furthermore, it is assumed that EVs are predefined to be plugged-in in either slow or fast mode. In this regard, an RTP scheme is considered based on the number of EVs demanding energy throughout the time horizon under study subject to power grid and battery constraints. The problem is solved on a 6 h instance considering a charging station able to have 30 EVs being charged simultaneously. Results reveal that the SoC of every vehicle gets charged by 88%, at least. Besides, power load is shown to be controlled due to fast charged vehicles are scheduled in at the beginning or at the end of the horizon.</t>
  </si>
  <si>
    <t>This is an attempt towards heterogeneous EVSE, but several drawbacks are found. The fleet size is too small to get important insights. Furthermore, vehicles are set to be assigned to a charging speed beforehand. Desired SoC is not considered and proposed method assume that EVs are willing to be parked during the entire time horizon despite it addresses a public charging station.</t>
  </si>
  <si>
    <t>@article{yang2019price,
  title={Price-responsive early charging control based on data mining for electric vehicle online scheduling},
  author={Yang, Shaobing},
  journal={Electric Power Systems Research},
  volume={167},
  pages={113--121},
  year={2019},
  publisher={Elsevier}
}'</t>
  </si>
  <si>
    <t>Price-responsive early charging control based on data mining for electric vehicle online scheduling</t>
  </si>
  <si>
    <t>Charging coordination; Data mining; Dynamic problem; Early charging; Electric vehicle (EV); Online scheduling algorithm</t>
  </si>
  <si>
    <t>The uncertainty of electric vehicle (EV) behavior is deemed as a major challenge in online charging scheduling. It may lead to charging congestion to compromise the whole benefits of EV owners and aggregators. Early charging is the most efficient way to tackle the dynamic problem. However, it is very challenging for early charging to achieve the adaptive control and minimize electricity bill. In this paper, a price-responsive early charging adaptive control (PRECC) is proposed. The speedup factor is designed as a subtotal of charging demand categorized by electricity price, and it can be determined with only one offline charging optimization through a data-mining method. Due to the strong correlation with electricity price, PRECC can help online scheduling algorithms minimize early charging cost. Since it is not limited by the states of EVs, it can rapidly respond to the variations of base load and electricity price. Besides, with the independent design, it can well match online scheduling algorithms. Computer simulations are made to verify the proposed control. The results show that PRECC can improve the optimality of online scheduling by an average of 5.4%. Compared with the traditional early charging strategies, it has obvious advantages in terms of optimality, power capacity utilization, and profitability.</t>
  </si>
  <si>
    <t>Yang, Shaobing</t>
  </si>
  <si>
    <t>Lowest state-of-charge first</t>
  </si>
  <si>
    <t>LSF</t>
  </si>
  <si>
    <t>Scheduling algorithm that charges the vehicle with the lowest SoC first</t>
  </si>
  <si>
    <t>Optimization (BP)</t>
  </si>
  <si>
    <t>Simulation and Optimization (BP)</t>
  </si>
  <si>
    <t>It works with a single residential charging station</t>
  </si>
  <si>
    <t>This work proposes a method based on forecast energy price and power demand based on historical data by scheduling the EV charging at a constant power rate subject to power grid constraints. The proposed coordination method considers the forecasted power demand one-day-ahead and sets the maximum power availability, then a binary linear program is solved to schedule the charging of EV currently demanding energy such that the use of power is maximized. In this regard, a threshold strategy is set to allocate power to each vehicle ordered in increasing order such that power grid constraints are met. Computations experiments are studied based on 44 mondays with EV fleet size normally distributed around 300 vehicles. The proposal is compared against six well-known online scheduling algorithms, the case of uncoordinated charging, and the perfect information solution. It is shown that the proposal outperform the online algorithms in 40 out of 44 cases. Moreover, in 33 cases, the solution presents a gap of 1% with respect to the perfect information solution. Besides, these results are also depicted on power utilization.</t>
  </si>
  <si>
    <t>Synthetic data is taken into account but no further study on arrival and departure times is shown. Furthermore, seasonal effects are not studied; despite performance during sundays are shown, the proposed method is not able to handle uncertainty on power demand. FInally, MPC technique is not detailed.</t>
  </si>
  <si>
    <t>Maximize power utilization</t>
  </si>
  <si>
    <t>Decentralized Game-Theoretic Scheme for D-EVSE Based on Renewable Energy in Smart Cities: A Realistic Scenario</t>
  </si>
  <si>
    <t>@article{alghamdi2020decentralized,
  title={Decentralized game-theoretic scheme for D-EVSE based on renewable energy in smart cities: A realistic scenario},
  author={Alghamdi, Turki G and Said, Dhaou and Mouftah, Hussein T},
  journal={IEEE Access},
  volume={8},
  pages={48274--48284},
  year={2020},
  publisher={IEEE}
}'</t>
  </si>
  <si>
    <t>Alghamdi, Turki G.; Said, Dhaou; Mouftah, Hussein T.</t>
  </si>
  <si>
    <t>Hidden Markov models; Electric vehicle charging; Game theory; Renewable energy sources; Optimization; Batteries; Electric vehicles; electric vehicles charging; electric vehicles discharging; decentralized-energy storage system; decentralized-electric vehicle supply equipment; decentralized game theory; renewable energy; smart cities</t>
  </si>
  <si>
    <t>In this paper, we address a decentralized power production and management system based on Game Theory (GT) for Electric Vehicles’ (EVs’)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interaction with the D-EVSE considering both EVs’ satisfaction as well as the D-EVSEs’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</si>
  <si>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12 h (06:00 - 18:00)</t>
  </si>
  <si>
    <t>It handles several charging stations spread over the city.</t>
  </si>
  <si>
    <t>Maximize SoC and DoD</t>
  </si>
  <si>
    <t>Ottawa's PV Power [37]</t>
  </si>
  <si>
    <t>This work presents a game theory coordination algorithm incorporating V2G such that SoC and DoD are maximized subject to power grid constraints. Furthermore, the charging stations are considered to have PV+ES system able to get energy from the grid when necessary. In particular, the proposed method considers that each EV is willing to provide its information related to driving pattern aiming to advice when to drive toward a charging station. However, each EV takes the decision about how much time to be plugged-in such that their SoC is enough to reach the destination. Computational experiments are carried out for different fleet sizes ranging from 3000 to 8000 vehicles. Results show that SoC decrease while increasing the number of EVs looking for energy. Besides, it decreases along time unfolds due to PV generation decreases.</t>
  </si>
  <si>
    <t>Several details toward the resolution of the maximization problem are not presented.</t>
  </si>
  <si>
    <t>Lack of charging facilities is still a significant barrier to the electrification of the logistic system. How to effectively schedule the electric vehicle (EV) charging power to reduce the charging station operating cost when the number of chargers was limited becomes an important issue. To tackle this issue, an optimal charging scheduling method by responding to the time-of-used (TOU) electricity price is proposed. First, the uncontrolled charging model to fully charge EVs as fast as possible is established. Then, an optimal charging scheduling model by considering the limited number of chargers is proposed to both reduce the charging cost and guarantee the charging demand of each EVs. The proposed model is formulated as a bilevel programming (BP) model. The charger index and available charging duration for each EV are determined at the upper level, while the charging power of each EV at each time slot is determined at the lower level. After that, a solving approach is introduced for the proposed BP model. The efficacy and performance of the proposed charging scheduling method are verified by simulation results.</t>
  </si>
  <si>
    <t>Charging stations; Electric vehicle charging; Optimal scheduling; Logistics; Bilevel programming (BP); charging scheduling; electric vehicle (EV); genetic algorithm</t>
  </si>
  <si>
    <t>Liu, Jiayan; Lin, Gang; Huang, Sunhua; Zhou, Yang; Li, Yong; Rehtanz, Christian</t>
  </si>
  <si>
    <t>Optimal EV Charging Scheduling by Considering the Limited Number of Chargers</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</si>
  <si>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</si>
  <si>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Optimization (Bilevel)</t>
  </si>
  <si>
    <t>Private</t>
  </si>
  <si>
    <t>Logistic</t>
  </si>
  <si>
    <t>Germany electricity spot prices [33] (TOU)</t>
  </si>
  <si>
    <t>WCAS</t>
  </si>
  <si>
    <t>Without chargers assignment scheduling</t>
  </si>
  <si>
    <t>Scheduling algorithm that dispatches EV to charging stations but not to EVSE.</t>
  </si>
  <si>
    <t>It handles a single charging station</t>
  </si>
  <si>
    <t>This work propose a bilevel program to coordinate the charging of a logistic transportion fleet that belongs to a specific company. The model formulated aims to minimize the total charging cost under a TOU pricing obtained from real data. A first nonlinear formulation is presented in the upper level such that an equivalent problem is proposed. In particular, the lower level decides the time intervals EVs are willing to pay for energy (and the power to use) while upper level dispatches the EVSE to EVs. The model is solved via genetic algorithm considering a precomputation step where feasible time slots are obtained in order to transform the upper level into a linear programming problem. Computational experiments are carried out based on synthetic arrival and departure times with respective SoC, considering different number of EVSEs and EVs and comparison are made against uncontrolled charging and the WCAS algorithm. Results reveal short running times around 0.11 s when taking into account 10 EVSE and 15 EVs. Furthermore, it is shown that charging is avoided during peak price intervals.</t>
  </si>
  <si>
    <t>It is a good approach; nevertheless, several details are omitted. Large fleet size is not considered and tabular results are not presented such that exact improvements can be observed (only plots). Furthermore, the study case is a particular problem and assumes power availability. In this regard, homogeneous EVs is a good assumption.</t>
  </si>
  <si>
    <t>Optimal Scheduling for Electric Vehicle Charging under Variable Maximum Charging Power</t>
  </si>
  <si>
    <t>Han, Jinil; Park, Jongyoon; Lee, Kyungsik</t>
  </si>
  <si>
    <t>ENERGIES</t>
  </si>
  <si>
    <t>electric vehicle; charging; scheduling; aggregator; preemptive charging; non-preemptive charging</t>
  </si>
  <si>
    <t>The large-scale integration of electric vehicles (EVs) into power systems is expected to lead to challenges in the operation of the charging infrastructure. In this paper, we deal with the problem of an aggregator coordinating charging schedules of EVs with the objective of minimizing the total charging cost. In particular, unlike most previous studies, which assumed constant maximum charging power, we assume that the maximum charging power can vary according to the current state of charge (SOC). Under this assumption, we propose two charging schemes, namely non-preemptive and preemptive charging. The difference between these two is whether interruptions during the charging process are allowed or not. We formulate the EV charging-scheduling problem for each scheme and propose a formulation that can prevent frequent interruptions. Our numerical simulations compare different charging schemes and demonstrate that preemptive charging with limited interruptions is an attractive alternative in terms of both cost and practicality. We also show that the proposed formulations can be applied in practice to solve large-scale charging-scheduling problems.</t>
  </si>
  <si>
    <t>@article{han2017optimal,
  title={Optimal scheduling for electric vehicle charging under variable maximum charging power},
  author={Han, Jinil and Park, Jongyoon and Lee, Kyungsik},
  journal={Energies},
  volume={10},
  number={7},
  pages={933},
  year={2017},
  publisher={MDPI}
}'</t>
  </si>
  <si>
    <t>Once charging starts, it is not allowed to stop supplying energy.</t>
  </si>
  <si>
    <t>Once charging starts, it is allowed to stop supplying energy.</t>
  </si>
  <si>
    <t>Non-stop charging</t>
  </si>
  <si>
    <t>Free charging</t>
  </si>
  <si>
    <t>Is a central entity acting as an interface between EV users and the system operator or electricity market [4] \cite{han2017optimal}.</t>
  </si>
  <si>
    <t>It handles a single charging station.</t>
  </si>
  <si>
    <t>17 h (17:00 - 10:00)</t>
  </si>
  <si>
    <t>PJM Interconnection [39] (RTP)</t>
  </si>
  <si>
    <t>EVSE dispatching is not addressed and therefore the station is assumed to have enough equipments to satisfy the demand. Fleet size is fine for a single charging station. A large horizon should be study along battery degradation towards observing effects on charging times. Furthermore, arrival and departure times are assumed to be enough to get full charge.</t>
  </si>
  <si>
    <t>This work presents two binary programs to solve the PCC problem based on preemptive and non-preemptive schemes. EVs are desired to be fully-charged at departure times considering nonlinear charging times. The non-preemptive model is formulated in such a way that starting time is the crucial variable such that power is shared among connected vehicles. On the other hand, preemptive formulation aims to decide when (not) to charge and how much. In this regard, the formulation considers a penalization on this interrumption due to battery degradation effect. However, as the later problem is expected to be difficult, a network based reformulation is proposed. Then, a shortest path problem is solved where nodes represent whether to charge at certain moment. Computational expreiments are performed based on RTP and synthetic arrival and departure times along starting SoCs. Besides, several instances are studied based on different fleet sizes and driving patterns. Results reveal that preemptive charging scheme is useful to reduce charging cost by 3.72%, at most, with respect to non-preemptive charging. Finally, different time intervals instances are studied showing that the shorter the better with respect to charging cost; nevertheless, the relationship is not constant and hence at certain point (15 min) it is not useful but a problem since exponentially increase the number of decisions.</t>
  </si>
  <si>
    <t>Nearest Neighbor Charging Routing</t>
  </si>
  <si>
    <t>NNCR</t>
  </si>
  <si>
    <t>Scheduling algorithm that dispatches the EV to the nearest charging station and the corresponding EVSE that is firstly available.</t>
  </si>
  <si>
    <t>Earliest start time</t>
  </si>
  <si>
    <t>EST</t>
  </si>
  <si>
    <t>Scheduling algorithm that dispatches the EVSE firsly available with no spatial consideration.</t>
  </si>
  <si>
    <t>Least laxity first (LLF)</t>
  </si>
  <si>
    <t>TCC (Non-preemptive)</t>
  </si>
  <si>
    <t>Proposed Ranked Strategy for Technical and Economical Enhancement of EVs Charging With High Penetration Level</t>
  </si>
  <si>
    <t>@article{mohamed2022proposed,
  title={Proposed Ranked Strategy for Technical and Economical Enhancement of EVs Charging With High Penetration Level},
  author={Mohamed, Norhan Mohamed Mokhtar and Sharaf, Hebatallah Mohamed and Ibrahim, Doaa Khalil and others},
  journal={IEEE Access},
  volume={10},
  pages={44738--44755},
  year={2022},
  publisher={IEEE}
}'</t>
  </si>
  <si>
    <t>Mohamed, Norhan Mohamed Mokhtar; Sharaf, Hebatallah Mohamed; Ibrahim, Doaa Khalil; El'gharably, Aboul'fotouh</t>
  </si>
  <si>
    <t>Batteries; Costs; Electric vehicle charging; Optimization; Vehicle-to-grid; State of charge; Schedules; Charging cost; coordinated charging; electric vehicles (EVs); fixed charging; and multi-objective optimization</t>
  </si>
  <si>
    <t>Car exhaust is one of the most common causes of ozone hole aggravation, electrical vehicles (EVs) represent a promising solution to avoid this problem. Despite the benefits of EVs, their random charging behavior causes some difficulties regarding the electric network performance, such as increased energy losses and voltage deviations. This paper aims to achieve the proper scheduling of the EVs charging process, avoid its negative impacts on the network, and satisfy the EVs users' requirements. The EVs charging process is formulated as an optimization problem and solved using particle swarm optimization. The optimization problem formulation considers the EV arrival and departure times and the state of charge required by the user. Different strategies such as separated, accumulated, and ranked strategies with continuous or interrupted fixed charging have been applied to solve the uncoordinated EVs charging problem. These strategies are extensively tested on the modified IEEE 31 bus system (499-node network), using the combination of both Open DSS and MATLAB m-files. The simulation results confirm the effectiveness of the proposed accumulated ranked strategy with interrupted fixed charging in improving the overall power system performance. The achieved improvements include minimizing: the peak power consumed, the peak power losses, and the voltage drop. Moreover, the cost of the EVs charging in most of the feeders has been decreased to a satisfying value. A comparison between the proposed strategy and some previously reported strategies has been performed to ensure the technical and economic enhancement of the proposed strategy.</t>
  </si>
  <si>
    <t>It works with a IEEE 31bus system</t>
  </si>
  <si>
    <t>Minimize power load</t>
  </si>
  <si>
    <t>Residential (home)</t>
  </si>
  <si>
    <t>Heterogeneous (level 1, level 2 and level 3)</t>
  </si>
  <si>
    <t>Heterogeneous (Battery capacity)</t>
  </si>
  <si>
    <t>TCC (Preemptive and Non-preemptive)</t>
  </si>
  <si>
    <t>Simulation and Optimization (PSO)</t>
  </si>
  <si>
    <t>Optimized Integration of Electric Vehicles in Low Voltage Distribution Grids</t>
  </si>
  <si>
    <t>Spitzer, Martin; Schlund, Jonas; Apostolaki-Iosifidou, Elpiniki; Pruckner, Marco</t>
  </si>
  <si>
    <t>electric vehicles; optimization; grid model; grid integration; coordinated charging</t>
  </si>
  <si>
    <t>All over the world the reduction of greenhouse gas (GHG) emissions, especially in the transportation sector, becomes more and more important. Electric vehicles will be one of the key factors to mitigate GHG emissions due to their higher efficiency in contrast to internal combustion engine vehicles. On the other hand, uncoordinated charging will put more strain on electrical distribution grids and possible congestions in the grid become more likely. In this paper, we analyze the impact of uncoordinated charging, as well as optimization-based coordination strategies on the voltage stability and phase unbalances of a representative European semi-urban low voltage grid. Therefore, we model the low voltage grid as a three-phase system and take realistic arrival and departure times of the electric vehicle fleet into account. Subsequently, we compare different coordinated charging strategies with regard to their optimization objectives, e.g., cost reduction or GHG emissions reduction. Results show that possible congestion problems can be solved by coordinated charging. Additionally, depending on the objective, the costs can be reduced by more than 50% and the GHG emissions by around 40%.</t>
  </si>
  <si>
    <t>@article{spitzer2019optimized,
  title={Optimized integration of electric vehicles in low voltage distribution grids},
  author={Spitzer, Martin and Schlund, Jonas and Apostolaki-Iosifidou, Elpiniki and Pruckner, Marco},
  journal={Energies},
  volume={12},
  number={21},
  pages={4059},
  year={2019},
  publisher={MDPI}
}'</t>
  </si>
  <si>
    <t>It handles a low voltage grid.</t>
  </si>
  <si>
    <t>Minimize charging cost; Valley-filling; Minimize pollution</t>
  </si>
  <si>
    <t>PCC (Preemptive)</t>
  </si>
  <si>
    <t>Simulation (Simulink)</t>
  </si>
  <si>
    <t>Authors propose a simulation environment that aims to solve the coordination problem on a low voltage grid with PV energy generation. In particular, three problems are formulated considering power grid constraints and base loads. Simulations are performed in the virtual environment developed for that based on one summer and winter week at different EV penetration level and PV generation. Furthermore, the proposed coordinated charging is compared against an uncontrolled scheme. The proposal shows that charging cost is reduced by 51.13%, an average power loss reduction from 1.332 kVA to 0.636 kVA, and a GHG decrement of 407.04 kg CO2eq from 924.54 CO2eq.</t>
  </si>
  <si>
    <t>Home charging is a very particular problem and it might be a simple and reduced version since parking time is long. The major drawback in this study is the fact that linear programs are formulated but not solved optimally through a solver but within the simulator instead (seemingly).</t>
  </si>
  <si>
    <t>Online EV Charging Scheduling With On-Arrival Commitment</t>
  </si>
  <si>
    <t>Alinia, Bahram; Hajiesmaili, Mohammad H.; Crespi, Noel</t>
  </si>
  <si>
    <t>Electric vehicle charging; Charging stations; Aggregates; Scheduling algorithms; Batteries; Scheduling; Electric vehicle; online charging scheduling; on-arrival commitment; group-strategy-proofness</t>
  </si>
  <si>
    <t>The rapid proliferation of electric vehicles has resulted in a drastic increase in the total energy demand of EVs. Given the limited charging rate capacity of charging stations and uncertainty of EV arrivals, the aggregate demand might go beyond the charging station capacity, even with proper scheduling. This paper formulates a social welfare maximization problem for EV charging scheduling with charging capacity constraint. Even though the underlying problem is linear, it is difficult to tackle since the input to the problem, i.e., the charging profile of EVs, reveals in online fashion. We devise charging scheduling algorithms that not only work in the online scenario, but also provide the following two key features: 1) on-arrival commitment; respecting the capacity constraint may hinder fulfilling charging requirement of the deadline-constrained EVs entirely. Therefore, committing a guaranteed charging amount upon arrival of each EV is highly essential; 2) (group)-strategy-proofness as a salient feature to promote EVs to reveal their true type and do not collude with other EVs. Extensive simulations using real traces demonstrate the effectiveness of our online scheduling algorithms as compared to the optimal non-committed offline solution.</t>
  </si>
  <si>
    <t>@article{alinia2019online,
  title={Online EV charging scheduling with on-arrival commitment},
  author={Alinia, Bahram and Hajiesmaili, Mohammad H and Crespi, No{\"e}l},
  journal={IEEE Transactions on Intelligent Transportation Systems},
  volume={20},
  number={12},
  pages={4524--4537},
  year={2019},
  publisher={IEEE}
}'</t>
  </si>
  <si>
    <t>Heterogeneous (BMW i3, Chevy Spark EV, Fiat 500e, Ford Docus Electric, Kia Soul EV, Mercedes B-Class Electric, Mitsubishi i-MiEV, Nissan LEAF, Tesla Model S, Tesla Model X)</t>
  </si>
  <si>
    <t>Simulation (Online) and Optimization (LP)</t>
  </si>
  <si>
    <t>Is handles a single charging station with 100 EVSEs.</t>
  </si>
  <si>
    <t>Maximize social welfare</t>
  </si>
  <si>
    <t>This paper proposes three different online algorithms in order to maximize the social welfare defined as the number of served requirements and energy supplied. Furthermore, a linear program is formulated to see the performance of the proposed algorithms. The performance is also compared against the EDF and FIFO strategies. In particular, each algorithm consider a type of EV owner depending on the willingness to reveal their information (e.g., arrival and departure times, among others) and whether this information provided is truthful or not. In other words, EV owners that communicate their 'private' information, those who don't and those who provide inexactly information where a kind of collusion is possible to either improve their individual profits or reduce the profit of another one. Based on this information, the algorithm under study commits an amount of energy to supply with power grid constraints. Simulation are performed on synthetical data with different EV models and penetration levels considering 100 EVSEs. Results reveal that all the proposed algorithms outperform EDF and FIFO strategies. Moreover, when all EV owners provide their information or no information at all, the social welfare is 7% and 8% below the optimal solution, respectively. In contrast, when collusion is possible, the objective function is about 40% below the optimal solution.</t>
  </si>
  <si>
    <t>Not considering the power grid reliability might be a big issue; nevertheless, the fleet size is considered between 50 and 300 Evs and thus the reliability is unlikely to be at risk. In this regard, the largest fleet size scenario may not allow to get realistic insights on prominent queues and therefore negatively impact on social welfare. Furthermore, time interval is long decreasing the number of decisions to take.</t>
  </si>
  <si>
    <t>Profit maximization with customer satisfaction control for electric vehicle charging in smart grids</t>
  </si>
  <si>
    <t>@article{collado2017profit,
  title={Profit maximization with customer satisfaction control for electric vehicle charging in smart grids},
  author={Collado, Edwin and Xu, Easton Li and Li, Hang and Cui, Shuguang},
  journal={environments},
  volume={21},
  pages={23},
  year={2017}
}'</t>
  </si>
  <si>
    <t>AIMS ENERGY</t>
  </si>
  <si>
    <t>Collado, Edwin; Xu, Easton Li; Li, Hang; Cui, Shuguang</t>
  </si>
  <si>
    <t>Convex optimization; machine scheduling; electric vehicles charging; competitive ratio analysis; smart grid</t>
  </si>
  <si>
    <t>As the market of electric vehicles is gaining popularity, large-scale commercialized or privately-operated charging stations are expected to play a key role as a technology enabler. In this paper, we study the problem of charging electric vehicles at stations with limited charging machines and power resources. The purpose of this study is to develop a novel profit maximization framework for station operation in both offline and online charging scenarios, under certain customer satisfaction constraints. The main goal is to maximize the profit obtained by the station owner and provide a satisfactory charging service to the customers. The framework includes not only the vehicle scheduling and charging power control, but also the managing of user satisfaction factors, which are defined as the percentages of finished charging targets. The profit maximization problem is proved to be NP-complete in both scenarios (NP refers to nondeterministic polynomial time), for which two-stage charging strategies are proposed to obtain efficient suboptimal solutions. Competitive analysis is also provided to analyze the performance of the proposed online two-stage charging algorithm against the offline counterpart under non-congested and congested charging scenarios. Finally, the simulation results show that the proposed two-stage charging strategies achieve performance close to that with exhaustive search. Also, the proposed algorithms provide remarkable performance gains compared to the other conventional charging strategies with respect to not only the unified profit, but also other practical interests, such as the computational time, the user satisfaction factor, the power consumption, and the competitive ratio.</t>
  </si>
  <si>
    <t>Maximize profit</t>
  </si>
  <si>
    <t>Constant</t>
  </si>
  <si>
    <t>First-in First-served</t>
  </si>
  <si>
    <t>FIFS</t>
  </si>
  <si>
    <t>Scheduling algorithm that dispatches EVs according to their arrival times.</t>
  </si>
  <si>
    <t>Simulation and Optimization (MILP)</t>
  </si>
  <si>
    <t>This paper propose an online algorithm that works in two phases aiming to maximize the profit considering customer satisfaction defined as the SoC of the customers at departure time. Also, a MILP model is formulated in order to compare the performance of the algorithm which is solved repeatedly once an EV arrives. The first phase of the algorithm dispatches the EV considering power constraints to decide whether the minimum desired SoC is feasible at departure time. Otherwise, the EV request is refused for that or because the desired SoC is below a predefined threshold aimed to guarantee a certain level of income. Computational results are performed on 100 realizations of synthetical data with fleet size ranging between five and 30 vehicles. Results show that the online algorithm works better than greedy strategies at any penetration level, but a poor performance with more than 10 vehicles. However, the most important insight is that defining a certain minimum SoC for EVs may increase the satisfaction level at slightly decreasing the total profit.</t>
  </si>
  <si>
    <t>It considers a really little penetration level that is not even realistic.</t>
  </si>
  <si>
    <t>It handles a single station</t>
  </si>
  <si>
    <t>A Cooperative Hierarchical Multi-Agent System for EV Charging Scheduling in Presence of Multiple Charging Stations</t>
  </si>
  <si>
    <t>Saner, Can Berk; Trivedi, Anupam; Srinivasan, Dipti</t>
  </si>
  <si>
    <t>Electric vehicle charging; Costs; Optimal scheduling; Security; Schedules; Multi-agent systems; Job shop scheduling; Demand charges; electric vehicles; EV charging scheduling; multi-agent systems; optimization</t>
  </si>
  <si>
    <t>The increasing penetration of plug-in electric vehicles (EVs) to the electrical grid raises concerns over secure and economic operation of the system. A coordination mechanism between system operator and EV aggregators is necessary to ensure that the system is operated within the security limits, and to reduce the charging costs while satisfying EV users' energy needs. In this work, we present a cooperative hierarchical multi-agent system and propose an EV charging scheduling strategy in order to minimize the demand and energy charges while meeting the EV users' energy requirements and satisfying the system security constraints. Within the designed framework, the higher-level agents calculate a set of proposed control signals by solving the designated optimization problems, and send them to the lower-level agents to facilitate an optimal scheduling in line with the aforementioned objectives. Through this hierarchically distributed approach, it is possible to effectively coordinate multiple EV charging stations without the need of direct communication or any prior information related to EV arrivals. The computational complexity of the problem is reduced by distributing the work among agents, and the privacy of sensitive data, such as system topology, load profiles, and EV parameters, is preserved. Moreover, unlike the traditional distributed solution methods that converge iteratively, the proposed approach calculates the optimal charging schedule after a single round of communication. The efficacy of the proposed methodology is demonstrated by a series of case studies on 33-bus and 118-bus distribution test feeders.</t>
  </si>
  <si>
    <t>@article{saner2022cooperative,
  title={A Cooperative Hierarchical Multi-Agent System for EV Charging Scheduling in Presence of Multiple Charging Stations},
  author={Saner, Can Berk and Trivedi, Anupam and Srinivasan, Dipti},
  journal={IEEE Transactions on Smart Grid},
  volume={13},
  number={3},
  pages={2218--2233},
  year={2022},
  publisher={IEEE}
}'</t>
  </si>
  <si>
    <t>It uses a 33-bus and 118 bus distribution test feeders.</t>
  </si>
  <si>
    <t>ID</t>
  </si>
  <si>
    <t>@article{guo2022simultaneous,
  title={Simultaneous charging station location-routing problem for electric vehicles: Effect of nonlinear partial charging and battery degradation},
  author={Guo, Fang and Zhang, Jingjing and Huang, Zhihong and Huang, Weilai},
  journal={Energy},
  volume={250},
  pages={123724},
  year={2022},
  publisher={Elsevier}
}'</t>
  </si>
  <si>
    <t>Simultaneous charging station location-routing problem for electric vehicles: Effect of nonlinear partial charging and battery degradation</t>
  </si>
  <si>
    <t>ENERGY</t>
  </si>
  <si>
    <t>Guo, Fang; Zhang, Jingjing; Huang, Zhihong; Huang, Weilai</t>
  </si>
  <si>
    <t>Recently, electric vehicles (EVs) have gained attention in the field of logistics owing to the strong support received from the government and continuous increase in social environmental awareness. Compared to traditional logistics vehicles, EVs incur additional charging costs, such as charging time and battery wear costs. In this study, the routing problem of EVs is formulated as an integer programming model based on a nonlinear charging model and practical battery wear model. Subsequently, a three-phase algorithm called CWIGALNS was proposed to solve this problem. Based on the proposed model, a series of instances was generated, showing the benefits of combining charging time, battery wear, and distribution. Finally, sensitivity analyses were systematically conducted on the wear cost and charging time under a realistic background. The results show that the optimal planning of an EV network considering time and wear costs is in line with the practical needs of EV logistics enterprises, which can help reduce the operating costs.(c) 2022 Elsevier Ltd. All rights reserved.</t>
  </si>
  <si>
    <t>Electric vehicles; Routing; Battery wear; Nonlinear partial charging; Charging scheduling</t>
  </si>
  <si>
    <t>It manages the routing among several stations</t>
  </si>
  <si>
    <t>Time varying (RTP)</t>
  </si>
  <si>
    <t>@article{flath2014improving,
  title={Improving electric vehicle charging coordination through area pricing},
  author={Flath, Christoph M and Ilg, Jens P and Gottwalt, Sebastian and Schmeck, Hartmut and Weinhardt, Christof},
  journal={Transportation Science},
  volume={48},
  number={4},
  pages={619--634},
  year={2014},
  publisher={INFORMS}
}'</t>
  </si>
  <si>
    <t>German Mobility Panel (driving pattern), EPEX SPOT-European Power Exchange (Price)</t>
  </si>
  <si>
    <t>Uncontrolled charging, direct charging, simple charging, dumb charging, immediate charging (IMM), Expedient charging, Naïve charging, As fast as possible (AFAP)</t>
  </si>
  <si>
    <t>It handles several charging stations either at home or at workplaces</t>
  </si>
  <si>
    <t>This work proposes two charging strategies based on different pricing depending on station location aiming to minimize the charging cost. Moreover, it is assumed that power can be supplied at different rates and therefore a linear program can be proposed. Charging at home and/or at workplaces is considered and compared according to total cost and power load. Computational results performed on synthetical data show that average charging cost of all vehicles increases at considering different charging levels (slow or fast) as well as average desired SoC; nevertheless, power load increase dramatically. Furthermore, when comparing uncontrolled charging double both the average cost and power load with respect to the optimal solution. On the other hand, if uncontrolled charging is used but delaying the energy supply as much as possible, average cost and power load is 50% better than classical uncontroled charging.</t>
  </si>
  <si>
    <t>It does not take into account several power contraints. But, it is not a problem here since not much Evs are considered. Even so, the exact number of vehicles is not provided.</t>
  </si>
  <si>
    <t>Improving Electric Vehicle Charging Coordination Through Area Pricing</t>
  </si>
  <si>
    <t>TRANSPORTATION SCIENCE</t>
  </si>
  <si>
    <t>Flath, Christoph M.; Ilg, Jens P.; Gottwalt, Sebastian; Schmeck, Hartmut; Weinhardt, Christof</t>
  </si>
  <si>
    <t>Meeting charging demands of large electric vehicle fleets will raise electrical load significantly and may pose challenges for today's power system. Appropriate coordination of electric vehicle charging can reduce these threats. Acknowledging the interdependency between the transportation and the power system created by electric vehicles, we develop a charging coordination model based on German mobility data. We extend the prior work by explicitly accounting for both the temporal and the spatial dimension. We are thus able to analyze the loads from price-based EV fleet charging while at the same time accounting for distribution grid constraints. Furthermore, we propose a heuristic charging strategy based on limited trip and price information. Our results show that the sole use of time-based electricity prices for the coordination of electric vehicle charging produces high load spikes independent of the charging strategies and power levels. These peaks are induced by simultaneous charging activity and may cause stability problems within distribution grids in residential areas. To mitigate these load spikes, we introduce a spatial price component that reflects local capacity utilization. These local prices induce both a temporal and spatial shift of charging activity that mitigates the load spikes.</t>
  </si>
  <si>
    <t>electric vehicles; charging coordination; locational pricing; grid constraints</t>
  </si>
  <si>
    <t>Bi-directional V2G, Bi-directional charging.</t>
  </si>
  <si>
    <t>Plug-in hybrid electric vehicle (PHEV), Hybrid electric cars (HEC).</t>
  </si>
  <si>
    <t>Plug-in electric vehicle (PEV), Battery electric vehicle (BEV), Full electric vehicle (FEV), Pure electric cars (PEC).</t>
  </si>
  <si>
    <t>@article{cheng2020ordered,
  title={Ordered electric vehicles charging scheduling algorithm based on bidding in residential area},
  author={Cheng, Xiao and Sheng, Jinma and Rong, Xiuting and Zhang, Hui and Feng, Lei and Shao, Sujie},
  journal={Information},
  volume={11},
  number={1},
  pages={49},
  year={2020},
  publisher={MDPI}
}'</t>
  </si>
  <si>
    <t>TCC (Preemptive)</t>
  </si>
  <si>
    <t>29 h (17:00 - 09:00)</t>
  </si>
  <si>
    <t>Homogeneous (35 kWh)</t>
  </si>
  <si>
    <t>It handles a single charging station with three EVSEs charging at the same time.</t>
  </si>
  <si>
    <t>This paper proposed a coordination method based on prioritization upon a bidding process. The bidding process aims to split the EV owners in two groups such that priority users and normal users are obtained. Then, a queue is constructed ordering in decreasing order waiting for energy in a residential parking charging facility. It is assumed that there is one EVSE per EV (as a residential parking lot). Thus, power availability is considered as a constraint. Here, the bidding price is updated every 15 minutes to get energy for the next time interval. A simulation is performed considering six vehicles and three EVSEs suplying energy at the same time. Results show that bidding prices are high for peak demand time windows while low bidding prices are shown during valley time windows. Furthermore, it is shown that the method can finish the full charging at those priority EV owners first.</t>
  </si>
  <si>
    <t>There is no guarantee of an optimal response and it just play with a basic auction with no further background. That is to say, the bidding price is not a function of either price or current charging status.</t>
  </si>
  <si>
    <t>Ordered Electric Vehicles Charging Scheduling Algorithm Based on Bidding in Residential Area</t>
  </si>
  <si>
    <t>INFORMATION</t>
  </si>
  <si>
    <t>Cheng, Xiao; Sheng, Jinma; Rong, Xiuting; Zhang, Hui; Feng, Lei; Shao, Sujie</t>
  </si>
  <si>
    <t>With the rise of electric vehicles, the key of electric vehicle charging is how to charge them in residential areas and other closed environments. Addressing this problem is extremely important for avoiding adverse effects on the load and stability of the neighboring grids where multi-user centralized charging takes place. Therefore, we propose a charging dynamic scheduling algorithm based on user bidding. First, we determine the user charging priority according to bidding. Then, we design a resource allocation policy based on game theory, which could assign charge slots for users. Due to users leaving and urgent user needs, we found an alternate principle that can improve the flexibility slot utilization of charging. Simulation results show that the algorithm could meet the priority needs of users with higher charging prices and timely responses to requests. Meanwhile, this algorithm can ensure orderly electric vehicle charging, improve power utilization efficiency, and ease pressure on grid loads.</t>
  </si>
  <si>
    <t>electric vehicle; charging schedule; queuing rule; alternate principle; bidding</t>
  </si>
  <si>
    <t>Simulation and Optimization (LP)</t>
  </si>
  <si>
    <t>@article{clairand2018smart,
  title={Smart charging for electric vehicle aggregators considering users’ preferences},
  author={Clairand, Jean-Michel and Rodr{\'\i}guez-Garc{\'\i}a, Javier and Alvarez-Bel, Carlos},
  journal={IEEE Access},
  volume={6},
  pages={54624--54635},
  year={2018},
  publisher={IEEE}
}'</t>
  </si>
  <si>
    <t>Charging power modulation</t>
  </si>
  <si>
    <t>It is the capability of the AU to control the power supplied.</t>
  </si>
  <si>
    <t>Power demand</t>
  </si>
  <si>
    <t>[48][49]</t>
  </si>
  <si>
    <t>Although arrival and departure times might be assumed deterministic, there is no guarantee of enough SoC to reach home. Moreover, public charging stations are not considered in case of empty battery before getting home. Furthermore, power is considered as a constraint in the model, but reliability is not under study. Base load is not taken into account either.</t>
  </si>
  <si>
    <t>This paper presents a linear program that dispatches power at different rates. The proposed coordination method considers a discretization of the time and solving the model repeatedly at the end of each time interval considering a preemptive charging. To this end, three different charging profiles are studied based on the willingness to pay for energy along a penalization for demand not served. Two different time horizons are simulated in order to observe RTP effects in a day. Computational results show that with 1000 EVs, total charging is decrease by 50% through the proposed coordination method during a day of simulation.</t>
  </si>
  <si>
    <t>It mentions a feeder but no topology is shown, therefore it is assumed that there are different charging facilities (home and workplaces, as mentioned).</t>
  </si>
  <si>
    <t>Smart Charging for Electric Vehicle Aggregators Considering Users' Preferences</t>
  </si>
  <si>
    <t>Clairand, Jean-Michel; Rodriguez-Garcia, Javier; Alvarez-Bel, Carlos</t>
  </si>
  <si>
    <t>Most of the road transportations currently depend on fossil fuels, which results in significant environmental and health issues. This is being addressed with the deployment of electric vehicles (EVs). However, a massive penetration will lead to new technical and economic challenges for power systems. This paper proposes a novel way to account for the effect of this new load and to minimize the negative impacts by providing new tools for the agent responsible of managing the EV charge in some area (EV aggregator). The proposed method allows EV charging at the lowest cost while complying with technical constraints required by distribution system operator and transmission system operator. Moreover, EV users are able to choose among different customer choice products that meet their needs in terms of charging time. A case study in the city of Quito, Ecuador, is analyzed in this paper, where the advantages of the proposed coordinated charging method are quantified. The model presents cost benefits compared to uncoordinated charging while complying with technical constraints. In addition, the savings using the presented model are at least 5% higher than uncoordinated charging and can reach more than 50% at best.</t>
  </si>
  <si>
    <t>Electric vehicle; smart grid; smart charging; user preference; flexibility</t>
  </si>
  <si>
    <t>@article{li2020optimizing,
  title={Optimizing workplace charging facility deployment and smart charging strategies},
  author={Li, Shengyin and Xie, Fei and Huang, Yongxi and Lin, Zhenhong and Liu, Changzheng},
  journal={Transportation Research Part D: Transport and Environment},
  volume={87},
  pages={102481},
  year={2020},
  publisher={Elsevier}
}'</t>
  </si>
  <si>
    <t>Optimization (MILP)</t>
  </si>
  <si>
    <t>It addresses the problem of a charging facility within a workplace parking.</t>
  </si>
  <si>
    <t>In this work, authors formulate a MILP model that aims to schedule the charging in a workplace parking within a labour day. In particular, by using this charging schedule, the model defines the type of EVSEs to be installed based on a certain budget to maximize the QoS. The later is defined by the SoC at the end of the day with respect to the desired SoC set at the beginning of the day. An instace with 100 EVs is solved considering three EVSEs with different charging rates. Moreover, constant price and TOU schemes are studied. Results show that power demand is shifted to off-peak time windows in both cases while RTP reduces the investment cost by 4%. It is worth noticing that despite investment cost decreases, variable cost increase by 2.8%.</t>
  </si>
  <si>
    <t>The fleet size is well assumed for the context and base load is also considered. However, the study of the instance at different budget levels is not deeply shown. Furthermore, there is no regard towards the power grid reliability.</t>
  </si>
  <si>
    <t>Optimizing workplace charging facility deployment and smart charging strategies</t>
  </si>
  <si>
    <t>TRANSPORTATION RESEARCH PART D-TRANSPORT AND ENVIRONMENT</t>
  </si>
  <si>
    <t>Li, Shengyin; Xie, Fei; Huang, Yongxi; Lin, Zhenhong; Liu, Changzheng</t>
  </si>
  <si>
    <t>This study introduces a workplace charging (WPC) optimization model that maximizes the total satisfied electric miles of employees' plug-in electric vehicles, subject to a given annual budget. The model optimizes both planning decisions of charger number and power levels and operation decisions of charging spot assignment and charging schedule for the given temporal distribution of charging demands and varied electricity prices. Results of experiments based on national average travel data indicate that the actual WPC strategy varies by budget level. Through optimization, the strategy could reduce impacts of the varied electricity price by shifting charging schedules to periods when electricity prices are low. Also, the model is expanded to study the trade-off between providing WPC and addressing consequence of degraded charging service by including the per-mile shadow cost of unsatisfied charging demand. We observe that their relative competitiveness mainly depends on the actual shadow cost of WPC.</t>
  </si>
  <si>
    <t>Electric vehicle; Workplace charging; Optimization; Varied electricity price; Smart charging</t>
  </si>
  <si>
    <t>First-come first-served (FCFS)</t>
  </si>
  <si>
    <t>@article{wei2017intelligent,
  title={Intelligent parking garage EV charging scheduling considering battery charging characteristic},
  author={Wei, Zhe and Li, Yue and Zhang, Yongmin and Cai, Lin},
  journal={IEEE transactions on industrial electronics},
  volume={65},
  number={3},
  pages={2806--2816},
  year={2017},
  publisher={IEEE}
}'</t>
  </si>
  <si>
    <t>Arrival time distribution</t>
  </si>
  <si>
    <t>Departure time distribution</t>
  </si>
  <si>
    <t>Starting SoC</t>
  </si>
  <si>
    <t>Desired SoC</t>
  </si>
  <si>
    <t>Homogeneous (Citroen C-Zero)</t>
  </si>
  <si>
    <t>10 h (07:00 - 17:00)</t>
  </si>
  <si>
    <t>Poisson [26,29,30] (10x; 07:00 - 09:00, 2x; 09:00 - 12:00, 0.5x; 12:00 - 16:00)</t>
  </si>
  <si>
    <t>Truncated Gaussian distribution [31] (16:00, sqrt(30 min))</t>
  </si>
  <si>
    <t>Truncated Gaussian distribution [31] (0.1, 0.2)</t>
  </si>
  <si>
    <t>Is handles a single parking in a workplace</t>
  </si>
  <si>
    <t>This paper proposed a coordination method based on an admission mechanism regarding to decide whether the charging station is able to provide required energy, and thereafter schedule a TCC-based charging process. Firstly, the admission step is runned every a new request arrives by solving an LP model to maximize the profit. Then, an adaptive algorithm decides whether an EV receives enery based on power availability. In particular, this scheduling algorithm estimates the expected power demand on the next time interval (given the arrival distribution) and the power availability. After that, a prioritization is computed, and the energy is supplied for the first EVs on the list based on a reservation criteria known beforehand and, for the remaining vehicles, on a price-based point of view to maximize the profit. 1000 simulations are carried out and comparing the proposed algorithm with FIFO and EDF policies. Besides, the greedy and price-based algorithms are also runned without the adaptive step, i.e., by themselves. Results reveal that the proposal clearly outperforms other policies on both QoS and profit.</t>
  </si>
  <si>
    <t>It does not take into account whether other vehicles can be charged when currently charging vehicles achieve their desired SoC. This is an important drawback due to the presence of few EVSEs.</t>
  </si>
  <si>
    <t>Intelligent Parking Garage EV Charging Scheduling Considering Battery Charging Characteristic</t>
  </si>
  <si>
    <t>IEEE TRANSACTIONS ON INDUSTRIAL ELECTRONICS</t>
  </si>
  <si>
    <t>Wei, Zhe; Li, Yue; Zhang, Yongmin; Cai, Lin</t>
  </si>
  <si>
    <t>This paper studies the electric vehicle (EV) charging scheduling problem under a parking garage scenario, aiming to promote the total utility for the charging operator subject to the time-of-use (TOU) pricing. Different from most existing works, we develop a multicharging system incorporating the practical battery charging characteristic, and design an intelligent charging management mechanism tomaximize the interests of both the customers and the charging operator. First, to ensure the quality of service for each client, we implement an admission control mechanism to guarantee all admitted EVs' charging requirements being satisfied before their departure. Second, we formulate the charging scheduling process as a deadline constrained causal scheduling problem. Then, we propose an adaptive utility oriented scheduling (AUS) algorithm to optimize the total utility for the charging operator, which can robustly achieve low task declining probability and high profit. The charging operator can also apply the discussed reservation mechanism to mitigate the performance degradation caused by the charging information mismatching with vehicle stochastic arrivals. Finally, we conduct extensive simulations based on realistic EV charging parameters and TOU pricing. Simulation results exhibit the effectiveness of the proposed AUS algorithm in achieving desirable performance compared with other benchmark scheduling schemes.</t>
  </si>
  <si>
    <t>Battery charging characteristic; electric vehicle (EV) charging; hierarchical control; scheduling</t>
  </si>
  <si>
    <t>Power generation system</t>
  </si>
  <si>
    <t>Encompasses the production of electricity and the allocation of required demand between producers.</t>
  </si>
  <si>
    <t>Transmission system</t>
  </si>
  <si>
    <t>@article{ki2018charging,
  title={Charging scheduling problem of an M-to-N electric vehicle charger},
  author={Ki, Youngmin and Kim, Byung-In and Ko, Young Myoung and Jeong, Hyemoon and Koo, Jeongin},
  journal={Applied Mathematical Modelling},
  volume={64},
  pages={603--614},
  year={2018},
  publisher={Elsevier}
}'</t>
  </si>
  <si>
    <t>Maximize welfare</t>
  </si>
  <si>
    <t>Sliding windows</t>
  </si>
  <si>
    <t>16 h (18:00 - 10:00)</t>
  </si>
  <si>
    <t>It handles a single EVSE and therefore might be treated as a single charging station with only one EVSE</t>
  </si>
  <si>
    <t>This paper proposes a MILP to schedule charging on a single EVSE with several plugs in a parking such that four objectives are addressed via weighted sum approach. Although the model is solved at low computational complexity, an heuristic is designed in order to solve the problem faster through an open-source solver. In particular, the heuristic handles the scheduling constraints sequentially taking into account power grid ones within a precomputation stage.</t>
  </si>
  <si>
    <t>This paper is rather basic and takes into account a very particular situation. I do not really know whether to consider it.</t>
  </si>
  <si>
    <t>Charging scheduling problem of an M-to-N electric vehicle charger</t>
  </si>
  <si>
    <t>APPLIED MATHEMATICAL MODELLING</t>
  </si>
  <si>
    <t>Ki, Youngmin; Kim, Byung-In; Ko, Young Myoung; Jeong, Hyemoon; Koo, Jeongin</t>
  </si>
  <si>
    <t>This study investigates a real case of charging scheduling of an electric vehicle charger with multiple ports called M-to-N charger. The charger is designed for a multi-unit dwelling facility and can charge N electric vehicles simultaneously despite the supplied charging capacity being limited to only M electric vehicles. The electric vehicles arrive at the charger randomly and stay for their desired length of time, during which they must be charged as much as possible with minimum electric cost. The scheduling problem considers four objectives: maximizing the total charging amount, minimizing the total charging cost, minimizing the charging completion time, and maximizing the charging balance among the electric vehicles. A mixed-integer linear programming model and a relaxation based heuristic algorithm are developed. Computational experiment results show that the proposed heuristic algorithm can generate schedules within 8 s for this case study by using an open-source linear programming solver. Compared with the mixed-integer programming algorithm, the proposed heuristic algorithm can provide solutions with less than 7% charging amount gap and 4% price gap. The proposed heuristic algorithm is successfully implemented in a real M-to-N charger. (C) 2018 Elsevier Inc. All rights reserved.</t>
  </si>
  <si>
    <t>Charging scheduling; Electric vehicle charger; Mathematical programming; Optimization; Slow charging</t>
  </si>
  <si>
    <t>Controlled charging, smart charging, charge management (CM), Optimized charging (OC).</t>
  </si>
  <si>
    <t>Aging acceleration factor</t>
  </si>
  <si>
    <t>AAF</t>
  </si>
  <si>
    <t>Is a metric for determining how much a charging load impacts transformer life</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</si>
  <si>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</si>
  <si>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</si>
  <si>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</si>
  <si>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</si>
  <si>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</si>
  <si>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Sojourn time, dwell time.</t>
  </si>
  <si>
    <t>@article{liu2016electric,
  title={Electric vehicle charging and discharging coordination on distribution network using multi-objective particle swarm optimization and fuzzy decision making},
  author={Liu, Dongqi and Wang, Yaonan and Shen, Yongpeng},
  journal={Energies},
  volume={9},
  number={3},
  pages={186},
  year={2016},
  publisher={MDPI}
}'</t>
  </si>
  <si>
    <t>Wind, thermal</t>
  </si>
  <si>
    <t>It uses a 30 node network</t>
  </si>
  <si>
    <t>Minimize charging cost, minimize C02 emission, Minimize wind curtailment, Minimize EV owner cost</t>
  </si>
  <si>
    <t>Gaussian</t>
  </si>
  <si>
    <t>Optimization (PSO)</t>
  </si>
  <si>
    <t>Wind energy generation</t>
  </si>
  <si>
    <t>14 h (18:00 - 08:00)</t>
  </si>
  <si>
    <t>This paper propose a model that combines the unit commitment problem and a coordination through a PCC scheme. In particular, the proposed model consider four objectives for both AU and EV owners with the presence of wind and thermal generation. In here, a 30 node-network is studied considering two cases depending on whether the V2G cost is taken into account from part of the EV owners, i.e., battery degradation cost. PSO is used to solve the multi-objective problem under a fuzzy approach in the multicriteria assessment part.</t>
  </si>
  <si>
    <t>Using a V2G scheme along contant energy costs might be dangerous since coordination may suffer to allocate power at low demand. And thus, power peaks are likely to be produced at the beginning of the time period.</t>
  </si>
  <si>
    <t>Electric Vehicle Charging and Discharging Coordination on Distribution Network Using Multi-Objective Particle Swarm Optimization and Fuzzy Decision Making</t>
  </si>
  <si>
    <t>Liu, Dongqi; Wang, Yaonan; Shen, Yongpeng</t>
  </si>
  <si>
    <t>This paper proposed a optimal strategy for coordinated operation of electric vehicles (EVs) charging and discharging with wind-thermal system. By aggregating a large number of EVs, the huge total battery capacity is sufficient to stabilize the disturbance of the transmission grid. Hence, a dynamic environmental dispatch model which coordinates a cluster of charging and discharging controllable EV units with wind farms and thermal plants is proposed. A multi-objective particle swarm optimization (MOPSO) algorithm and a fuzzy decision maker are put forward for the simultaneous optimization of grid operating cost, CO2 emissions, wind curtailment, and EV users' cost. Simulations are done in a 30 node system containing three traditional thermal plants, two carbon capture and storage (CCS) thermal plants, two wind farms, and six EV aggregations. Contrast of strategies under different EV charging/discharging price is also discussed. The results are presented to prove the effectiveness of the proposed strategy.</t>
  </si>
  <si>
    <t>vehicle-to-grid (V2G); coordinated charging; smart grid; electric vehicle (EV); optimal scheduling</t>
  </si>
  <si>
    <t>@article{liu2022data,
  title={Data-driven intelligent EV charging operating with limited chargers considering the charging demand forecasting},
  author={Liu, Jiayan and Lin, Gang and Rehtanz, Christian and Huang, Sunhua and Zhou, Yang and Li, Yong},
  journal={International Journal of Electrical Power \&amp; Energy Systems},
  volume={141},
  pages={108218},
  year={2022},
  publisher={Elsevier}
}'</t>
  </si>
  <si>
    <t>PCC (Non-preemptive)</t>
  </si>
  <si>
    <t>Gaussian[29]</t>
  </si>
  <si>
    <t>Simulation and Optimization (MINLP)</t>
  </si>
  <si>
    <t>German electricity spot prices [36]</t>
  </si>
  <si>
    <t>It works in a single charging station with several EVSEs.</t>
  </si>
  <si>
    <t>7 days</t>
  </si>
  <si>
    <t>The authors propose a MINLP along a forecast of energy demand throughout time to allocate power in order to minimize the charging cost in a charging station with 20 EVSEs. The forecast is made through LSTM neural network. At the beginning of the time interval, the forecast is performed and used as an input to the optimization model to dispatch power considering that the binary variables that represent the dispatching are fixed through precomputation. Thus, the solving procedure consider the creation of several feasible solutions in order to get a linear program that can be solved and compared by force.</t>
  </si>
  <si>
    <t>FIFO</t>
  </si>
  <si>
    <t>The study does not take into account power grid reliability nor aging. Moreover, it does not present the historical data they are working with, only TOU prices. On the other hand, uncontrolled charging results are not presented. Furthermore, results reveal that FIFO policy outperforms the proposed algorithm under QoS representing a 15% more expensive per kWh supplied.</t>
  </si>
  <si>
    <t>Data-driven intelligent EV charging operating with limited chargers considering the charging demand forecasting</t>
  </si>
  <si>
    <t>Liu, Jiayan; Lin, Gang; Rehtanz, Christian; Huang, Sunhua; Zhou, Yang; Li, Yong</t>
  </si>
  <si>
    <t>Coordinated charging scheduling can improve the operating economics of charging stations and reduce the required amount of charging facilities. However, existing optimal scheduling schemes either simplify the charging station capacity modeling when taking into account the traffic uncertainty, or ignore the future charging demands when considering charging capacity limitation. To tackle this issue, a data-driven intelligent EV charging scheduling algorithm is proposed in this paper, by scheduling in response to the time-of-use (TOU) electricity price, the limitation of charging facilities, and detailed charger operating process is also considered. First, based on the neural network algorithm, a charging demand forecasting method is introduced to establish the charging task of the charging station. Then, according to the established task, an optimization model that considers the charging costs, battery degradation, and users' dissatisfaction comprehensively is proposed. The proposed model is formulated as a mixed-integer nonlinear programming problem, and a corresponding approach for solving the model is also proposed. Finally, the real-time operation process of the proposed scheduling method in the actual charging station is presented. By comparing with the existing methods, better effectiveness and performance of the proposed scheduling method are verified by simulation results.</t>
  </si>
  <si>
    <t>Electric Vehicle; Charging Scheduling; Data-Driven; Charging Demand</t>
  </si>
  <si>
    <t>Zurich trace [25] (driving pattern)</t>
  </si>
  <si>
    <t>FIFO; EDF</t>
  </si>
  <si>
    <t>Power</t>
  </si>
  <si>
    <t>TCC (Preemptive), PCC (Preemptive)</t>
  </si>
  <si>
    <t>Normal (18:30; 30 min)</t>
  </si>
  <si>
    <t>Normal (07:30; 30 min)</t>
  </si>
  <si>
    <t>Uniform (0.9, 1.0)</t>
  </si>
  <si>
    <t>Land transport Authority of Singapore [27] (driving pattern)</t>
  </si>
  <si>
    <t>Heterogeneous (7 kWh, 16 kWh, 24 kWh)</t>
  </si>
  <si>
    <t>Minimize peak loads</t>
  </si>
  <si>
    <t>Normal (0.5, 0.2)</t>
  </si>
  <si>
    <t>[36] (Arrival time)</t>
  </si>
  <si>
    <t>FIFO; Random</t>
  </si>
  <si>
    <t>Mechanical</t>
  </si>
  <si>
    <t>PV; driving pattern</t>
  </si>
  <si>
    <t>ERCOT day-ahead market (Prices); Pecan street project (PV generation)</t>
  </si>
  <si>
    <t>Heterogeneous (Tesla Model S, BMW i3, Nissan Leaf)</t>
  </si>
  <si>
    <t>Piece-wise linear</t>
  </si>
  <si>
    <t>Average rate</t>
  </si>
  <si>
    <t>AR</t>
  </si>
  <si>
    <t>Scheduling algorithm that supply the minimum power of the EVSE capacity.</t>
  </si>
  <si>
    <t>Randomly delayed charging</t>
  </si>
  <si>
    <t>Scheduling algorithm that starts to supplying power after a random amount of time.</t>
  </si>
  <si>
    <t>AR; RDC</t>
  </si>
  <si>
    <t>RND</t>
  </si>
  <si>
    <t>Heterogeneous (Nissan Leaf, Tesla model S)</t>
  </si>
  <si>
    <t>Power capacity</t>
  </si>
  <si>
    <t>Preemptive charging</t>
  </si>
  <si>
    <t>Non-preemptive charging</t>
  </si>
  <si>
    <t>It is the maximum power the battery stands</t>
  </si>
  <si>
    <t>Charging capacity (kW)</t>
  </si>
  <si>
    <t>Battery capacity (kWh)</t>
  </si>
  <si>
    <t>It is the maximum energy the battery can save</t>
  </si>
  <si>
    <t>Homogeneous (3.6 kW)</t>
  </si>
  <si>
    <t>4500 kW</t>
  </si>
  <si>
    <t>Homogeneous (3.5 kW)</t>
  </si>
  <si>
    <t>Homogeneous (10 kW)</t>
  </si>
  <si>
    <t>40 kW</t>
  </si>
  <si>
    <t>Cost</t>
  </si>
  <si>
    <t>Homogeneous (4 kW)</t>
  </si>
  <si>
    <t>Homogeneous (20 kWh)</t>
  </si>
  <si>
    <t>Normal (10.75 kWh, 6 kWh)</t>
  </si>
  <si>
    <t>This work presents an allowance mechanism that randomly accepts the request of power supply from a EVSE. Furthermore, an EV is only allowed to request energy if its SoC is below a certain threhold known beforehand and different at each time interval during the horizon under study. These thresholds are obtained from previous data. In this regard, the SoC is discretized in 32 intervals to allow the comparison at every iteration of the algorithm. Computational results are performed taking into account 1540 EVs requesting power during the night (between 22:00 and 06:00) with starting SoC normally distributed and an energy availability that considers the residential base-load. Three different instances are studied based on energy availability (120%, 100% and 80% of the total demand) and a comparison is done with respect to two variations of the proposed algorithm when no threshold is considered and when threshold is considered with fully acceptance ratio. Results show that the SoC achieves the 80% of the 99.6% of the vehicles when 80% of energy availability is considered. However, the reduction of power request decreases by 68.15% in the same scenario.</t>
  </si>
  <si>
    <t>Variable (120%; 100%, 80%)</t>
  </si>
  <si>
    <t>SCSC</t>
  </si>
  <si>
    <t>Smart charging system with cooperation</t>
  </si>
  <si>
    <t>Scheduling algorithm that supplies energy according to maximizing the utilization of the available power.</t>
  </si>
  <si>
    <t>70 kW</t>
  </si>
  <si>
    <t>Adaptive Charging Network Laboratory (CALTECH) [34] (driving pattern)</t>
  </si>
  <si>
    <t>See data</t>
  </si>
  <si>
    <t>250 kW</t>
  </si>
  <si>
    <t>Heterogeneous (40 kWh, 60 kWh)</t>
  </si>
  <si>
    <t>Heterogeneous (7 kW, 14 kW)</t>
  </si>
  <si>
    <t>Power load, Price</t>
  </si>
  <si>
    <t>300 kW</t>
  </si>
  <si>
    <t>RTE-France [26] (base load), EPEX-SPOT [27] (Price)</t>
  </si>
  <si>
    <t>Heterogeneous (24 kWh, 30 kWh, 48 kWh)</t>
  </si>
  <si>
    <t>Normal (300, 10)</t>
  </si>
  <si>
    <t>Normal (18:00, 2 h)</t>
  </si>
  <si>
    <t>Normal (06:00, 1 h)</t>
  </si>
  <si>
    <t>Lognormal (0.05, 0.078)</t>
  </si>
  <si>
    <t>24 h (12:00 - 12:00)</t>
  </si>
  <si>
    <t>Poisson ()</t>
  </si>
  <si>
    <t>Truncated Normal ()</t>
  </si>
  <si>
    <t>Normal ()</t>
  </si>
  <si>
    <t>Homogeneous (20 kW)</t>
  </si>
  <si>
    <t>Homogeneous (100 kWh)</t>
  </si>
  <si>
    <t>120 kW</t>
  </si>
  <si>
    <t>Time varying (ToU)</t>
  </si>
  <si>
    <t>Homogeneous (25 kWh)</t>
  </si>
  <si>
    <t>Uniform (0 kWh, 12 kWh)</t>
  </si>
  <si>
    <t>Normal (19:00, 1 h)</t>
  </si>
  <si>
    <t>Normal (08:00, 1 h)</t>
  </si>
  <si>
    <t>540000 kW</t>
  </si>
  <si>
    <t>200 kW</t>
  </si>
  <si>
    <t>NHTS survey 2009 [11,29] (driving pattern)</t>
  </si>
  <si>
    <t>Homogeneous (30 kW)</t>
  </si>
  <si>
    <t>Uniform (1 slot, 32 slot)</t>
  </si>
  <si>
    <t>arrival + Uniform (4, 16)</t>
  </si>
  <si>
    <t>Starting + Uniform (10 kWh, 40 kWh)</t>
  </si>
  <si>
    <t>Greedy</t>
  </si>
  <si>
    <t>Homogeneous (7 kW)</t>
  </si>
  <si>
    <t>Own</t>
  </si>
  <si>
    <t>Heterogeneous (1.8 kW, 7.2 kW, 9.6 kW)</t>
  </si>
  <si>
    <t>NHTS survey 2009 (driving pattern)</t>
  </si>
  <si>
    <t>260 days</t>
  </si>
  <si>
    <t>Variable</t>
  </si>
  <si>
    <t>To optimize</t>
  </si>
  <si>
    <t>Canton of Zürich [28] (driving pattern), Ontari Hydro [9] (ToU)</t>
  </si>
  <si>
    <t>POS</t>
  </si>
  <si>
    <t>Price oriented scheduling</t>
  </si>
  <si>
    <t>Scheduling algorithm that supplies more energy during cheaper windows</t>
  </si>
  <si>
    <t>ToU scheduling</t>
  </si>
  <si>
    <t>FIFO; EDF; POS; Greedy</t>
  </si>
  <si>
    <t>Heterogeneous (42 kWh, 48 kWh)</t>
  </si>
  <si>
    <t>Homogeneous (45 kW)</t>
  </si>
  <si>
    <t>900 kW</t>
  </si>
  <si>
    <t>Power demand; Arrival time; Departure time</t>
  </si>
  <si>
    <t>Heterogeneous (3.5 kW; 10 kW)</t>
  </si>
  <si>
    <t>Uniform (0.1, 0.3)</t>
  </si>
  <si>
    <t>Normal_Home (18, 3.3); Normal_Public (8.5, 3.3) [20]</t>
  </si>
  <si>
    <t>Normal_Home (8, 3.24); Normal_Public (17.5, 3.24) [20]</t>
  </si>
  <si>
    <t>Homogeneous (30 kWh)</t>
  </si>
  <si>
    <t>Uniform (0.8, 1.0)</t>
  </si>
  <si>
    <t>Heterogeneous (3.52 kW; 7.04 kW)</t>
  </si>
  <si>
    <t>Truncated Normal_Home (20:00, 2 h); Uniform_Public (08:00, 20:00)</t>
  </si>
  <si>
    <t>Truncated Normal_Home (07:30, 2 h); Uniform_Public (Arrival; 24:00)</t>
  </si>
  <si>
    <t>Uniform_Home (0.2, 0.5); Uniform_Public (0.2, 0.4)</t>
  </si>
  <si>
    <t>Heterogeneous (Audi e-Tron; BMW i3, ByD e6; ByD &amp; Daimler Denza; Chery s18 EV; Chrysler Dodge Circuit; Citroen C-Zero; Daimler Smart ED; Fiat 500; Ford Focus EV; Mercedes SLS eDrive; Mitsubishi i-MIEV; Nissan Leaf; Peugeot iOn; Phoenix SUV/SUT; Pininfarina Bluecar; Renault Fluence; Tesla Model S; Volswagen e-Up!; Volvo C30 BEV)</t>
  </si>
  <si>
    <t>&lt;= 0.8</t>
  </si>
  <si>
    <t>Homogeneous (85 kWh)</t>
  </si>
  <si>
    <t>Homogeneous (22 kW)</t>
  </si>
  <si>
    <t>Enough to reach next station</t>
  </si>
  <si>
    <t>Departure time</t>
  </si>
  <si>
    <t>620 kW</t>
  </si>
  <si>
    <t>Electric vehicle charging records 2016 - 2019, SAP, Walldorf, Germany</t>
  </si>
  <si>
    <t>It says that several charging stations are considered, but stations refer to EVSE</t>
  </si>
  <si>
    <t>Normal_Home (7.56; 2.33 h); Uniform_Public (8.51; 24.35)</t>
  </si>
  <si>
    <t>Normal_Home (19.89; 1.92 h); Uniform_Public (7.26; 21.35)</t>
  </si>
  <si>
    <t>Uniform_Home (0.2, 0.6); Uniform_Public (0.2, 0.5)</t>
  </si>
  <si>
    <t>Uniform_Home (0.6, 0.8); Uniform_Public (0.5, 0.8)</t>
  </si>
  <si>
    <t>Shenzen</t>
  </si>
  <si>
    <t>1589 kW</t>
  </si>
  <si>
    <t>Homogeneous (3.3 kW)</t>
  </si>
  <si>
    <t>LST; EDF; SJF; RND</t>
  </si>
  <si>
    <t>Heterogeneous (Seda; Compact; Roadster)</t>
  </si>
  <si>
    <t>Normal (0.5, 0.1)</t>
  </si>
  <si>
    <t>Normal (07:00, 1 h)</t>
  </si>
  <si>
    <t>Normal (17:00, 2 h)</t>
  </si>
  <si>
    <t>Distributed charging</t>
  </si>
  <si>
    <t>The AU decides when and how much to charge each EV by gathering the information of all EVs that demand energy.</t>
  </si>
  <si>
    <t>Coordination methods in which the decision is taken by the EV under a negotiation process, e.g. a game, without information provided by the other EVs.</t>
  </si>
  <si>
    <t>EVs schedule their charging by themselves based on information provided by the AU about other EVs.</t>
  </si>
  <si>
    <t>Southern California Edison [30] (Base load); NHTS [32] (driving pattern)</t>
  </si>
  <si>
    <t>8 h (08:00 - 16:00)</t>
  </si>
  <si>
    <t>Homogeneous (24 kWh)</t>
  </si>
  <si>
    <t>Bengian Power Exchange (Belpex) [29] (Price)</t>
  </si>
  <si>
    <t>24 h (03:00 - 03:00)</t>
  </si>
  <si>
    <t>Simulation and Optimization (Greedy)</t>
  </si>
  <si>
    <t>truncated Normal (18.5, 3.2 slot)</t>
  </si>
  <si>
    <t>Truncated Normal (8.5, 2.7 slot)</t>
  </si>
  <si>
    <t>Heterogeneous (Small, Sedan, SUV, Truck)</t>
  </si>
  <si>
    <t>Heterogeneous (4 kW, 8 kW, 19.2 kW)</t>
  </si>
  <si>
    <t>TCC (Non-preemptive) and PCC (Preemptive)</t>
  </si>
  <si>
    <t>Optimization (BP and LP)</t>
  </si>
  <si>
    <t>Homogeneous (Nissan Leaf)</t>
  </si>
  <si>
    <t>Power load, Departure time, Power demand, Desired SoC</t>
  </si>
  <si>
    <t>Simulation and Optimization (QP)</t>
  </si>
  <si>
    <t>P&amp;G (base load), EV project [46] (driving pattern)</t>
  </si>
  <si>
    <t>Homogeneous (6.48 kW)</t>
  </si>
  <si>
    <t>Normal (18, 1)</t>
  </si>
  <si>
    <t>Normal (7, 1)</t>
  </si>
  <si>
    <t>Homogeneous (3.3 kW, 6.6 kW)</t>
  </si>
  <si>
    <t>NHTS (driving pattern), [10] (Price and base load)</t>
  </si>
  <si>
    <t>ECO dataser [66] (driving pattern), Wunderground (PV, Wind)</t>
  </si>
  <si>
    <t>Normal (18:38, 0.89 h)</t>
  </si>
  <si>
    <t>Normal (7:40, 0.57 h)</t>
  </si>
  <si>
    <t>Homogeneous (6.6 kW)</t>
  </si>
  <si>
    <t>Uniform (0.5, 0.9)</t>
  </si>
  <si>
    <t>Heterogeneous (Nissan Leaf, Chevrolet Bolt)</t>
  </si>
  <si>
    <t>Homogeneous (60 kW)</t>
  </si>
  <si>
    <t>3000 kW</t>
  </si>
  <si>
    <t>Simulated</t>
  </si>
  <si>
    <t>Homogeneous (11 kW)</t>
  </si>
  <si>
    <t>Homogeneous (7.2 kW)</t>
  </si>
  <si>
    <t>Homogeneous (75 kW)</t>
  </si>
  <si>
    <t>Homogeneous (36 kW, 72 kW, 144 kW)</t>
  </si>
  <si>
    <t>Homogeneous (Tesla Model S)</t>
  </si>
  <si>
    <t>Dundee [29] (Driving pattern)</t>
  </si>
  <si>
    <t>2300 kW</t>
  </si>
  <si>
    <t>Heterogeneous (Volkswagen e-golf, Honda Fit, Ford C-Max)</t>
  </si>
  <si>
    <t>Homogeneous (3.3 kW, 6.6 kW, 7.2 kW)</t>
  </si>
  <si>
    <t>TCC (Preemptive)) and PCC (Preemptive)</t>
  </si>
  <si>
    <t>24 h (16:00 - 16:00)</t>
  </si>
  <si>
    <t>Homogeneous (200 kWh)</t>
  </si>
  <si>
    <t>Homogeneous (40 kW)</t>
  </si>
  <si>
    <t>Swiss Federal Statistical Office (SFSO) (driving pattern)</t>
  </si>
  <si>
    <t>Simulation and Optimization (GA)</t>
  </si>
  <si>
    <t>Residential (Home) and Public (Station)</t>
  </si>
  <si>
    <t>Homogeneous (32 kWh)</t>
  </si>
  <si>
    <t>Heterogeneous (3.2 kW, 15 kW)</t>
  </si>
  <si>
    <t>Normal_Home (19:00, 1.5 h), Normal_Public (09:00, 0.5 h)</t>
  </si>
  <si>
    <t>Normal_Home (07:00, 0.5 h), Normal_Public (18:00, 0.5 h)</t>
  </si>
  <si>
    <t>Alternative Energy Institute (Wind speed), Power Smart Pricing (Price)</t>
  </si>
  <si>
    <t>Geometric (0.9)</t>
  </si>
  <si>
    <t>Simulation (GridLAB-D)</t>
  </si>
  <si>
    <t>Heterogeneous (1.4 kW, 1.9 kW, 6.6 kW)</t>
  </si>
  <si>
    <t>NHTS 2009 (driving pattern)</t>
  </si>
  <si>
    <t>24 h (04:00 - 04:00)</t>
  </si>
  <si>
    <t>Distribution System Operator Observatory (DSOO) [12], Photovoltaic Geographical Infractions System [33], SMARD [34] (Price), German federal ministry of transportation (driving pattern)</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</si>
  <si>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</si>
  <si>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Distribution operator (DO), Service operator (SO), Market operator, Distribution system, Centralized controller (CC), Electrical Network Operator (ENO).</t>
  </si>
  <si>
    <t>Locational marginal pricing</t>
  </si>
  <si>
    <t>LMP</t>
  </si>
  <si>
    <t>Maximize AU profit; Minimize EV owner cost</t>
  </si>
  <si>
    <t>Wardrop equilibrium</t>
  </si>
  <si>
    <t>WE</t>
  </si>
  <si>
    <t>In the context of interaction among drivers with congestion effects, it is an equilibrium where there is no incentive to change the decision unilaterally.</t>
  </si>
  <si>
    <t>Optimization (Trilevel)</t>
  </si>
  <si>
    <t>It considers a IEEE 33-bus medium-voltage distribution network</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</si>
  <si>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</si>
  <si>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</si>
  <si>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Hierarchical Coupled Driving-and-Charging Model of Electric Vehicles, Stations and Grid Operators</t>
  </si>
  <si>
    <t>Sohet, Benoit; Hayel, Yezekael; Beaude, Olivier; Jeandin, Alban</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</si>
  <si>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t>
  </si>
  <si>
    <t>Games; Urban areas; Pricing; Charging stations; Vehicles; Employment; Standards; Electric vehicles; trilevel optimization; smart charging; coupled transportation-electrical systems</t>
  </si>
  <si>
    <t>Time varying (RTP-LMP)</t>
  </si>
  <si>
    <t>@article{vaya2014optimal,
  title={Optimal bidding strategy of a plug-in electric vehicle aggregator in day-ahead electricity markets under uncertainty},
  author={Vay{\'a}, Marina Gonz{\'a}lez and Andersson, G{\"o}ran},
  journal={IEEE transactions on power systems},
  volume={30},
  number={5},
  pages={2375--2385},
  year={2014},
  publisher={IEEE}
}'</t>
  </si>
  <si>
    <t>Optimization (Bilevel-MILP)</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</si>
  <si>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</si>
  <si>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European Energy Exchange (Price)</t>
  </si>
  <si>
    <t>1 year</t>
  </si>
  <si>
    <t>Homogeneous (3.7 kW)</t>
  </si>
  <si>
    <t>Heterogeneous (16 kWh, 24 kWh)</t>
  </si>
  <si>
    <t>Simulated (MATSim)</t>
  </si>
  <si>
    <t>Time varying (RTP-Bidding)</t>
  </si>
  <si>
    <t>It faces several charging stations. The exact number is not mentioned, but it considers the driving pattern. More specifically, it takes into account the distance traveled.</t>
  </si>
  <si>
    <t>This paper presents a bilevel program that depicts a bidding for energy such that the upper level aims to minimize the charging cost, while the lower level goal is to set the price according to the demand. To do so, the required EV demand is gathered to make the problem tractable. Thus, the charging station gets energy in the one-day-ahead market. In this regard, historical data is taken into account to forecast the driving pattern, but no MPC is detailed. However, the residuals of the forecasting model are considered for variability in the constraint. Then, given this uncertainty, a chance constraint is imposed to be met such that both energy and power are bounded within technical limits. To solve the model, the Karush-Kuhn-Tucker conditions are obtained and a reformulation is performed in order to solve a MILP.</t>
  </si>
  <si>
    <t>This seems to be the first paper proposing a bilevel program. Although a good approach is presented, it lacks of several important details. It does not mention how many stations are taken into account. Furthermore, it does not take into account actual prices nor benchmark algorithms.</t>
  </si>
  <si>
    <t>Optimal Bidding Strategy of a Plug-In Electric Vehicle Aggregator in Day-Ahead Electricity Markets Under Uncertainty</t>
  </si>
  <si>
    <t>IEEE TRANSACTIONS ON POWER SYSTEMS</t>
  </si>
  <si>
    <t>Vaya, Marina Gonzalez; Andersson, Goeran</t>
  </si>
  <si>
    <t>With a large-scale introduction of plug-in electric vehicles (PEVs), a new entity, the PEV fleet aggregator, is expected to be responsible for managing the charging of, and for purchasing electricity for, the vehicles. We approach the problem of an aggregator bidding into the day-ahead electricity market with the objective of minimizing charging costs while satisfying the PEVs' flexible demand. The aggregator places demand bids only (no vehicle-to-grid is considered). The aggregator is assumed to potentially influence market prices, in contrast to what is commonly found in the literature. Specifically, the bidding strategy of the aggregator is formulated as a bilevel problem, which is implemented as a mixed-integer linear program. The upper level problem represents the charging cost minimization of the aggregator, whereas the lower level problem represents the market clearing. Since the bids of other market participants are not known to the aggregator ex ante, a simple strategy is used to estimate them, based on historical data. An aggregated representation of the PEV end-use requirements as a virtual battery, with time varying power and energy constraints, is proposed, derived from individual driving patterns. Since driving patterns cannot be perfectly forecasted, we introduce a probabilistic virtual battery model. We compare the results of the proposed bidding strategy with those of a bidding strategy assuming exogenous prices, uncontrolled charging, and a central dispatch of the fleet. We also explore the impacts of different sources of uncertainty. Results show that with the proposed bidding strategy, costs are significantly lower than under inflexible charging and are lower than assuming exogenous prices. Moreover, the approach also performs well under uncertainty. Results also suggest that the aggregator only has limited market power potential at moderate PEV penetrations.</t>
  </si>
  <si>
    <t>Aggregator; bilevel optimization; demand side management; electric vehicles; mathematical problem with equilibrium constraints (MPEC); smart-charging; stochastic optimization; strategic bidding</t>
  </si>
  <si>
    <t>@article{li2021coordinating,
  title={Coordinating flexible demand response and renewable uncertainties for scheduling of community integrated energy systems with an electric vehicle charging station: A bi-level approach},
  author={Li, Yang and Han, Meng and Yang, Zhen and Li, Guoqing},
  journal={IEEE Transactions on Sustainable Energy},
  volume={12},
  number={4},
  pages={2321--2331},
  year={2021},
  publisher={IEEE}
}'</t>
  </si>
  <si>
    <t>Time varying (ToU and RTP)</t>
  </si>
  <si>
    <t>Normal</t>
  </si>
  <si>
    <t>Minimize total cost</t>
  </si>
  <si>
    <t>500 kW</t>
  </si>
  <si>
    <t>Homogeneous (15 kW)</t>
  </si>
  <si>
    <t>Homogeneous (15 kWh)</t>
  </si>
  <si>
    <t>It handles one charging station with 10 EVSEs.</t>
  </si>
  <si>
    <t>This paper proposes a bilevel program that combines the ToU and RTP schemes. In here, the upper level minimizes the overall cost for the charging station, while the lower level minimizes the charging cost for the EV owners.</t>
  </si>
  <si>
    <t>Coordinating Flexible Demand Response and Renewable Uncertainties for Scheduling of Community Integrated Energy Systems With an Electric Vehicle Charging Station: A Bi-Level Approach</t>
  </si>
  <si>
    <t>IEEE TRANSACTIONS ON SUSTAINABLE ENERGY</t>
  </si>
  <si>
    <t>Li, Yang; Han, Meng; Yang, Zhen; Li, Guoqing</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</si>
  <si>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t>
  </si>
  <si>
    <t>Load management; Uncertainty; Optimal scheduling; Pricing; Electric vehicles; Dispatching; Electric vehicle charging; Community integrated energy system; electric vehicles; optimal scheduling; integrated demand response; renewable uncertainties; dynamic pricing; bi-level programming</t>
  </si>
  <si>
    <t>@article{chen2019electric,
  title={Electric vehicle charging schedule considering user's charging selection from economics},
  author={Chen, Jie and Huang, Xiaoqing and Tian, Shiming and Cao, Yijia and Huang, Bicheng and Luo, Xiaoyue and Yu, Wenlong},
  journal={IET Generation, Transmission \&amp; Distribution},
  volume={13},
  number={15},
  pages={3388--3396},
  year={2019},
  publisher={Wiley Online Library}
}'</t>
  </si>
  <si>
    <t>Minimize charging cost; Minimize load variance</t>
  </si>
  <si>
    <t>It handles a IEEE 33-bus network</t>
  </si>
  <si>
    <t>Backward-forward sweep</t>
  </si>
  <si>
    <t>Algorithm</t>
  </si>
  <si>
    <t>BFS</t>
  </si>
  <si>
    <t>Algorithm to compute the power flow in a network</t>
  </si>
  <si>
    <t>Newton-Raphson</t>
  </si>
  <si>
    <t>Homogeneous (43 kWh)</t>
  </si>
  <si>
    <t>Heterogeneous (3 kW, 20 kW)</t>
  </si>
  <si>
    <t>US department of transportation 2001 (driving pattern)</t>
  </si>
  <si>
    <t>Optimization (MINLP)</t>
  </si>
  <si>
    <t>This work present a multi-objective MINLP model that considers the user's preferences in the context of willingness to pay and charging time. In particular, three different EV owner profiles are defined: i) conservative, ii) radical, and iii) balanced. In order to solve this model, the particle swarm multi-objective algorithm is used. Furthermore, the Newton-Raphson method is used to compute the power flow in the distribution network.</t>
  </si>
  <si>
    <t>This paper has several weaknesses. Such as simulation parameters in order to replicate it. Also, the time interval is not revealed and thus the resolution time cannot be compared with other methods. In this regard, other algorithms are not taken into account to benchmark the solution.</t>
  </si>
  <si>
    <t>Electric vehicle charging schedule considering user's charging selection from economics</t>
  </si>
  <si>
    <t>IET GENERATION TRANSMISSION &amp; DISTRIBUTION</t>
  </si>
  <si>
    <t>Chen, Jie; Huang, Xiaoqing; Tian, Shiming; Cao, Yijia; Huang, Bicheng; Luo, Xiaoyue; Yu, Wenlong</t>
  </si>
  <si>
    <t>Electric vehicle (EV) charging will bring new challenges to the coordination of grid and EV load. To facilitate large-scale EV applications, optimal scheduling of EVs has become essential. However, the power grid has no power to force EV users to charge or give up charging. The actual type and mode of user's charging, may deviate from the expectations of grid. When the number of deviation's EV is sufficient, the power grid schedule will not achieve the expected results. In this context, a multi-objective scheduling method considering user's charging selection is proposed to determine the optimal EV charging. The novel contributions of this paper lie in the exploitation of the user's preferences and their criterion of charging selection in form of functions based on concepts from economics. Three types of charging preferences for EV users including radical, conservative and balanced are used to influence the charging cost of EVs and load variance of grid. Finally, the ideal scheduling and actual scheduling are used to simulate various scenarios. The extensive results show that by introducing a method considering the influence of EV user's selection, the efficacy of the proposed scheduling can be further improved.</t>
  </si>
  <si>
    <t>particle swarm optimisation; distribution networks; battery powered vehicles; scheduling; optimisation; electric vehicles; power distribution economics; power grids; electric vehicle charging schedule considering user; large-scale EV applications; optimal scheduling; EV users; deviation; power grid schedule; multiobjective scheduling method; optimal EV charging; charging selection; user constraint; charging preferences; scheduling model; ideal scheduling; actual scheduling; EV user</t>
  </si>
  <si>
    <t>Constant, Time varying (ToU and RTP)</t>
  </si>
  <si>
    <t>@article{smith2021smart,
  title={Smart Electric Vehicle Charging via Adjustable Real-Time Charging Rates},
  author={Smith, Theron and Garcia, Joseph and Washington, Gregory},
  journal={Applied Sciences},
  volume={11},
  number={22},
  pages={10962},
  year={2021},
  publisher={MDPI}
}'</t>
  </si>
  <si>
    <t>Number</t>
  </si>
  <si>
    <t>Comment</t>
  </si>
  <si>
    <t>Reference</t>
  </si>
  <si>
    <t>Section</t>
  </si>
  <si>
    <t>A 10% of penetration of EVs will increase the peak power demand by 17.9%, while a 20% EV penetration could result in a 35.8% increase in the peak power load.</t>
  </si>
  <si>
    <t>Introduction</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</si>
  <si>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</si>
  <si>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When working on high-voltage grid planning, it is often common to assume that the total capacity of transformers is equal to the capacity of (n-1) transformers.</t>
  </si>
  <si>
    <t>Driver behavior</t>
  </si>
  <si>
    <t>In contrast with the incentive-based methods, in price-based coordination, the responsibility for defining the charging schedules always lies with the EV owners.</t>
  </si>
  <si>
    <t>The absence of strong empirical foundations may lead to weak behavioral realism of the responses to smart charging services</t>
  </si>
  <si>
    <t>@article{daina2017electric,
  title={Electric vehicle charging choices: Modelling and implications for smart charging services},
  author={Daina, Nicol{\`o} and Sivakumar, Aruna and Polak, John W},
  journal={Transportation Research Part C: Emerging Technologies},
  volume={81},
  pages={36--56},
  year={2017},
  publisher={Elsevier}
}'</t>
  </si>
  <si>
    <t>Compared with the slow charging scheme, the EV battery life will be harmed by the fast charging scheme</t>
  </si>
  <si>
    <t>Charging one PEV is nearly equivalent to adding three houses to the power system</t>
  </si>
  <si>
    <t>@article{yang2016distributed,
  title={A distributed algorithm for economic dispatch over time-varying directed networks with delays},
  author={Yang, Tao and Lu, Jie and Wu, Di and Wu, Junfeng and Shi, Guodong and Meng, Ziyang and Johansson, Karl Henrik},
  journal={IEEE Transactions on Industrial Electronics},
  volume={64},
  number={6},
  pages={5095--5106},
  year={2016},
  publisher={IEEE}
}'</t>
  </si>
  <si>
    <t>Distributed control methods rely heavily on iterative algorithms that require speedy communication or fail to generate signals within the required time</t>
  </si>
  <si>
    <t>Decentralized algorithms need to be robust against potential communication network effects such as time delays and packet drops, which could fail distributed algorithms from practical applications</t>
  </si>
  <si>
    <t>@inproceedings{yang2015impacts,
  title={Impacts of time delays on distributed algorithms for economic dispatch},
  author={Yang, Tao and Wu, Di and Sun, Yannan and Lian, Jianming},
  booktitle={2015 IEEE Power \&amp; Energy Society General Meeting},
  pages={1--5},
  year={2015},
  organization={IEEE}
}'</t>
  </si>
  <si>
    <t>@article{chen2020review,
  title={A review on electric vehicle charging infrastructure development in the UK},
  author={Chen, Tianjin and Zhang, Xiao-Ping and Wang, Jianji and Li, Jianing and Wu, Cong and Hu, Mingzhu and Bian, Huiping},
  journal={Journal of Modern Power Systems and Clean Energy},
  volume={8},
  number={2},
  pages={193--205},
  year={2020},
  publisher={SGEPRI}
}'</t>
  </si>
  <si>
    <t>In UK, around 130 million private chargers and 13 million public chargers are estimated to be needed by 2030 to fulfill the EVs’ charging energy demand</t>
  </si>
  <si>
    <t xml:space="preserve">The largest potential reduction in GHG emissions in an EV compared to a conventional vehicle occurs in the use phase </t>
  </si>
  <si>
    <t>Three problem are identified in literature: i) planning and sizing problems for CSs, ii) design of scheduling algorithms for optimizing the CS’s operation (with given infrastructure), and iii) sizing problem of a CS while taking into account also the resulting Quality of Service (QoS)</t>
  </si>
  <si>
    <t>Electricity generated from fuel mix that is largely dominated by fossil fuels does not eliminate the emissions but mostly moves it from the vehicle to the power plant</t>
  </si>
  <si>
    <t>@inproceedings{mouli2016economic,
  title={Economic and CO2 emission benefits of a solar powered electric vehicle charging station for workplaces in the Netherlands},
  author={Mouli, Gautham Ram Chandra and Leendertse, Mark and Prasanth, Venugopal and Bauer, Pavol and Silvester, Sacha and van de Geer, Stefan and Zeman, Miro},
  booktitle={2016 IEEE Transportation Electrification Conference and Expo (ITEC)},
  pages={1--7},
  year={2016},
  organization={IEEE}
}'</t>
  </si>
  <si>
    <t>@article{mouli2017integrated,
  title={Integrated PV charging of EV fleet based on energy prices, V2G, and offer of reserves},
  author={Mouli, Gautham Ram Chandra and Kefayati, Mahdi and Baldick, Ross and Bauer, Pavol},
  journal={IEEE Transactions on Smart Grid},
  volume={10},
  number={2},
  pages={1313--1325},
  year={2017},
  publisher={IEEE}
}'</t>
  </si>
  <si>
    <t>The long parking times of EVSE at workplace offers the flexibility in scheduling the charging in terms of both charging power and duration</t>
  </si>
  <si>
    <t>The optimal way to charge EVs is hence to schedule the charging by taking into consideration the EV user preferences, local renewable generation, distribution network and energy prices from the market</t>
  </si>
  <si>
    <t>Fast charging of EV battery cannot be done beyond 80% SoC of the battery</t>
  </si>
  <si>
    <t>@article{cao2011optimized,
  title={An optimized EV charging model considering TOU price and SOC curve},
  author={Cao, Yijia and Tang, Shengwei and Li, Canbing and Zhang, Peng and Tan, Yi and Zhang, Zhikun and Li, Junxiong},
  journal={IEEE Transactions on Smart Grid},
  volume={3},
  number={1},
  pages={388--393},
  year={2011},
  publisher={IEEE}
}'</t>
  </si>
  <si>
    <t>@article{de2015impact,
  title={Impact of smart charging on the ev battery ageing-discussion from a 3 years real life experience},
  author={De Vroey, Laurent and Jahn, Rafa{\"e}l and Omar, Noshin and Van Mierlo, Joeri},
  journal={World Electric Vehicle Journal},
  volume={7},
  number={4},
  pages={613--620},
  year={2015},
  publisher={Multidisciplinary Digital Publishing Institute}
}'</t>
  </si>
  <si>
    <t>@article{wang2016quantifying,
  title={Quantifying electric vehicle battery degradation from driving vs. vehicle-to-grid services},
  author={Wang, Dai and Coignard, Jonathan and Zeng, Teng and Zhang, Cong and Saxena, Samveg},
  journal={Journal of Power Sources},
  volume={332},
  pages={193--203},
  year={2016},
  publisher={Elsevier}
}'</t>
  </si>
  <si>
    <t>Communication networks to exchange the real-time information among the EVSEs are hard to implement, because the real-time information of all the EVSEs and the complexity of the central controller exponentially increase according to the increment of the PEVs in the PEV charging system</t>
  </si>
  <si>
    <t>In order to enable centralized charging coordination, private information related to each PEV users is required to be sent to aggregator, for example, arrival time, departure time and required energy, etc</t>
  </si>
  <si>
    <t>Driving pattern</t>
  </si>
  <si>
    <t>The energy demand due to large penetration of EVs will stress the grid. The EV load will also create new load variations in the grid load curve due to the stochastic nature of the driving pattern of users and hence modify the existing grid load profile (without EVs)</t>
  </si>
  <si>
    <t>Most of the EVs are idle 90% of the time</t>
  </si>
  <si>
    <t>\cite{rawat2017comparison}</t>
  </si>
  <si>
    <t>PEV owners can solely (i.e. without the involvement of the grid), utilize local IER generation capacity to charge their PEV batteries. By doing so, they can minimize the energy imported from the grid and reduce the energy bills. However, this simple arrangement restricts charging to times when the prevailing weather conditions allow it</t>
  </si>
  <si>
    <t>@article{bhatti2016critical,
  title={A critical review of electric vehicle charging using solar photovoltaic},
  author={Bhatti, Abdul Rauf and Salam, Zainal and Aziz, Mohd Junaidi Bin Abdul and Yee, Kong Pui},
  journal={International Journal of Energy Research},
  volume={40},
  number={4},
  pages={439--461},
  year={2016},
  publisher={Wiley Online Library}
}'</t>
  </si>
  <si>
    <t>Integrating an auxiliary energy storage unit would overcome this issue, yet the associated installation and maintenance cost renders this a generally cost-ineffective technology today</t>
  </si>
  <si>
    <t>@article{ibrahim2008energy,
  title={Energy storage systems—Characteristics and comparisons},
  author={Ibrahim, Hussein and Ilinca, Adrian and Perron, Jean},
  journal={Renewable and sustainable energy reviews},
  volume={12},
  number={5},
  pages={1221--1250},
  year={2008},
  publisher={Elsevier}
}'</t>
  </si>
  <si>
    <t>@article{gao1999investigation,
  title={Investigation of the effectiveness of regenerative braking for EV and HEV},
  author={Gao, Yimin and Chen, Liping and Ehsani, Mehrdad},
  journal={SAE transactions},
  pages={3184--3190},
  year={1999},
  publisher={JSTOR}
}'</t>
  </si>
  <si>
    <t>Non-plug-in electric vehicles rely solely on smart alternators and regenerative braking to recharge the batteries. In contrast, plug-in electric vehicles, PEVs, can also recharge their batteries through external sources</t>
  </si>
  <si>
    <t>Low charging rates are typically not allowed for safety reasons</t>
  </si>
  <si>
    <t>@book{larminie2012electric,
  title={Electric vehicle technology explained},
  author={Larminie, James and Lowry, John},
  year={2012},
  publisher={John Wiley \&amp; Sons}
}'</t>
  </si>
  <si>
    <t>Long waiting times during the charging process</t>
  </si>
  <si>
    <t>@article{keskin2019electric,
  title={Electric vehicle routing problem with time-dependent waiting times at recharging stations},
  author={Keskin, Merve and Laporte, Gilbert and {\c{C}}atay, B{\"u}lent},
  journal={Computers \&amp; Operations Research},
  volume={107},
  pages={77--94},
  year={2019},
  publisher={Elsevier}
}'</t>
  </si>
  <si>
    <t>@article{sebastian2020adaptive,
  title={Adaptive fast charging methodology for commercial Li-ion batteries based on the internal resistance spectrum},
  author={Sebastian, Sandeep S and Dong, Bo and Zerrin, Taner and Pena, Pedro A and Akhavi, Amirali S and Li, Yige and Ozkan, Cengiz S and Ozkan, Mihrimah},
  journal={Energy Storage},
  volume={2},
  number={4},
  pages={e141},
  year={2020},
  publisher={Wiley Online Library}
}'</t>
  </si>
  <si>
    <t>DC fast-charging adversely affects the lifespan of lithium-ion batteries by increasing the internal resistance of the battery</t>
  </si>
  <si>
    <t>In general, EVs have the problem that their driving distance (per charge) is shorter than that of conventional vehicles (per tank of fuel)</t>
  </si>
  <si>
    <t>It is well known that Lithium-ion batteries which are usually used in EVs are very sensitive to abuse; any overcharging in the form of kW or kWh may result in explosion of battery</t>
  </si>
  <si>
    <t>EV charging load could lead to inefficient power system operation or even security issues</t>
  </si>
  <si>
    <t>@article{qian2010modeling,
  title={Modeling of load demand due to EV battery charging in distribution systems},
  author={Qian, Kejun and Zhou, Chengke and Allan, Malcolm and Yuan, Yue},
  journal={IEEE transactions on power systems},
  volume={26},
  number={2},
  pages={802--810},
  year={2010},
  publisher={IEEE}
}</t>
  </si>
  <si>
    <t>@article{leemput2014impact,
  title={Impact of electric vehicle on-board single-phase charging strategies on a flemish residential grid},
  author={Leemput, Niels and Geth, Frederik and Van Roy, Juan and Delnooz, Annelies and B{\"u}scher, Jeroen and Driesen, Johan},
  journal={IEEE Transactions on Smart Grid},
  volume={5},
  number={4},
  pages={1815--1822},
  year={2014},
  publisher={IEEE}
}</t>
  </si>
  <si>
    <t>@article{leou2013stochastic,
  title={Stochastic analyses of electric vehicle charging impacts on distribution network},
  author={Leou, Rong-Ceng and Su, Chun-Lien and Lu, Chan-Nan},
  journal={IEEE Transactions on Power Systems},
  volume={29},
  number={3},
  pages={1055--1063},
  year={2013},
  publisher={IEEE}
}</t>
  </si>
  <si>
    <t>When a mass of vehicles unexpectedly arrive or base load suddenly increases, charging congestion may occur due to limited power capacity</t>
  </si>
  <si>
    <t>@article{yang2019price,
  title={Price-responsive early charging control based on data mining for electric vehicle online scheduling},
  author={Yang, Shaobing},
  journal={Electric Power Systems Research},
  volume={167},
  pages={113--121},
  year={2019},
  publisher={Elsevier}
}</t>
  </si>
  <si>
    <t>In power system optimizations, electricity pricing mechanisms are crucial to reach a win-win situation between a grid operator and its customer</t>
  </si>
  <si>
    <t>\cite{yang2019price}</t>
  </si>
  <si>
    <t>By 2030, the number of EVs will be more than 100 million globally</t>
  </si>
  <si>
    <t xml:space="preserve"> International Energy Agency. (Jun. 2019). Global EV Outlook 2019.
Accessed: Sep. 2019. [Online]. Available: https://webstore.iea.org/
download/direct/2807?fileName=Global_EV_Outlook_2019.pdf</t>
  </si>
  <si>
    <t>The private EV penetration is still obstructed by the lack of convenient public charging infrastructure, insufficient land for home charging in the metropolitan area, less driving ranges, and long charging time</t>
  </si>
  <si>
    <t>@article{zhang2019expanding,
  title={Expanding EV charging networks considering transportation pattern and power supply limit},
  author={Zhang, Yongmin and Chen, Jiayi and Cai, Lin and Pan, Jianping},
  journal={IEEE transactions on smart grid},
  volume={10},
  number={6},
  pages={6332--6342},
  year={2019},
  publisher={IEEE}
}</t>
  </si>
  <si>
    <t>The front-of-the-pack all-electric trucks are designed to travel on predictable regional or last-mile routes that allow them to return to a central depot for charging. However, the lack of charging facility is still a significant barrier for the logistic companies</t>
  </si>
  <si>
    <t>UPS/GreenBiz Study Identifies Motivators And Barriers To Electric
Fleets. Accessed: Jan. 2020. [Online]. Available: https://www.
pressroom.ups.com/pressroom/ContentDetailsViewer.page?
ConceptType=PressReleases&amp;id=1539256974387-450</t>
  </si>
  <si>
    <t>In the realistic charging station, the number of chargers is limited, but the EVs with charging demand will stay in the charging station only for a certain period of time</t>
  </si>
  <si>
    <t>@article{liu2020optimal,
  title={Optimal EV charging scheduling by considering the limited number of chargers},
  author={Liu, Jiayan and Lin, Gang and Huang, Sunhua and Zhou, Yang and Li, Yong and Rehtanz, Christian},
  journal={IEEE Transactions on Transportation Electrification},
  volume={7},
  number={3},
  pages={1112--1122},
  year={2020},
  publisher={IEEE}
}</t>
  </si>
  <si>
    <t>The massive power demands will affect the power grid’s reliability and lead to increased costs of the grid maintenance and degradation</t>
  </si>
  <si>
    <t>@article{latifi2018agent,
  title={Agent-based decentralized optimal charging strategy for plug-in electric vehicles},
  author={Latifi, Milad and Rastegarnia, Amir and Khalili, Azam and Sanei, Saeid},
  journal={IEEE transactions on industrial electronics},
  volume={66},
  number={5},
  pages={3668--3680},
  year={2018},
  publisher={IEEE}
}</t>
  </si>
  <si>
    <t>Most EV users are indifferent about how charging rates vary during the charging process, as long as the EVs can be charged to their target levels by the desired departure time</t>
  </si>
  <si>
    <t>@article{han2017optimal,
  title={Optimal scheduling for electric vehicle charging under variable maximum charging power},
  author={Han, Jinil and Park, Jongyoon and Lee, Kyungsik},
  journal={Energies},
  volume={10},
  number={7},
  pages={933},
  year={2017},
  publisher={MDPI}
}</t>
  </si>
  <si>
    <t>Frequent interruptions may introduce extra deterioration for batteries or threaten the stability of distribution transformer</t>
  </si>
  <si>
    <t>@article{sun2016optimal,
  title={Optimal scheduling for electric vehicle charging with discrete charging levels in distribution grid},
  author={Sun, Bo and Huang, Zhe and Tan, Xiaoqi and Tsang, Danny HK},
  journal={IEEE Transactions on Smart Grid},
  volume={9},
  number={2},
  pages={624--634},
  year={2016},
  publisher={IEEE}
}</t>
  </si>
  <si>
    <t>Frequent interruptions can also shorten the lifespan of a battery</t>
  </si>
  <si>
    <t>@inproceedings{gan2012stochastic,
  title={Stochastic distributed protocol for electric vehicle charging with discrete charging rate},
  author={Gan, Lingwen and Topcu, Ufuk and Low, Steven H},
  booktitle={2012 IEEE Power and Energy Society General Meeting},
  pages={1--8},
  year={2012},
  organization={IEEE}
}</t>
  </si>
  <si>
    <t>@article{cao2019toward,
  title={Toward pre-empted EV charging recommendation through V2V-based reservation system},
  author={Cao, Yue and Jiang, Tao and Kaiwartya, Omprakash and Sun, Hongjian and Zhou, Huan and Wang, Ran},
  journal={IEEE transactions on systems, man, and cybernetics: systems},
  volume={51},
  number={5},
  pages={3026--3039},
  year={2019},
  publisher={IEEE}
}'</t>
  </si>
  <si>
    <t>In a smart grid, the adaption of EV is a significant way to reduce carbon dioxide emissions with increased support from renewable techniques</t>
  </si>
  <si>
    <t>Since drivers tend to change in times when electrical grids are already highly loaded, for example after going back home from work, EVs can cause considerable congestion in electrical networks, especially in residential areas</t>
  </si>
  <si>
    <t>@article{mu2014spatial,
  title={A spatial--temporal model for grid impact analysis of plug-in electric vehicles},
  author={Mu, Yunfei and Wu, Jianzhong and Jenkins, Nick and Jia, Hongjie and Wang, Chengshan},
  journal={Applied Energy},
  volume={114},
  pages={456--465},
  year={2014},
  publisher={Elsevier}
}'</t>
  </si>
  <si>
    <t>Although an AC EVSE is the cheaper option, energy has to be converted to DC for the battery by the EV’s internal charger, limiting charging speed to 3.3-43 kW. The higher the applicable power, the heavier and costlier the internal charger becomes. A DC EVSE has a dedicated AC/DC converter that allows for charging speeds of more than 50 kW, with certain EVSE reaching 350 kW</t>
  </si>
  <si>
    <t>The DC power is directly flowing to the battery, making any heavy and costly on-board charger equipment unnecessary</t>
  </si>
  <si>
    <t>https://electrek.co/2018/04/24/abb-electric-vehicle-charging-tech/</t>
  </si>
  <si>
    <t>@article{voss2021company,
  title={In-Company Smart Charging: Development of a Simulation Model to Facilitate a Smart EV Charging System},
  author={Voss, Mike F and Haveman, Steven P and Bonnema, Gerrit Maarten},
  journal={Energies},
  volume={14},
  number={20},
  pages={6723},
  year={2021},
  publisher={MDPI}
}'</t>
  </si>
  <si>
    <t xml:space="preserve">In the 2016-2019 trial Electric Nation, drivers of larger battery (40-60 kWh) EVs where found to plug in half as frequently (2.2 times per week vs. 4.4 times per week, on average) as drivers of smaller battery (10-25 kWh) EVs </t>
  </si>
  <si>
    <t>http://bit.ly/2l8499W</t>
  </si>
  <si>
    <t>Overloading problems may arise when several vehicles in the same neighborhood recharge at the same time, or during the normal peak loads</t>
  </si>
  <si>
    <t>http://www.artemis-ioe.eu/</t>
  </si>
  <si>
    <t>Electric trucks come with much larger battery sizes and require high power charging infrastructure which results in increasing significantly the peak demand for an electric truck fleet charging more compared to EV fleet charging</t>
  </si>
  <si>
    <t>@article{al2021charging,
  title={Charging infrastructure for commercial electric vehicles: Challenges and future works},
  author={Al-Hanahi, Bassam and Ahmad, Iftekhar and Habibi, Daryoush and Masoum, Mohammad AS},
  journal={IEEE Access},
  year={2021},
  publisher={IEEE}
}'</t>
  </si>
  <si>
    <t>Electric trucks operate under strict operational schedules that impact their availability for charging, and thus the peak demand for an electric truck fleet charging</t>
  </si>
  <si>
    <t>\cite{al2021charging}</t>
  </si>
  <si>
    <t>Level 3 charging leads to faster battery performance degradation</t>
  </si>
  <si>
    <t>@article{jin2017physically,
  title={Physically-based reduced-order capacity loss model for graphite anodes in Li-ion battery cells},
  author={Jin, Xing and Vora, Ashish and Hoshing, Vaidehi and Saha, Tridib and Shaver, Gregory and Garc{\'\i}a, R Edwin and Wasynczuk, Oleg and Varigonda, Subbarao},
  journal={Journal of Power Sources},
  volume={342},
  pages={750--761},
  year={2017},
  publisher={Elsevier}
}'</t>
  </si>
  <si>
    <t>@article{xu2015hierarchical,
  title={A hierarchical framework for coordinated charging of plug-in electric vehicles in China},
  author={Xu, Zhiwei and Su, Wencong and Hu, Zechun and Song, Yonghua and Zhang, Hongcai},
  journal={IEEE Transactions on Smart Grid},
  volume={7},
  number={1},
  pages={428--438},
  year={2015},
  publisher={IEEE}
}'</t>
  </si>
  <si>
    <t>In China, slow charging is widely adopted for overnight charging at residential places and parking lots for daytime workers where a relatively large charging time is acceptable</t>
  </si>
  <si>
    <t>In a PV-based EV-CS, it is recommended to use hybrid energy storage with a battery array and a supercapacitor to ensure a long life cycle of the battery array while addressing the intermittency associated with the PV production and the stochastic nature of EV arrivals</t>
  </si>
  <si>
    <t>@article{konara2020power,
  title={Power dispatching techniques as a finite state machine for a standalone photovoltaic system with a hybrid energy storage},
  author={Konara, Konara Mudiyanselage Sandun Y and Kolhe, Mohan Lal and Sharma, Arvind},
  year={2020},
  publisher={Aimspress}
}'</t>
  </si>
  <si>
    <t>In particular, the primary and secondary charging points should be at home and workplaces while public charging plays a supporting role when PEV trip distance exceeds the electric range. According to the national household travel survey (NHTS) (USDOT, 2009, 2018), most trips, in terms of vehicle miles, are home- and work-related. Therefore, most charging activities are still expected to occur at home and the workplaces</t>
  </si>
  <si>
    <t>It should be noted that the charges that are applied to the electricity at commercial business mainly incorporate a per-kWh energy charges plus a per-peak-kW demand charges that apply to the maximum power (kW) required in any interval (typically 15 min) during the month</t>
  </si>
  <si>
    <t>https://www.greenbiz.com/article/why-building-owners-should-take-charge-ev-adoption</t>
  </si>
  <si>
    <t>Employers could be billed based on the highest capacity (measured in kilowatts) during a given billing period (e.g., a 15-minute interval), and this is usually referred to as the demand charge</t>
  </si>
  <si>
    <t>\cite{li2020optimizing}</t>
  </si>
  <si>
    <t>@article{hilshey2012estimating,
  title={Estimating the impact of electric vehicle smart charging on distribution transformer aging},
  author={Hilshey, Alexander D and Hines, Paul DH and Rezaei, Pooya and Dowds, Jonathan R},
  journal={IEEE Transactions on Smart Grid},
  volume={4},
  number={2},
  pages={905--913},
  year={2012},
  publisher={IEEE}
}'</t>
  </si>
  <si>
    <t>Increases in PEV charging could have detrimental impacts on medium and low voltage distribution infrastructure (e.g., [2]), particularly where PEV adoption in highly clustered [3]</t>
  </si>
  <si>
    <t>@article{aultman2012travel,
  title={Travel Demand and Charging Capacity for Electric Vehicles in Rural States: Vermont Case Study},
  author={Aultman-Hall, Lisa and Sears, Justine and Dowds, Jonathan and Hines, Paul},
  journal={Transportation research record},
  volume={2287},
  number={1},
  pages={27--36},
  year={2012},
  publisher={SAGE Publications Sage CA: Los Angeles, CA}
}'</t>
  </si>
  <si>
    <t>While aggregate load for a region can be predicted with some accuracy, distribution feeder loads are less predictable, due to the smaller number of customers over which to average</t>
  </si>
  <si>
    <t>@article{rezaei2014packetized,
  title={Packetized plug-in electric vehicle charge management},
  author={Rezaei, Pooya and Frolik, Jeff and Hines, Paul DH},
  journal={IEEE Transactions on Smart Grid},
  volume={5},
  number={2},
  pages={642--650},
  year={2014},
  publisher={IEEE}
}'</t>
  </si>
  <si>
    <t>It is anticipated that the future garages, such as parking lots for office buildings or business districts, can also provide EV charging services and function as EV charging stations</t>
  </si>
  <si>
    <t>@article{ma2014optimal,
  title={Optimal charging of plug-in electric vehicles for a car-park infrastructure},
  author={Ma, Tan and Mohammed, Osama A},
  journal={IEEE Transactions on Industry Applications},
  volume={50},
  number={4},
  pages={2323--2330},
  year={2014},
  publisher={IEEE}
}'</t>
  </si>
  <si>
    <t>The charging efficiency significantly affects the charging duration in the actual charging process… the charging efficiency variation caused by the battery state of charge (SoC) change has not been thoroughly investigated</t>
  </si>
  <si>
    <t>While BEV drivers usually have only limited knowledge and understanding about the energy system (Biresselioglu et al., 2018)</t>
  </si>
  <si>
    <t>their willingness to charge flexibility (i.e., accept delayed charging) increases if the flexibility is used to integrate more renewable energies or reduces charging costs (Huber et al., 2019a)</t>
  </si>
  <si>
    <t>@article{biresselioglu2018electric,
  title={Electric mobility in Europe: A comprehensive review of motivators and barriers in decision making processes},
  author={Biresselioglu, Mehmet Efe and Kaplan, Melike Demirbag and Yilmaz, Barbara Katharina},
  journal={Transportation Research Part A: Policy and Practice},
  volume={109},
  pages={1--13},
  year={2018},
  publisher={Elsevier}
}'</t>
  </si>
  <si>
    <t>@article{jung2019goal,
  title={GOAL FRAMING IN SMART CHARGING-INCREASING BEV USERS’CHARGING FLEXIBILITY WITH DIGITAL NUDGES},
  author={Jung, Dominik and Schaule, Elisabeth and Weinhardt, Christof},
  year={2019}
}'</t>
  </si>
  <si>
    <t>CO2 savings are higher the more flexible BEC drivers are with their charging</t>
  </si>
  <si>
    <t>@article{huber2018waiting,
  title={Waiting for the sun-can temporal flexibility in BEV charging avoid carbon emissions?},
  author={Huber, Julian and Weinhardt, Christof},
  journal={Energy Informatics},
  volume={1},
  number={1},
  pages={115--126},
  year={2018},
  publisher={SpringerOpen}
}'</t>
  </si>
  <si>
    <t>It is likely that the majority of electric vehicle charging will be done at home – early observations show home charging accounts for 87% of charging sessions</t>
  </si>
  <si>
    <t>https://www.burges-salmon.com/-/media/files/publications/open-access/harnessing-the-electric-vehicle-revolution-regen-market-insight-series.pdf</t>
  </si>
  <si>
    <t>If the load is concentrated in a particular region, some transmission lines could be forced to carry currents above their rated limits, and the resistive losses in the high-voltage network would increase</t>
  </si>
  <si>
    <t>@article{crozier2020opportunity,
  title={The opportunity for smart charging to mitigate the impact of electric vehicles on transmission and distribution systems},
  author={Crozier, Constance and Morstyn, Thomas and McCulloch, Malcolm},
  journal={Applied Energy},
  volume={268},
  pages={114973},
  year={2020},
  publisher={Elsevier}
}'</t>
  </si>
  <si>
    <t>Appliance safety requires bus voltage to stay within +- 10% of the unitary voltage, so if the voltage drop increases too dramatically then an intervention by the network operator is required</t>
  </si>
  <si>
    <t>According to the EN 50160</t>
  </si>
  <si>
    <t>The behavior of consumers living in the same area is likely to be correlated [13], so the local diversity may be less than the national diversity</t>
  </si>
  <si>
    <t>@article{piras1998local,
  title={Local linear correlation analysis with the SOM},
  author={Piras, Antonio and Germond, Alain},
  journal={Neurocomputing},
  volume={21},
  number={1-3},
  pages={79--90},
  year={1998},
  publisher={Elsevier}
}'</t>
  </si>
  <si>
    <t>In practice a single objective must be chosen for smart charging – so it will not be possible to achieve these optimal scenarios simultaneously. This may have serious implications when it comes to smart charging, because optimizing charging for one level of the system may have a detrimental effect on operation at the other level</t>
  </si>
  <si>
    <t>\cite{crozier2020opportunity}</t>
  </si>
  <si>
    <t>In slow charging, the charging time from zero to the full capacity … is estimated to be between 4 and 9h</t>
  </si>
  <si>
    <t>@article{mwasilu2014electric,
  title={Electric vehicles and smart grid interaction: A review on vehicle to grid and renewable energy sources integration},
  author={Mwasilu, Francis and Justo, Jackson John and Kim, Eun-Kyung and Do, Ton Duc and Jung, Jin-Woo},
  journal={Renewable and sustainable energy reviews},
  volume={34},
  pages={501--516},
  year={2014},
  publisher={Elsevier}
}'</t>
  </si>
  <si>
    <t>Without proper coordination, the coincidence between peaks of EV and non-EV load will require investment in generation, transmission, and distribution, in order to maintain the reliability of the power grid</t>
  </si>
  <si>
    <t>@article{yang2014risk,
  title={Risk-aware day-ahead scheduling and real-time dispatch for electric vehicle charging},
  author={Yang, Lei and Zhang, Junshan and Poor, H Vincent},
  journal={IEEE Transactions on Smart Grid},
  volume={5},
  number={2},
  pages={693--702},
  year={2014},
  publisher={IEEE}
}'</t>
  </si>
  <si>
    <t>The day-ahead market produces financially binding schedules for the energy generation and consumption one day before the operating day; and the real-time market is used to achieve a balance between the energy amount scheduled day-ahead and the real-time load</t>
  </si>
  <si>
    <t>\cite{yang2014risk}</t>
  </si>
  <si>
    <t>People tend to go to work and return home at specific times mainly around 8 AM and 5 PM, respectively. These habits put a significant load on the grid specifically in the morning and early in the evening</t>
  </si>
  <si>
    <t>@article{abousleiman2015smart,
  title={Smart charging: System design and implementation for interaction between plug-in electric vehicles and the power grid},
  author={Abousleiman, Rami and Scholer, Richard},
  journal={IEEE Transactions on transportation electrification},
  volume={1},
  number={1},
  pages={18--25},
  year={2015},
  publisher={IEEE}
}'</t>
  </si>
  <si>
    <t>Large-scale PEV adoption can cause residential transformer overloading because people generally arrive home and plug-in their vehicles near the same time, producing large demand loads that exceed the limits that the current grid infrastructure was designed for</t>
  </si>
  <si>
    <t>@article{smith2021electric,
  title={Electric Vehicle Charging via Machine-Learning Pattern Recognition},
  author={Smith, Theron and Garcia, Joseph and Washington, Gregory},
  journal={Journal of Energy Engineering},
  volume={147},
  number={5},
  pages={04021035},
  year={2021},
  publisher={American Society of Civil Engineers}
}'</t>
  </si>
  <si>
    <t>IEEE c57.91 standard [20] … This protocol could extend transformer life further if all transformer demands are optimized instead of focusing on transformers with demands that exceed operational limits</t>
  </si>
  <si>
    <t>@ARTICLE{6166928,
  author={},
  journal={IEEE Std C57.91-2011 (Revision of IEEE Std C57.91-1995)}, 
  title={IEEE Guide for Loading Mineral-Oil-Immersed Transformers and Step-Voltage Regulators}, 
  year={2012},
  volume={},
  number={},
  pages={1-123},
  doi={10.1109/IEEESTD.2012.6166928}}'</t>
  </si>
  <si>
    <t>Deep charging and discharging will greatly affect the life of EV’s battery [12], if only the cost of grid is taken into consideration while the cost to EV users is neglected while conducting the calculation, the results might be unrealistic and unacceptable for EV users</t>
  </si>
  <si>
    <t>@article{yilmaz2012review,
  title={Review of the impact of vehicle-to-grid technologies on distribution systems and utility interfaces},
  author={Yilmaz, Murat and Krein, Philip T},
  journal={IEEE Transactions on power electronics},
  volume={28},
  number={12},
  pages={5673--5689},
  year={2012},
  publisher={IEEE}
}'</t>
  </si>
  <si>
    <t>Recent reports, pointed out that the chargers in the charging station have long idle with low utilization rate, (e.g., average utilization rate of chargers in Chine in 2019 is less than 5%), which greatly dampens the enthusiasm for investment in the expansion of charging facilities</t>
  </si>
  <si>
    <t>@misc{kpmgreport,
  author       = {KPMG},
  title        = {Sinocharged: The bright future of China’s electric vehicle market},
  howpublished = \url{https://assets.kpmg/content/dam/kpmg/cn/pdf/en/2021/01/2020-china-leading-autotech-50.pdf},
  year         = {2021},
  note         = {Accessed 16-08-2022}
}'</t>
  </si>
  <si>
    <t>ToU electricity prices reflect the state of the grid, flexible EV charging scheduling methods can smooth the peak load and support the valley load, which can reduce the impact of large-scale EVs charging on the power grid</t>
  </si>
  <si>
    <t>@article{gupta2017multiaggregator,
  title={Multiaggregator collaborative electric vehicle charge scheduling under variable energy purchase and EV cancelation events},
  author={Gupta, Vishu and Konda, Srikanth Reddy and Kumar, Rajesh and Panigrahi, Bijaya Ketan},
  journal={IEEE Transactions on Industrial Informatics},
  volume={14},
  number={7},
  pages={2894--2902},
  year={2017},
  publisher={IEEE}
}'</t>
  </si>
  <si>
    <t>Scheduling the charging power trajectory to the daily renewable generation curve can provide an economic operation of the power grids</t>
  </si>
  <si>
    <t>@article{cai2018day,
  title={Day-ahead optimal charging/discharging scheduling for electric vehicles in microgrids},
  author={Cai, Hui and Chen, Qiyu and Guan, Zhijian and Huang, Junhui},
  journal={Protection and Control of Modern Power Systems},
  volume={3},
  number={1},
  pages={1--15},
  year={2018},
  publisher={Springer}
}'</t>
  </si>
  <si>
    <t>The reduction in the literature of the electrical system’s management to one type of operator is particularly unrealistic</t>
  </si>
  <si>
    <t>A way to consider battery health should be to assign a different charging power limit to each EV class depending on its initial SoC</t>
  </si>
  <si>
    <t>\cite{sohet2021hierarchical}</t>
  </si>
  <si>
    <t>PEV demand can be considered flexible since most vehicles are parked for a long time and most trips do not require the full capacity of the PEV battery</t>
  </si>
  <si>
    <t>The aggregator is envisaged to directly or indirectly manage vehicle charging [11], e.g., to minimize charging costs, but also to provide ancillary services to the grid [9], such as regulating power</t>
  </si>
  <si>
    <t>@article{galus2019role,
  title={The role of electric vehicles in smart grids},
  author={Galus, Matthias D and Vay{\'a}, Marina Gonz{\'a}lez and Krause, Thilo and Andersson, G{\"o}ran},
  journal={Advances in Energy Systems: The Large-scale Renewable Energy Integration Challenge},
  pages={245--264},
  year={2019},
  publisher={Wiley Online Library}
}'</t>
  </si>
  <si>
    <t>For large fleets, it is not computationally tractable to simultaneously optimize the charging of each individual vehicle. Therefore, an aggregation model is needed to condense driving pattern information into a form that can be used in the aggregator’s cost optimization</t>
  </si>
  <si>
    <t>\cite{vaya2014optimal}</t>
  </si>
  <si>
    <t>Wind turbines and photovoltaic power outputs respectively obey the Beta distribution and the Weibull distribution</t>
  </si>
  <si>
    <t>@article{li2018optimal,
  title={Optimal scheduling of an isolated microgrid with battery storage considering load and renewable generation uncertainties},
  author={Li, Yang and Yang, Zhen and Li, Guoqing and Zhao, Dongbo and Tian, Wei},
  journal={IEEE Transactions on Industrial Electronics},
  volume={66},
  number={2},
  pages={1565--1575},
  year={2018},
  publisher={IEEE}
}'</t>
  </si>
  <si>
    <t>In practice, the grid cannot force the users to charge or not, so the charging requirements of different users are difficult to coordinate, especially with a large population of EVs</t>
  </si>
  <si>
    <t>Subsection</t>
  </si>
  <si>
    <t>Subsubsection</t>
  </si>
  <si>
    <t>Preliminaries</t>
  </si>
  <si>
    <t>Formulation approaches</t>
  </si>
  <si>
    <t>TCC and PCC</t>
  </si>
  <si>
    <t>Modelling point of views</t>
  </si>
  <si>
    <t>Centralized modelling</t>
  </si>
  <si>
    <t>Decentralized modelling</t>
  </si>
  <si>
    <t>Aggregator-assisted modelling</t>
  </si>
  <si>
    <t>Problem classifications</t>
  </si>
  <si>
    <t>Single station</t>
  </si>
  <si>
    <t>Problem statement</t>
  </si>
  <si>
    <t>Objective function</t>
  </si>
  <si>
    <t>Main constraints</t>
  </si>
  <si>
    <t>Related algorithms</t>
  </si>
  <si>
    <t>Bibliometric analysis</t>
  </si>
  <si>
    <t>Multi-station</t>
  </si>
  <si>
    <t>Power grid</t>
  </si>
  <si>
    <t>Resources</t>
  </si>
  <si>
    <t>Data</t>
  </si>
  <si>
    <t>Arrival and departure times</t>
  </si>
  <si>
    <t>Initial and desired SoC</t>
  </si>
  <si>
    <t>Algorithms</t>
  </si>
  <si>
    <t>List</t>
  </si>
  <si>
    <t xml:space="preserve">Introduction -  - </t>
  </si>
  <si>
    <t>Problem classifications - Power grid - Main constraints</t>
  </si>
  <si>
    <t>Formulation approaches - Modelling point of views - Decentralized modelling</t>
  </si>
  <si>
    <t>Resources - Driving pattern - Arrival and departure times</t>
  </si>
  <si>
    <t xml:space="preserve">Formulation approaches -  - </t>
  </si>
  <si>
    <t xml:space="preserve">Formulation approaches - TCC and PCC - </t>
  </si>
  <si>
    <t>Renewable energies</t>
  </si>
  <si>
    <t xml:space="preserve">Introduction - Renewable energies - </t>
  </si>
  <si>
    <t xml:space="preserve">Problem classifications -  - </t>
  </si>
  <si>
    <t>Formulation approaches - Modelling point of views - Aggregator-assisted modelling</t>
  </si>
  <si>
    <t>Formulation approaches - Modelling point of views - Centralized modelling</t>
  </si>
  <si>
    <t xml:space="preserve">Resources - Driving pattern - </t>
  </si>
  <si>
    <t xml:space="preserve">Problem classifications - Power grid - </t>
  </si>
  <si>
    <t>Formulation approaches - TCC and PCC - Preemptive charging</t>
  </si>
  <si>
    <t>Charging coordination is an important demand response (DR) strategy, in which electricity price plays a decisive role to motivate EV owners to participate</t>
  </si>
  <si>
    <t>Battery related issues</t>
  </si>
  <si>
    <t xml:space="preserve">Formulation approaches - Battery related issues - </t>
  </si>
  <si>
    <t xml:space="preserve">Formulation approaches - Driver behavior - </t>
  </si>
  <si>
    <t xml:space="preserve">Formulation approaches - MPC - </t>
  </si>
  <si>
    <t>Problem classifications - Single station - Main constraints</t>
  </si>
  <si>
    <t>@article{yilmaz2012review,
  title={Review of battery charger topologies, charging power levels, and infrastructure for plug-in electric and hybrid vehicles},
  author={Yilmaz, Murat and Krein, Philip T},
  journal={IEEE transactions on Power Electronics},
  volume={28},
  number={5},
  pages={2151--2169},
  year={2012},
  publisher={IEEE}
}'</t>
  </si>
  <si>
    <t>There are three power level types. Levels 1 and 2, often called “slow charging”, usually correspond to residential use and Level 3 for commercial use.</t>
  </si>
  <si>
    <t>A DC EVSE costs seven times more than an AC EVSE</t>
  </si>
  <si>
    <t>\cite{voss2021company}</t>
  </si>
  <si>
    <t>Current fast charging stations take around 2-3 hours to fully charge an EV</t>
  </si>
  <si>
    <t>Current infrastructure</t>
  </si>
  <si>
    <t xml:space="preserve">Introduction - Current infrastructure - </t>
  </si>
  <si>
    <t>Mode 3 is the current standard for EVSE at business locations</t>
  </si>
  <si>
    <t>Electricity supply is commonly divided into three stages: generation, transmission, and distribution</t>
  </si>
  <si>
    <t>Energy supply</t>
  </si>
  <si>
    <t>Dictionary</t>
  </si>
  <si>
    <t xml:space="preserve">Preliminaries - Dictionary - </t>
  </si>
  <si>
    <t xml:space="preserve">Preliminaries - Pricing - </t>
  </si>
  <si>
    <t xml:space="preserve">Preliminaries - Energy supply - </t>
  </si>
  <si>
    <t>It is the time between the arrival of the EV and the lattest charging time before departure (to get the desired SoC)</t>
  </si>
  <si>
    <t>Battery health, state of the battery.</t>
  </si>
  <si>
    <t>Battery</t>
  </si>
  <si>
    <t>Vehicle</t>
  </si>
  <si>
    <t>Charging</t>
  </si>
  <si>
    <t>Other</t>
  </si>
  <si>
    <t>Charging efficiency</t>
  </si>
  <si>
    <t>Modelling</t>
  </si>
  <si>
    <t>ToU</t>
  </si>
  <si>
    <t>Formulation</t>
  </si>
  <si>
    <t>Latex</t>
  </si>
  <si>
    <t>Security of supply is one of the three core dimensions which make up the World Energy Council’s definition of energy sustainability – often referred to as the Energy Trilemma [35]. The other two are energy equity (which defines the electricity cost and how fairly it is shared) and environmental sustainability (which covers the carbon intensity of the system)</t>
  </si>
  <si>
    <t>https://www.worldenergy.org/publications/entry/world-energy-trilemma-index-2019</t>
  </si>
  <si>
    <t>Charging station location can be categorized as residential, workplace, or public charging stations (PCSs) [3,4]</t>
  </si>
  <si>
    <t>Charging equipment, Connector</t>
  </si>
  <si>
    <t>Charging pile</t>
  </si>
  <si>
    <t>It is the cable to connect the EV to the charging pile where the power energy flows through.</t>
  </si>
  <si>
    <t>Electric vehicle supply equipement port</t>
  </si>
  <si>
    <t>EVSE port</t>
  </si>
  <si>
    <t>It the plug where the EVSE is plugged-in.</t>
  </si>
  <si>
    <t>Charging spot, Charging post, Charging point, Charging outlet, Customer point of charge (CPOC), Charging socket, Charging hub, Charging machine, EV charger, Smart charger, Charging machine, EVSE port</t>
  </si>
  <si>
    <t>Charging port</t>
  </si>
  <si>
    <t>Electric vehicle supply equiment</t>
  </si>
  <si>
    <t>@misc{afdc2019,
  author       = {US Department of Energy},
  title        = {Developing infrastructure to charge plug-in electric vehicles},
  howpublished = {\url{https://afdc.energy.gov/fuels/electricity_infrastructure.html}},
  year         = {2019},
  note         = {Online; Accessed on 18th, August 2022}
}'</t>
  </si>
  <si>
    <t>In non-preemptive charging, the aggregator is supposed to control only the starting time, as the charging scheduling depends only on the charging start time, which restricts flexibility in charging control</t>
  </si>
  <si>
    <t>Formulation approaches - TCC and PCC - Non-preemptive charging</t>
  </si>
  <si>
    <t>\cite{han2017optimal}</t>
  </si>
  <si>
    <t>Frequency regulation and peak load shaving at power rates typical for vehicle charging and discharging will not significantly accelerate battery degradation in comparison to the degradation incurred from driving and calendar aging</t>
  </si>
  <si>
    <t>De Vroey et al. sets an experiment by using charging at 16 kW and at 50 kW (DC fast charging for several months and found similar battery capacity degradation)</t>
  </si>
  <si>
    <t>Selected</t>
  </si>
  <si>
    <t>Pending</t>
  </si>
  <si>
    <t>Battery degradation</t>
  </si>
  <si>
    <t>Charging time</t>
  </si>
  <si>
    <t>EVs</t>
  </si>
  <si>
    <t>Fleet</t>
  </si>
  <si>
    <t>Type</t>
  </si>
  <si>
    <t>RESs</t>
  </si>
  <si>
    <t>Modeling</t>
  </si>
  <si>
    <t>AU location</t>
  </si>
  <si>
    <t>Environment</t>
  </si>
  <si>
    <t>Dispatching</t>
  </si>
  <si>
    <t>Benchmark algorithms</t>
  </si>
  <si>
    <t>Comparision of Smart Charging Strategies from Multiple Stakeholder's Perception</t>
  </si>
  <si>
    <t>PCC (Preemptive and Non-preemptive)</t>
  </si>
  <si>
    <t>Time-varying (ToU)</t>
  </si>
  <si>
    <t>Aggregator-assisted</t>
  </si>
  <si>
    <t>Reason</t>
  </si>
  <si>
    <t>Removing phase</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</si>
  <si>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</si>
  <si>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</si>
  <si>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</si>
  <si>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</si>
  <si>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</si>
  <si>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</si>
  <si>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</si>
  <si>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</si>
  <si>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</si>
  <si>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</si>
  <si>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</si>
  <si>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</si>
  <si>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</si>
  <si>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</si>
  <si>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</si>
  <si>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</si>
  <si>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</si>
  <si>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</si>
  <si>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</si>
  <si>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</si>
  <si>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</si>
  <si>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</si>
  <si>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</si>
  <si>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</si>
  <si>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</si>
  <si>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</si>
  <si>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</si>
  <si>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</si>
  <si>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</si>
  <si>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</si>
  <si>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</si>
  <si>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</si>
  <si>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</si>
  <si>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</si>
  <si>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</si>
  <si>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</si>
  <si>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</si>
  <si>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</si>
  <si>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</si>
  <si>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</si>
  <si>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</si>
  <si>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</si>
  <si>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</si>
  <si>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</si>
  <si>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</si>
  <si>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</si>
  <si>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</si>
  <si>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</si>
  <si>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</si>
  <si>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</si>
  <si>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</si>
  <si>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</si>
  <si>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</si>
  <si>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</si>
  <si>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</si>
  <si>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</si>
  <si>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</si>
  <si>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</si>
  <si>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</si>
  <si>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</si>
  <si>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</si>
  <si>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</si>
  <si>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</si>
  <si>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</si>
  <si>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</si>
  <si>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</si>
  <si>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</si>
  <si>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</si>
  <si>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</si>
  <si>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</si>
  <si>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Inclusion</t>
  </si>
  <si>
    <t>OK</t>
  </si>
  <si>
    <t>J</t>
  </si>
  <si>
    <t>Kuran, MS; Viana, AC; Iannone, L; Kofman, D; Mermoud, G; Vasseur, JP</t>
  </si>
  <si>
    <t/>
  </si>
  <si>
    <t>A Smart Parking Lot Management System for Scheduling the Recharging of Electric Vehicles</t>
  </si>
  <si>
    <t>Article</t>
  </si>
  <si>
    <t>DISPATCH; DEMAND; ENERGY</t>
  </si>
  <si>
    <t>NOV</t>
  </si>
  <si>
    <t>10.1109/TSG.2015.2403287</t>
  </si>
  <si>
    <t>It just runs simulations without any coordinated charging scheduling</t>
  </si>
  <si>
    <t>Body</t>
  </si>
  <si>
    <t>Leemput, N; Geth, F; Van Roy, J; Delnooz, A; Buscher, J; Driesen, J</t>
  </si>
  <si>
    <t>Leemput, Niels; Geth, Frederik; Van Roy, Juan; Delnooz, Annelies; Buescher, Jeroen; Driesen, Johan</t>
  </si>
  <si>
    <t>Impact of Electric Vehicle On-Board Single-Phase Charging Strategies on a Flemish Residential Grid</t>
  </si>
  <si>
    <t>Coordinated charging; electric vehicles; smart grids</t>
  </si>
  <si>
    <t>DEMAND-SIDE MANAGEMENT; INTEGRATION</t>
  </si>
  <si>
    <t>This paper quantifies the impact of single-phase on-board charging strategies for electric vehicles (EVs) in a case study of a heavily loaded unbalanced Flemish three-phase low-voltage residential grid. Voltage droop charging and EV-based peak shaving, which do not need communication with the distribution grid, are modeled and the results are compared. The grid voltages are analyzed according to the probabilistic and deterministic limits of the EN50160 standard, for a 100% EV penetration rate. The impact on the EV user comfort is evaluated in terms of charging time and electrically driven distances. The chosen voltage droop charging eliminates critical voltages below 0.85 pu and reduces voltage unbalance, with a limited impact on the total charging time. EV-based peak shaving makes the grid fully compliant with EN50160 and avoids the need for an infrastructure upgrade. The electrically driven distances are not influenced by the charging strategies.</t>
  </si>
  <si>
    <t>JUL</t>
  </si>
  <si>
    <t>10.1109/TSG.2014.2307897</t>
  </si>
  <si>
    <t>Stand-by</t>
  </si>
  <si>
    <t>Dorokhova, M; Vianin, J; Alder, JM; Ballif, C; Wyrsch, N; Wannier, D</t>
  </si>
  <si>
    <t>Dorokhova, Marina; Vianin, Jeremie; Alder, Jean-Marie; Ballif, Christophe; Wyrsch, Nicolas; Wannier, David</t>
  </si>
  <si>
    <t>A Blockchain-Supported Framework for Charging Management of Electric Vehicles</t>
  </si>
  <si>
    <t>blockchain; electric vehicles; Ethereum; electric vehicle charging; smart community</t>
  </si>
  <si>
    <t>INTERNET; SCHEME</t>
  </si>
  <si>
    <t>Profound changes driven by decarbonization, decentralization, and digitalization are disrupting the energy industry, bringing new challenges to its key stakeholders. In the attempt to address the climate change issue, increasing penetration of renewables and mobility electrification augment the complexity of the electric grid, thus calling for new management approaches to govern energy exchanges while ensuring reliable and secure operations. The emerging blockchain technology is regarded as one of the most promising solutions to respond to the matter in a decentralized, efficient, fast, and secure way. In this work, we propose an Ethereum-based charging management framework for electric vehicles (EVs), tightly interlinked with physical and software infrastructure and implemented in a real-world demonstration site. With a specifically designed solidity-based smart contract governing the charging process, the proposed framework enables secure and reliable accounting of energy exchanges in a network of trustless peers, thus facilitating the EVs' deployment and encouraging the adoption of blockchain technology for everyday tasks such as EV charging through private and semi-private charging infrastructure. The results of a multi-actor implementation case study in Switzerland demonstrate the feasibility of the proposed blockchain framework and highlight its potential to reduce costs in a typical EV charging business model. Moreover, the study shows that the suggested framework can speed up the charging and billing processes for EV users, simplify the access to energy markets for charging station owners, and facilitate the interaction between the two through specifically designed mobile and web applications. The implementation presented in this paper can be used as a guideline for future blockchain applications for EV charging and other smart grid projects.</t>
  </si>
  <si>
    <t>10.3390/en14217144</t>
  </si>
  <si>
    <t>Zhou, KL; Cheng, LX; Wen, LL; Lu, XH; Ding, T</t>
  </si>
  <si>
    <t>The uncoordinated charging of large amounts of electric vehicles (EVs) can lead to a substantial surge of peak loads, which will further influence the operation of power system. Therefore, this study proposed a coordinated charging scheduling method for EVs in microgrid to shift load demand from peak period to valley period. In the proposed method, the charging mode of EVs was selected based on a charging urgency indicator, which can reflect different charging demand. Then, a coordinated charging scheduling optimization model was established to minimize the overall peak-valley load difference. Various constraints were considered for slow-charging EVs, fast-charging EVs, and microgrid operation. Furthermore, Monte Carlo Simulation (MCS) was used to simulate the randomness of EVs. The results have shed light on both the charging modes selection for EV owners and peak shaving and valley filling for microgrid operation. As a result, this model can support more friendly power supply-demand interaction to accommodate the increasing penetration of EVs and the rapid development of flexible microgrid. (c) 2020 Elsevier Ltd. All rights reserved.</t>
  </si>
  <si>
    <t>DEC 15</t>
  </si>
  <si>
    <t>10.1016/j.energy.2020.118882</t>
  </si>
  <si>
    <t>Hajforoosh, S; Masoum, MAS; Islam, SM</t>
  </si>
  <si>
    <t>PARTICLE SWARM OPTIMIZATION; POWER-SYSTEMS; ALGORITHM; STATE</t>
  </si>
  <si>
    <t>Participation of plug-in electric vehicles (PEVs) is expected to grow in emerging smart grids. A strategy to overcome potential grid overloading caused by large penetrations of PEVs is to optimize their battery charge-rates to fully explore grid capacity and maximize the customer satisfaction for all PEV owners. This paper proposes an online dynamically optimized algorithm for optimal variable charge-rate scheduling of PEVs based on coordinated aggregated particle swarm optimization (CAPSO). The online algorithm is updated at regular intervals of Delta t=5 min to maximize the customers' satisfactions for all PEV owners based on their requested plug-out times, requested battery state of charges (SOCReq) and willingness to pay the higher charging energy prices. The algorithm also ensures that the distribution transformer is not overloaded while grid losses and node voltage deviations are minimized. Simulation results for uncoordinated PEV charging as well as CAPSO with fixed charge-rate coordination (FCC) and variable charge-rate coordination (VCC) strategies are compared for a 449-node network with different levels of PEV penetrations. The key contributions are optimal VCC of PEVs considering battery modeling, chargers' efficiencies and customer satisfaction based on requested plug-out times, driving pattern, desired final SOCs and their interest to pay for energy at a higher rate. (C) 2016 Elsevier B.V. All rights reserved.</t>
  </si>
  <si>
    <t>DEC</t>
  </si>
  <si>
    <t>10.1016/j.epsr.2016.08.017</t>
  </si>
  <si>
    <t>Kececi, C; Ismail, M; Serpedin, E</t>
  </si>
  <si>
    <t>ELECTRIC VEHICLES</t>
  </si>
  <si>
    <t>10.1109/ACCESS.2021.3128399</t>
  </si>
  <si>
    <t>Zheng, YC; Shang, YT; Shao, ZY; Jian, LN</t>
  </si>
  <si>
    <t>MINIMIZING LOAD VARIANCE; DAY-AHEAD ENERGY; DISTRIBUTION NETWORKS; DISTRIBUTION-SYSTEMS; DEMAND; AGGREGATOR; IMPACT; PARTICIPATION; OPTIMIZATION; MANAGEMENT</t>
  </si>
  <si>
    <t>MAY 1</t>
  </si>
  <si>
    <t>10.1016/j.apenergy.2018.02.084</t>
  </si>
  <si>
    <t>Jian, LN; Zheng, YC; Shao, ZY</t>
  </si>
  <si>
    <t>DEMAND; MANAGEMENT</t>
  </si>
  <si>
    <t>With the rapid development of electric vehicles (EVs), the impacts on power grids arising from EV charging have drawn increasing attention worldwide. Uncoordinated charging of large-scale EVs will inevitably elevate load peaks at rush hours, therefore, poses serious challenges to the stability and security of power grid. Coordinated charging is expected to alleviate these negative impacts by utilizing the surplus power in the lower-demand hours with the help of the so-called valley filling algorithm. Nevertheless, when the amount of EVs involved reaches 1 million or above, the complexity of the scheduling method becomes a critical issue. In this paper, a very high efficient valley-filling strategy is proposed. Two key indexes, viz., capacity margin index and charging priority index are defined, the former one is used to select the target time slots on which the power grid has abundant surplus power for EV charging, and the latter one is used to determine the charging priority of EVs on each time slot. The simulation results demonstrate that the coordinated charging scheme with the proposed valley-filling strategy significantly outperforms the uncoordinated charging in the aspect of suppressing the elevated peak loads of power grid. Moreover, the complexity analysis shows that the proposed algorithm is much high-efficient than. its existing counterparts. (C) 2016 Elsevier Ltd. All rights reserved.</t>
  </si>
  <si>
    <t>JAN 15</t>
  </si>
  <si>
    <t>10.1016/j.apenergy.2016.10.117</t>
  </si>
  <si>
    <t>Liu, DQ; Wang, YN; Shen, YP</t>
  </si>
  <si>
    <t>DRIVE VEHICLES; POWER; INTEGRATION; SYSTEMS; RESERVE</t>
  </si>
  <si>
    <t>MAR</t>
  </si>
  <si>
    <t>10.3390/en9030186</t>
  </si>
  <si>
    <t>Frendo, O; Gaertner, N; Stuckenschmidt, H</t>
  </si>
  <si>
    <t>MANAGEMENT; STATION</t>
  </si>
  <si>
    <t>OCT</t>
  </si>
  <si>
    <t>10.1109/TITS.2020.2988648</t>
  </si>
  <si>
    <t>It is actually an application of other distributed coordination charge</t>
  </si>
  <si>
    <t>Vagropoulos, SI; Balaskas, GA; Bakirtzis, AG</t>
  </si>
  <si>
    <t>Vagropoulos, Stylianos I.; Balaskas, Georgios A.; Bakirtzis, Anastasios G.</t>
  </si>
  <si>
    <t>An Investigation of Plug-In Electric Vehicle Charging Impact on Power Systems Scheduling and Energy Costs</t>
  </si>
  <si>
    <t>Electric vehicles; electric vehicle aggregator; electricity market; marginal pricing; plug-in electric vehicles; price-taker; self-scheduling; smart charging; unit commitment</t>
  </si>
  <si>
    <t>AGGREGATOR; MARKETS</t>
  </si>
  <si>
    <t>This paper investigates the impact of plug-in electric vehicle (EV) integration on the power systems scheduling and energy cost. An intermediary entity, the EV aggregator, participates in the market on behalf of the EV owners by optimally self-scheduling under the price-taking approach. Through detailed rolling simulations for a year and different EVs' penetration scenarios at a large insular power system, this work highlights the different impact of direct and smart charging on power system scheduling and energy costs, the limitations of the price-taking approach, which is widely used in self-scheduling models, and the difference in system value and market value that smart charging adoption creates in restructured markets under the marginal pricing rule.</t>
  </si>
  <si>
    <t>MAY</t>
  </si>
  <si>
    <t>10.1109/TPWRS.2016.2609933</t>
  </si>
  <si>
    <t>It is a forecasting study</t>
  </si>
  <si>
    <t>Huber, J; Dann, D; Weinhardt, C</t>
  </si>
  <si>
    <t>Huber, Julian; Dann, David; Weinhardt, Christof</t>
  </si>
  <si>
    <t>Probabilistic forecasts of time and energy flexibility in battery electric vehicle charging</t>
  </si>
  <si>
    <t>Charging coordination; Demand-side flexibility; Electric vehicles; Probabilistic forecasts; Smart charging</t>
  </si>
  <si>
    <t>MODELING MARKET DIFFUSION; REGRESSION NEURAL-NETWORK; WORLD DRIVING DATA; DENSITY; SELECTION; PRICES; IMPACT</t>
  </si>
  <si>
    <t>Users charging the batteries of their electric vehicles in an uncoordinated manner can present energy systems with a challenge. One possible solution, smart charging, relies on the flexibility within each charging process and controls the charging process to optimize different objectives. Effective smart charging requires forecasts of energy requirements and parking duration at the charging station for each individual charging process. We use data from travel logs to create quantile forecasts of parking duration and energy requirements, approximated by upcoming trip distance. For this task, we apply quantile regression, multi-layer perceptrons with tilted loss function, and multivariate conditional kernel density estimators. The out-of-sample evaluation shows that the use of local information from the vehicle's travel data improves the forecasting accuracy by 13.7% for parking duration and 0.56% for trip distance compared to the data generated at the charging stations. In addition, the analysis of a case study shows that using probabilistic forecasts can control the interruption of charging processes more efficiently compared to point forecasts. Probabilistic forecasting leads up to 7.0% less interruptions, which can cause a restriction in drivers' mobility demand. The results show that charging station operators benefit from leveraging the driving patterns of electric vehicles. Thereby, smart charging and the application of the proposed models as benchmarks models for the related forecasting tasks is an improvement for the operators.</t>
  </si>
  <si>
    <t>MAR 15</t>
  </si>
  <si>
    <t>10.1016/j.apenergy.2020.114525</t>
  </si>
  <si>
    <t>Binetti, G; Davoudi, A; Naso, D; Turchiano, B; Lewis, FL</t>
  </si>
  <si>
    <t>ECONOMIC-DISPATCH; ALGORITHM</t>
  </si>
  <si>
    <t>SEP</t>
  </si>
  <si>
    <t>10.1109/TSG.2015.2396772</t>
  </si>
  <si>
    <t>It is a classification study</t>
  </si>
  <si>
    <t>Shafee, AA; Fouda, MM; Mahmoud, MMEA; Aljohani, AJ; Alasmary, W; Amsaad, F</t>
  </si>
  <si>
    <t>Shafee, Ahmed A.; Fouda, Mostafa M.; Mahmoud, Mohamed M. E. A.; Aljohani, Abdulah Jeza; Alasmary, Waleed; Amsaad, Fathi</t>
  </si>
  <si>
    <t>Detection of Lying Electrical Vehicles in Charging Coordination Using Deep Learning</t>
  </si>
  <si>
    <t>Detectors; Machine learning; Uncertainty; Optimization; Electric vehicle charging; Neural networks; Security; false data injection; charging coordination; electric vehicles; smart grid</t>
  </si>
  <si>
    <t>GENETIC ALGORITHM</t>
  </si>
  <si>
    <t>Because charging coordination is a solution for avoiding grid instability by prioritizing charging requests, electric vehicles may lie and send false data to illegally receive higher charging priorities. In this article, we first study the impact of such attacks on both the lying and honest electric vehicles. Our evaluations indicate that lying electric vehicles have a higher chance of charging, whereas honest electric vehicles may not be able to charge or may charge late. Then, an anomaly-based detector based on a deep neural network is devised to identify lying electric vehicles. The idea is that since each electric vehicle driver has a particular driving pattern, the data reported by the corresponding electric vehicle should follow this pattern, and any deviation due to reporting false data can be detected. To train the detector, we first create an honest dataset for the charging coordination application using real driving traces and information provided by an electric vehicle manufacturer, and we then propose a number of attacks as a basis for creating malicious data. We train and evaluate a gated recurrent unit model using this dataset. Our evaluations indicate that our detector can detect lying electric vehicles with high accuracy and a low false alarm rate even when tested on attacks that are not represented in the training dataset.</t>
  </si>
  <si>
    <t>10.1109/ACCESS.2020.3028097</t>
  </si>
  <si>
    <t>Kumar, KN; Sivaneasan, B; So, PL</t>
  </si>
  <si>
    <t>IMPROVE VOLTAGE PROFILE; MINIMIZE POWER LOSSES; DISTRIBUTION-SYSTEMS; ION BATTERY; TIME; MANAGEMENT; ALGORITHM; ENERGY</t>
  </si>
  <si>
    <t>10.1109/TTE.2015.2465293</t>
  </si>
  <si>
    <t>It considers battery swapping</t>
  </si>
  <si>
    <t>Xu, ZW; Su, WC; Hu, ZC; Song, YH; Zhang, HC</t>
  </si>
  <si>
    <t>Xu, Zhiwei; Su, Wencong; Hu, Zechun; Song, Yonghua; Zhang, Hongcai</t>
  </si>
  <si>
    <t>A Hierarchical Framework for Coordinated Charging of Plug-In Electric Vehicles in China</t>
  </si>
  <si>
    <t>Charging coordination; plug-in electric vehicles (PEVs); smart grid</t>
  </si>
  <si>
    <t>Plug-in electric vehicle (PEV) technology has drawn increasing amounts of attention in the last decade. As the world's largest automotive market, China has recently made the electrification of transportation central to its national strategic plan. Because of the unique nature of the vertically regulated power industry, China's massive deployment of PEVs has to face unique challenges that may not be encountered by any other country/region. Therefore, a comprehensive coordinated PEV charging scheme is urgently needed to facilitate the smooth grid integration of PEVs at all levels (e.g., transmission systems, distribution systems, and charging stations). This paper presents detailed mathematical modeling of a novel hierarchical framework for coordinated PEV charging at multiple timescales (i.e., day-ahead and real-time). The proposed three-level (e.g., provincial level, municipal level, and charging station level) PEV charging strategy jointly optimizes system load profile and charging costs while satisfying customer charging requirements. The interrelationships between various levels in terms of energy transaction and information exchange are clearly identified. Case studies on Guangdong Province, China, are carried out and simulation results demonstrate the effectiveness of our proposed hierarchical control framework in reducing system peak demand and charging costs.</t>
  </si>
  <si>
    <t>JAN</t>
  </si>
  <si>
    <t>10.1109/TSG.2014.2387436</t>
  </si>
  <si>
    <t>Ping, J; Yan, Z; Chen, SJ; Yao, LZ; Qian, MH</t>
  </si>
  <si>
    <t>Ping, Jian; Yan, Zheng; Chen, Sijie; Yao, Liangzhong; Qian, Minhui</t>
  </si>
  <si>
    <t>Coordinating EV Charging via Blockchain</t>
  </si>
  <si>
    <t>JOURNAL OF MODERN POWER SYSTEMS AND CLEAN ENERGY</t>
  </si>
  <si>
    <t>Electric vehicle (EV) charging coordination; collusion; blockchain; smart contract</t>
  </si>
  <si>
    <t>ELECTRIC VEHICLES; PRICING CONTROL; MANAGEMENT; SECURE</t>
  </si>
  <si>
    <t>The increasing electric vehicle (EV) penetration in a distribution network triggers the need for EV charging coordination. This paper firstly proposes a hierarchical EV charging coordination model and an algorithm based on Lagrangian relaxation. A barrier to the implementation of the coordination algorithm is that there usually does not exist a reliable coordinator of charging stations. This paper shows that an unreliable coordinator may collude with some charging stations and behave dishonestly by disobeying the coordination algorithm. Thus, the collusion coalition can gain more profits while lowering the profits of others and the total social welfare. To provide reliable coordination of charging stations, a novel blockchain-based coordination platform via Ethereum is established, including a coordination structure and a smart contract. A mathematical analysis is given to show that the proposed platform can mitigate the collusion behaviors in the coordination. Simulation results show the consequence of collusion and how blockchain can prevent the collusion.</t>
  </si>
  <si>
    <t>10.35833/mpce.2019.000393</t>
  </si>
  <si>
    <t>It uses reinforcement learning</t>
  </si>
  <si>
    <t>Viziteu, A; Furtuna, D; Robu, A; Senocico, S; Cioata, P; Baltariu, MR; Filote, C; Raboaca, MS</t>
  </si>
  <si>
    <t>Viziteu, Andrei; Furtuna, Daniel; Robu, Andrei; Senocico, Stelian; Cioata, Petru; Remus Baltariu, Marian; Filote, Constantin; Raboaca, Maria Simona</t>
  </si>
  <si>
    <t>Smart Scheduling of Electric Vehicles Based on Reinforcement Learning</t>
  </si>
  <si>
    <t>smart scheduling; smart reservations; reinforcement learning; electric vehicle charging; electric vehicle charging management platform; DQN Reinforcement Learning algorithm</t>
  </si>
  <si>
    <t>As the policies and regulations currently in place concentrate on environmental protection and greenhouse gas reduction, we are steadily witnessing a shift in the transportation industry towards electromobility. There are, though, several issues that need to be addressed to encourage the adoption of EVs on a larger scale, starting from enhancing the network interoperability and accessibility and removing the uncertainty associated with the availability of charging stations. Another issue is of particular interest for EV drivers travelling longer distances and is related to scheduling a recharging operation at the estimated time of arrival, without long queuing times. To this end, we propose a solution capable of addressing multiple EV charging scheduling issues, such as congestion management, scheduling a charging station in advance, and allowing EV drivers to plan optimized long trips using their EVs. The smart charging scheduling system we propose considers a variety of factors such as battery charge level, trip distance, nearby charging stations, other appointments, and average speed. Given the scarcity of data sets required to train the Reinforcement Learning algorithms, the novelty of the recommended solution lies in the scenario simulator, which generates the labelled datasets needed to train the algorithm. Based on the generated scenarios, we created and trained a neural network that uses a history of previous situations to identify the optimal charging station and time interval for recharging. The results are promising and for future work we are planning to train the DQN model using real-world data.</t>
  </si>
  <si>
    <t>10.3390/s22103718</t>
  </si>
  <si>
    <t>It handles cibersecurity</t>
  </si>
  <si>
    <t>Acharya, S; Dvorkin, Y; Pandzic, H; Karri, R</t>
  </si>
  <si>
    <t>Acharya, Samrat; Dvorkin, Yury; Pandzic, Hrvoje; Karri, Ramesh</t>
  </si>
  <si>
    <t>Cybersecurity of Smart Electric Vehicle Charging: A Power Grid Perspective</t>
  </si>
  <si>
    <t>Electric vehicle charging; Power grids; Computer security; Security; Computer crime; Protocols; HVAC; Cybersecurity; electric vehicles; electric vehicle charging stations; smart grids</t>
  </si>
  <si>
    <t>CYBER SECURITY; ATTACKS; THREATS</t>
  </si>
  <si>
    <t>With the roll-out of electric vehicles (EVs), the automobile industry is transitioning away from conventional gasoline-fueled vehicles. As a result, the EV charging demand is continuously growing and to meet this growing demand, various types of electric vehicle charging stations (EVCSs) are being deployed for commercial and residential use. This nexus of EVs, EVCSs, and power grids creates complex cyber-physical interdependencies that can be maliciously exploited to damage each of these components. This paper describes and analyzes cyber vulnerabilities that arise at this nexus and points to the current and emerging gaps in the security of the EV charging ecosystem. These vulnerabilities must be addressed as the number of EVs continue to grow worldwide and their impact on the power grid becomes more viable. The purpose of this paper is to list and characterize all backdoors that can be exploited to seriously harm either EV and EVCS equipments, or power grid, or both. The presented issues and challenges intend to ignite research efforts on cybersecurity of smart EV charging and enhancing power grid resiliency against such demand-side cyberattacks in general.</t>
  </si>
  <si>
    <t>10.1109/ACCESS.2020.3041074</t>
  </si>
  <si>
    <t>Zhang, JC; Jorgenson, J; Markel, T; Walkowicz, K</t>
  </si>
  <si>
    <t>Zhang, Jiucai; Jorgenson, Jennie; Markel, Tony; Walkowicz, Kevin</t>
  </si>
  <si>
    <t>Value to the Grid From Managed Charging Based on California's High Renewables Study</t>
  </si>
  <si>
    <t>Smart charging; electric vehicles; renewables</t>
  </si>
  <si>
    <t>DEMAND</t>
  </si>
  <si>
    <t>Managed charging of electric vehicle (EV) loads has the potential to use renewable energy more effectively, shave peak demand, and fill demand valleys while serving transportation needs. However, the potential value to the grid from managed charging has not been fully quantified. This paper adopts the tools used in the National Renewable Energy Laboratory's California Low Carbon Grid Study to quantify value to the grid from managed charging by using three levels of managed loads for 13 TW.h of annual load from threemillion EVs in a 2030 California grid scenario. Simulation results show that management of the EV fleet's aggregate load from unmanaged to 100% managed results in savings between $210 million and $660 million annually in generation system costs, depending on grid conditions. The simulation results also suggest that targeted EV supply equipment (EVSE) deployments at workplaces and other mid-day parking locations will be needed to support managed charging in a high-renewables California and enable the identified value to the grid. Although the value of generation to the grid from managed EV load paired with high renewables seems substantial, we estimate that the installed cost of an EVSE must be between $1000 and $3000 for a ten-year life to be cost neutral, depending on grid conditions.</t>
  </si>
  <si>
    <t>10.1109/TPWRS.2018.2872905</t>
  </si>
  <si>
    <t>It is a study of charging strategies</t>
  </si>
  <si>
    <t>Bitencourt, LD; Borba, BSMC; Dias, BH; Maciel, RS; Dias, DHN; Oliveira, LW</t>
  </si>
  <si>
    <t>Bitencourt, Leonardo de A.; Borba, Bruno S. M. C.; Dias, Bruno H.; Maciel, Renan S.; Dias, Daniel H. N.; Oliveira, Leonardo W.</t>
  </si>
  <si>
    <t>Electric Vehicles Charging Optimization to Improve the Insertion Considering the Brazilian Regulatory Framework</t>
  </si>
  <si>
    <t>ENERGY STORAGE</t>
  </si>
  <si>
    <t>coordinated charging control; dynamic pricing; electric vehicles</t>
  </si>
  <si>
    <t>Electric vehicles (EV) charging can impact the electrical grid by causing voltage imbalance, power quality disturbances, and transformer overloading. Nonetheless, price signals at coordinated charging are capable of performing energy management and mitigating the negative effects of EV charging. This may, therefore, stimulate the EVs to charge during the period of lower energy consumption. In this context, this work aims to analyze the electric vehicle charging impact on distribution transformer loading, considering smart meter real data. For the analysis, this paper creates scenarios considering two seasons of the year (summer and winter seasons); the real time pricing and time of use electric charging tariffs; and the uncoordinated and coordinated vehicle charge control methods. The results of this study also support the elaboration of public policies proposals for the transport sector in order to encourage investment in the area of electric mobility.</t>
  </si>
  <si>
    <t>AUG</t>
  </si>
  <si>
    <t>e76</t>
  </si>
  <si>
    <t>10.1002/est2.76</t>
  </si>
  <si>
    <t>It does not present a coordinated method</t>
  </si>
  <si>
    <t>Ke, JT; Cen, XK; Yang, H; Chen, XQ; Ye, JP</t>
  </si>
  <si>
    <t>Ke, Jintao; Cen, Xuekai; Yang, Hai; Chen, Xiqun; Ye, Jieping</t>
  </si>
  <si>
    <t>Modelling drivers' working and recharging schedules in a ride-sourcing market with electric vehicles and gasoline vehicles</t>
  </si>
  <si>
    <t>TRANSPORTATION RESEARCH PART E-LOGISTICS AND TRANSPORTATION REVIEW</t>
  </si>
  <si>
    <t>Ride-sourcing market; Electric vehicle; Working schedule; Recharging schedule; Time-expanded network</t>
  </si>
  <si>
    <t>PUBLIC CHARGING STATIONS; TAXI SERVICES; STRATEGIES; ROUTE</t>
  </si>
  <si>
    <t>Recently, electric vehicles (EVs) have been introduced to the ride-sourcing market, raising interesting issues on the interaction between EVs and the ride-sourcing market. This study proposes an analytical framework for understanding drivers' behavior in the ride-sourcing market with both EVs and gasoline vehicles (GVs). A time-expanded network is established to sketch out the schedules of working periods of both EV and GV drivers, and recharging schedules of EV drivers under the user equilibrium. The impacts of operating strategies of ride-sourcing platforms and electrical power suppliers on the benefits of different stakeholders are investigated both analytically and numerically.</t>
  </si>
  <si>
    <t>10.1016/j.tre.2019.03.010</t>
  </si>
  <si>
    <t>It addresses the problem of charging in highway</t>
  </si>
  <si>
    <t>Leone, C; Longo, M; Fernandez-Ramirez, LM</t>
  </si>
  <si>
    <t>Leone, Carola; Longo, Michela; Fernandez-Ramirez, Luis M.</t>
  </si>
  <si>
    <t>Optimal Size of a Smart Ultra-Fast Charging Station</t>
  </si>
  <si>
    <t>ELECTRONICS</t>
  </si>
  <si>
    <t>smart charging; electric vehicles; modular charging architecture</t>
  </si>
  <si>
    <t>DC-DC CONVERTERS; ELECTRIC VEHICLES; DESIGN; SYSTEM</t>
  </si>
  <si>
    <t>An ever-increasing penetration of electric vehicles (EVs) on the roads inevitably leads to an ever-stringent need for an adequate charging infrastructure. The emerging ultra-fast charging (UFC) technology has the potential to provide a refueling experience similar to that of gasoline vehicles; hence, it has a key role in enabling the adoption of EVs for medium-long distance travels. From the perspective of the UFC station, the differences existing in the EVs currently on the market make the sizing problem more challenging. A suitably conceived charging strategy can help to address these concerns. In this paper, we present a smart charging station concept that, through a modular DC/DC stage design, allows the split of the output power among the different charging ports. We model the issue of finding the optimal charging station as a single-objective optimization problem, where the goal is to find the number of modular shared DC/DC converters, and where the power rate of each module ensures the minimum charging time and charging cost. Simulation results show that the proposed solution could significantly reduce the required installed power. In particular, they prove that with an installed power of 800 kW it is possible to satisfy the needs of a UFC station composed of 10 charging spots.</t>
  </si>
  <si>
    <t>10.3390/electronics10232887</t>
  </si>
  <si>
    <t>This paper present a method but there is no details on the method itself. It is more a schematic study or something like that (weird).</t>
  </si>
  <si>
    <t>Guerrero, JI; Personal, E; Garcia, A; Parejo, A; Perez, F; Leon, C</t>
  </si>
  <si>
    <t>Guerrero, J. I.; Personal, Enrique; Garcia, Antonio; Parejo, Antonio; Perez, Francisco; Leon, Carlos</t>
  </si>
  <si>
    <t>Distributed Charging Prioritization Methodology Based on Evolutionary Computation and Virtual Power Plants to Integrate Electric Vehicle Fleets on Smart Grids</t>
  </si>
  <si>
    <t>smart grids; vehicle-to-grid; electric vehicles; charging optimization; electric vehicle fleets; evolutionary computation</t>
  </si>
  <si>
    <t>ENERGY-CONSUMPTION; QUEUING THEORY; HYBRID; MANAGEMENT; INFRASTRUCTURE; OPTIMIZATION; PERFORMANCE; PREDICTION; BATTERIES; SYSTEMS</t>
  </si>
  <si>
    <t>Electric vehicle fleets and smart grids are two growing technologies. These technologies have provided new possibilities to reduce pollution and increase energy efficiency. In this sense, electric vehicles are used as mobile loads in the power grid. A distributed charging prioritization methodology is proposed in this paper. The solution is based on the concept of virtual power plants and the usage of evolutionary computation algorithms. Additionally, a comparison of several evolutionary algorithms-namely genetic algorithm, genetic algorithm with evolution control, particle swarm optimization, and hybrid solution-is shown, in order to evaluate the proposed architecture. The proposed solution is presented as a means to prevent overload of the power grid.</t>
  </si>
  <si>
    <t>JUN 2</t>
  </si>
  <si>
    <t>10.3390/en12122402</t>
  </si>
  <si>
    <t>It presents two algorithms, but it lacks of several important details and so it turns out to be a bad quality paper (it was a single charging station problem)</t>
  </si>
  <si>
    <t>Cao, YH; Qian, SY; Zhu, WD; Cao, J; Xue, GT; Zhu, YM; Li, ML</t>
  </si>
  <si>
    <t>Cao, Yanhua; Qian, Shiyou; Zhu, Weidong; Cao, Jian; Xue, Guangtao; Zhu, Yanmin; Li, Minglu</t>
  </si>
  <si>
    <t>Online charging coordination of electric vehicles to optimize cost and smoothness</t>
  </si>
  <si>
    <t>PERVASIVE AND MOBILE COMPUTING</t>
  </si>
  <si>
    <t>Electric vehicles; Online charging schedule; Cost; Smoothness</t>
  </si>
  <si>
    <t>A large number of electric vehicles (EVs) operating in cities result in huge charging demands. For a charging station, it is important to balance between the charging cost and the future maintenance cost. In this paper, we present two bi-objective optimization models for optimizing charging cost and maintenance cost. From the perspective of maintenance cost, we consider to smooth the charging rate of the whole charging station and the charging rate of each charging port. Based on the two optimization models, we propose two heuristic online charging coordination algorithms called OCC-CSS (Cost and Station Smooth) and OCC-CPS (Cost and Port Smooth) to schedule the charging rate of EVs respectively. To evaluate their effectiveness, a series of simulations are conducted based on a real-world charging dataset of EVs. The results show that the two algorithms can achieve a nice trade-off between cost and smoothness, while keeping the ratio of service rejection near zero. Meanwhile, OCC-CPS achieves a better trade-off between cost and smoothness than OCC-CSS. (C) 2021 Elsevier B.V. All rights reserved.</t>
  </si>
  <si>
    <t>JUN</t>
  </si>
  <si>
    <t>10.1016/j.pmcj.2021.101391</t>
  </si>
  <si>
    <t>APR 2021</t>
  </si>
  <si>
    <t>Jang, HS; Bae, KY; Jung, BC; Sung, DK</t>
  </si>
  <si>
    <t>DEMAND; IMPACT; INTEGRATION; MANAGEMENT; STRATEGY; ENERGY; MODEL</t>
  </si>
  <si>
    <t>In future apartment complexes, high penetration of electric vehicles (EVs) may cause to significantly increase electricity load at certain times, and the demand for uncoordinated EV charging power may significantly affect the stability of the apartment-level power grid. In order to efficiently accommodate the significant charging demand from a large number of EVs in apartment complexes, we propose an apartment-level EV charging coordination scheme to not only reduce the peak EV charging load but also minimize the apartment-level EV charging payment, and then we validate it through various case studies. To be specific, we compare the performance of the proposed EV charging coordination scheme with that of a typical as soon-as-possible (ASAP) charging scheme and a random charging scheme in terms of peak-to-average power ratio (PAPR), relative charging duration (RCD), and total charging payment. It is observed that the proposed coordination scheme manages the apartment-level power grid more stable, and EV owners in this apartment level power grid can obtain economic benefits by participating in the EV charging coordination. (c) 2020 Elsevier B.V. All rights reserved.</t>
  </si>
  <si>
    <t>SEP 15</t>
  </si>
  <si>
    <t>10.1016/j.enbuild.2020.110155</t>
  </si>
  <si>
    <t>Salah, F; Ilg, JP; Flath, CM; Basse, H; van Dinther, C</t>
  </si>
  <si>
    <t>DEMAND; MODEL; LOAD</t>
  </si>
  <si>
    <t>An increasing number of electric vehicles (EVs) will have a significant impact on the electricity grids. For target grid planning, it is essential to identify and quantify this impact in terms of local infrastructure overloads. We study the impact of EV charging loads on Swiss distribution substations under different penetration levels and pricing regimes. Unlike mainly conceptual studies focusing on generic distribution grids, we use real data driving profiles matched to regional circumstances, Swiss substation capacity and load data in the high-voltage grid together with electricity prices as the main data inputs. To reflect current regulation and contracting schemes, we apply decentral decision-making instead of central control. The results indicate that under a flat electricity tariff and EV penetration levels around 16% the current substation capacity will be sufficient to cover additional EV charging load. However, beyond penetration levels of 50% an increasing number of substations will be overloaded. More significantly, the introduction of dynamic electricity prices can further increase the risk of substation overloads. These results show that EV charging loads can also cause bottlenecks on substations in the high-voltage grid. (C) 2014 Elsevier Ltd. All rights reserved.</t>
  </si>
  <si>
    <t>JAN 1</t>
  </si>
  <si>
    <t>10.1016/j.apenergy.2014.09.091</t>
  </si>
  <si>
    <t>D'hulst, R; De Ridder, F; Claessens, B; Knapen, L; Janssens, D</t>
  </si>
  <si>
    <t>DEMAND RESPONSE; INTEGRATION</t>
  </si>
  <si>
    <t>A method to coordinate the charging of electric vehicles to avoid network congestion issues is proposed. The novelty is that the proposed method uses both the temporal as well as the locational flexibility of the electric vehicles for coordination. Based on the vehicle behavior information (trajectories, parking places and duration, etc...), the algorithm assures that all vehicles can follow their planned trajectories and that power constraints on each car park are always met. The proposed method, a price-based coordination method, is ran in a decentralized way. As a consequence the responsibility for constructing the charging schedules is put solely with the vehicle owners, and the charging location managers need only to be concerned with the network congestion issues. Simulation results for 1000 EV's and 132 parking locations are presented and discussed. Copyright (c) 2014 John Wiley &amp; Sons, Ltd.</t>
  </si>
  <si>
    <t>10.1002/etep.1983</t>
  </si>
  <si>
    <t>Zhu, XJ; Han, HT; Gao, S; Shi, QX; Cui, HT; Zu, GQ</t>
  </si>
  <si>
    <t>SMART DISTRIBUTION NETWORKS; DEMAND; GENERATION; MANAGEMENT; SYSTEM; ENERGY; TIME</t>
  </si>
  <si>
    <t>10.1109/ACCESS.2018.2868606</t>
  </si>
  <si>
    <t>Literature review</t>
  </si>
  <si>
    <t>Shahriar, S; Al-Ali, AR; Osman, AH; Dhou, S; Nijim, M</t>
  </si>
  <si>
    <t>Shahriar, Sakib; Al-Ali, A. R.; Osman, Ahmed H.; Dhou, Salam; Nijim, Mais</t>
  </si>
  <si>
    <t>Machine Learning Approaches for EV Charging Behavior: A Review</t>
  </si>
  <si>
    <t>Review</t>
  </si>
  <si>
    <t>Electric vehicle charging; Charging stations; Prediction algorithms; Machine learning; Smart cities; Optimization; Electric vehicles; machine learning; smart city; smart transportation; big data</t>
  </si>
  <si>
    <t>ELECTRIC VEHICLES; POWER-SYSTEM; DEMAND; MODEL</t>
  </si>
  <si>
    <t>As the smart city applications are moving from conceptual models to development phase, smart transportation is one of smart cities applications and it is gaining ground nowadays. Electric Vehicles (EVs) are considered one of the major pillars of smart transportation applications. EVs are ever growing in popularity due to their potential contribution in reducing dependency on fossil fuels and greenhouse gas emissions. However, large-scale deployment of EV charging stations poses multiple challenges to the power grid and public infrastructure. To overcome the issue of prolonged charging time, the simple solution of deploying more charging stations to increase charging capacity does not work due to the strain on power grids and physical space limitations. Therefore, researchers have focused on developing smart scheduling algorithms to manage the demand for public charging using modeling and optimization. More recently, there has been a growing interest in data-driven approaches in modeling EV charging. Consequently, researchers are looking to identify consumer charging behavior pattern that can provide insights and predictive analytics capability. The purpose of this article is to provide a comprehensive review for the use of supervised and unsupervised Machine Learning as well as Deep Neural Networks for charging behavior analysis and prediction. Recommendations and future research directions are also discussed.</t>
  </si>
  <si>
    <t>10.1109/ACCESS.2020.3023388</t>
  </si>
  <si>
    <t>Yang, B; Li, JW; Han, QN; He, T; Chen, CL; Guan, XP</t>
  </si>
  <si>
    <t>RENEWABLE ENERGY; ALLOCATION; MANAGEMENT; DEMAND; SYSTEM</t>
  </si>
  <si>
    <t>DEC 1</t>
  </si>
  <si>
    <t>10.1109/TPDS.2016.2533614</t>
  </si>
  <si>
    <t>It is a behavioral study about when EV owners decide to charge.</t>
  </si>
  <si>
    <t>Daina, N; Sivakumar, A; Polak, JW</t>
  </si>
  <si>
    <t>Daina, Nicolo; Sivakumar, Aruna; Polak, John W.</t>
  </si>
  <si>
    <t>Electric vehicle charging choices: Modelling and implications for smart charging services</t>
  </si>
  <si>
    <t>TRANSPORTATION RESEARCH PART C-EMERGING TECHNOLOGIES</t>
  </si>
  <si>
    <t>Charging choices; Electric vehicles; Smart charging; Charging service provider</t>
  </si>
  <si>
    <t>TRAFFIC ASSIGNMENT; DEMAND; TIME; IMPACTS; ACCEPTANCE; BEHAVIOR; RANGE</t>
  </si>
  <si>
    <t>The rollout of electric vehicles (EV) occurring in parallel with the decarbonisation of the power sector can bring uncontested environmental benefits, in terms of CO2 emission reduction and air quality. This roll out, however, poses challenges to power systems, as additional power demand is injected in context of increasingly volatile supply from renewable energy sources. Smart EV charging services can provide a solution to such challenges. The development of effective smart charging services requires evaluating pre-emptively EV drivers' response. The current practice in the appraisal of smart charging strategies largely relies on simplistic or theoretical representation of drivers' charging and travel behaviour. We propose a random utility model for joint EV drivers' activity-travel scheduling and charging choices. Our model easily integrates in activity -based demand modelling systems for the analyses of integrated transport and energy systems. However, unlike previous charging behaviour models used in integrated transport and energy system analyses, our model empirically captures the behavioural nuances of tactical charging choices in smart grid context, using empirically estimated charging preferences. We present model estimation results that provide insights into the value placed by individuals on the main attributes of the charging choice and draw implications charging service providers. (C) 2017 The Authors. Published by Elsevier Ltd.</t>
  </si>
  <si>
    <t>10.1016/j.trc.2017.05.006</t>
  </si>
  <si>
    <t>Wu, D; Radhakrishnan, N; Huang, S</t>
  </si>
  <si>
    <t>LOAD MANAGEMENT; ENERGY; NETWORKS; DYNAMICS; DISPATCH</t>
  </si>
  <si>
    <t>NOV 1</t>
  </si>
  <si>
    <t>10.1016/j.apenergy.2019.113490</t>
  </si>
  <si>
    <t>Kwon, O; Kim, P; Yoon, YJ</t>
  </si>
  <si>
    <t>EXPLOITING MULTIUSER DIVERSITY; IN ELECTRIC VEHICLES; PERFORMANCE ANALYSIS; WIRELESS SYSTEMS; OPTIMIZATION; STATIONS; NETWORKS</t>
  </si>
  <si>
    <t>10.3390/s17010039</t>
  </si>
  <si>
    <t>Khaksari, A; Tsaousoglou, G; Makris, P; Steriotis, K; Efthymiopoulos, N; Varvarigos, E</t>
  </si>
  <si>
    <t>DEMAND RESPONSE; MANAGEMENT; OPTIMIZATION; GRIDS</t>
  </si>
  <si>
    <t>10.1016/j.scs.2021.102872</t>
  </si>
  <si>
    <t>Mouli, GRC; Kefayati, M; Baldick, R; Bauer, P</t>
  </si>
  <si>
    <t>ELECTRIC VEHICLES; BATTERY DEGRADATION; PARKING LOT; POWER; MANAGEMENT; SYSTEM; LEVEL</t>
  </si>
  <si>
    <t>10.1109/TSG.2017.2763683</t>
  </si>
  <si>
    <t>Zheng, YC; Niu, SY; Shang, YT; Shao, ZY; Jian, LN</t>
  </si>
  <si>
    <t>Zheng, Yanchong; Niu, Songyan; Shang, Yitong; Shao, Ziyun; Jian, Linni</t>
  </si>
  <si>
    <t>Integrating plug-in electric vehicles into power grids: A comprehensive review on power interaction mode, scheduling methodology and mathematical foundation</t>
  </si>
  <si>
    <t>RENEWABLE &amp; SUSTAINABLE ENERGY REVIEWS</t>
  </si>
  <si>
    <t>Coordinated charging/discharging; Electric vehicle; Power grid; Smart grid; Vehicle-to-grid</t>
  </si>
  <si>
    <t>OPTIMAL CHARGING STRATEGY; MINIMIZING LOAD VARIANCE; BATTERY DEGRADATION; IMPACT; V2G; COORDINATION; MANAGEMENT; OPTIMIZATION; AGGREGATOR; OPERATION</t>
  </si>
  <si>
    <t>The vehicle-to-grid (V2G) technology is an effective and economic solution to enable the integration of electric vehicles (EVs) into power grids. As an effort to present the state of the art in relevant fields, the power interaction mode between EVs and power grids, and the scheduling methodology for the V2G implementation are overviewed comprehensively in this paper. To be specific, technical requirements, grid impacts and battery degradations regarding each power interaction mode are discussed; the operating processes of centralized and decentralized scheduling approaches are introduced and compared. More importantly, it is noted that few attentions are given to the solving algorithms of programming models used for optimizing the scheduling strategy of EVs and few works examine their feasibilities to acquire the optimal charging strategies especially for a large number of EVs. In this context, this paper also illuminates the mathematical foundation on optimization techniques for the optimal V2G strategy, and provides new insights for evaluating these models.</t>
  </si>
  <si>
    <t>10.1016/j.rser.2019.05.059</t>
  </si>
  <si>
    <t>Yi, ZG; Scoffield, D; Smart, J; Meintz, A; Jun, M; Mohanpurkar, M; Medam, A</t>
  </si>
  <si>
    <t>DISTRIBUTED COORDINATION; FREQUENCY REGULATION; STRATEGY; MANAGEMENT; SYSTEMS</t>
  </si>
  <si>
    <t>10.1016/j.ijepes.2019.105661</t>
  </si>
  <si>
    <t>Rawat, T; Niazi, KR</t>
  </si>
  <si>
    <t>ELECTRIC VEHICLES; IMPACT</t>
  </si>
  <si>
    <t>NOV 15</t>
  </si>
  <si>
    <t>Panagopoulos, AA; Christianos, F; Katsigiannis, M; Mykoniatis, K; Chalkiadakis, G; Pritoni, M; Peffer, T; Panagopoulos, OP; Rigas, ES; Culler, DE; Jennings, NR; Lipman, T</t>
  </si>
  <si>
    <t>RENEWABLE-ENERGY; CONSUMPTION; IMPACTS; SYSTEMS; DEMAND</t>
  </si>
  <si>
    <t>Today's energy market is increasingly integrating time-varying tariffs, peak demand charges, and/or export tariffs. In this context, intelligent charging scheduling can considerably reduce the plug-in electric vehicle (PEV) charging cost. This is especially the case as more and more PEVs are charged in buildings that are also equipped with grid-connected intermittent energy resources (IERs) (e.g., photovoltaic systems and wind turbine generators). In this work, we propose a novel and complete intelligent PEV charging scheduling system (tailored for domestic settings) that can account for peak demand charges, time-varying tariffs, and/or export tariffs, appropriately considering both potential IER generation and the rest of a building's consumption. The backbone of our approach builds on adaptive model predictive control, and includes an efficient depth-first-search-based PEV charging planning algorithm that we propose. Importantly, our approach does not rely on a simplified linear modeling of the charging dynamics, which is a typical and limiting assumption of such systems. We evaluate our approach with real data, considering both solar and wind IER generation capacity, to show that it can reduce the cost of charging by up to similar to 5% and similar to 35% in the United States and the United Kingdom domestic settings, respectively, compared to standard PEV charging practices.</t>
  </si>
  <si>
    <t>FEB</t>
  </si>
  <si>
    <t>10.1016/j.simpat.2021.102439</t>
  </si>
  <si>
    <t>Kim, J; Lee, J; Park, S; Choi, JK</t>
  </si>
  <si>
    <t>GOODNESS-OF-FIT; OPERATION; ENERGY; MODEL; STATIONS</t>
  </si>
  <si>
    <t>10.1109/ACCESS.2022.3151355</t>
  </si>
  <si>
    <t>Chen, TJ; Zhang, XP; Wang, JJ; Li, JN; Wu, C; Hu, MZ; Bian, HP</t>
  </si>
  <si>
    <t>Chen, Tianjin; Zhang, Xiao-Ping; Wang, Jianji; Li, Jianing; Wu, Cong; Hu, Mingzhu; Bian, Huiping</t>
  </si>
  <si>
    <t>A Review on Electric Vehicle Charging Infrastructure Development in the UK</t>
  </si>
  <si>
    <t>Electric vehicle (EV); charging point; charging infrastructure; smart charging</t>
  </si>
  <si>
    <t>WIRELESS POWER TRANSFER; BATTERY CHARGER; ENERGY-STORAGE; CONVERTER; STATIONS; HYBRID; MODEL; COORDINATION; MANAGEMENT; ALGORITHM</t>
  </si>
  <si>
    <t>This paper focuses on the development of electric vehicle (EV) charging infrastructure in the UK, which is a vital part of the delivering ultra-low-emission vehicle (ULEV) and will transition into low emission energy systems in the near future. Following a brief introduction to global landscape of EV and its infrastructure, this paper presents the EV development in the UK. It then unveils the government policy in recent years, charging equipment protocols or standards, and existing EV charging facilities. Circuit topologies of charging infrastructure are reviewed. Next, three important factors to be considered in a typical site, i.e., design, location and cost, are discussed in detail. Furthermore, the management and operation of charging infrastructure including different types of business models are summarized. Last but not least, challenges and future trends are discussed.</t>
  </si>
  <si>
    <t>10.35833/MPCE.2018.000374</t>
  </si>
  <si>
    <t>Liu, JY; Lin, G; Rehtanz, C; Huang, SH; Zhou, Y; Li, Y</t>
  </si>
  <si>
    <t>ELECTRIC VEHICLES; BATTERY DEGRADATION; ENERGY; MANAGEMENT; STATIONS; ARRIVAL; SCHEME</t>
  </si>
  <si>
    <t>10.1016/j.ijepes.2022.108218</t>
  </si>
  <si>
    <t>It is a behavioral study about when EV owners decide to charge and then use simple dispatching policies to analyze their suitability for each profile.</t>
  </si>
  <si>
    <t>Singh, S; Vaidya, B; Mouftah, HT</t>
  </si>
  <si>
    <t>Singh, Shivam; Vaidya, Binod; Mouftah, Hussein T.</t>
  </si>
  <si>
    <t>Smart EV Charging Strategies Based on Charging Behavior</t>
  </si>
  <si>
    <t>FRONTIERS IN ENERGY RESEARCH</t>
  </si>
  <si>
    <t>electric vehicle; smart charging; charging behavior; idle time ratio; charging flexibility; priority-based EV scheduling</t>
  </si>
  <si>
    <t>ELECTRIC VEHICLES; FLEXIBILITY</t>
  </si>
  <si>
    <t>Coming years, the number of electric vehicles (EVs) shall increase significantly, so the demand for electricity for charging EVs will proportionately increase as well. Thus, the growing energy requirements for charging these EVs might put huge burden on the electricity generation and supply infrastructure. Such a huge load growth opportunity for utilities if integrated successfully, or if not, a significant challenge to operate and balance grid loads in the future. Customarily, the increase in adoption of EVs in recent years has yielded challenges to the utilities as the electricity demand of EVs occurs mostly during peak hours. In some cases, a sojourn time may be longer than a charging time, that means, EVs will be connected to the charging station without charging. However, the load shifting potential of EVs may be consequential and might subsequently be used to alleviate challenges to the electric grid system. Considering charging behaviors for EV scheduling is crucial, as they depend on uncertainties of EV availabilities (i.e., sojourn time and energy required). Such uncertainties would impact substantially on the deployment of feasible EV charging scheduling. To address above-mentioned issues, firstly, we define an idle time ratio, which is basically load shifting potential. Consequently, we develop a heuristic EV charging scheduling scheme with an emphasis on inevitable charging behaviors of the EV users. Such a scheduling incorporates priority determination using the idle time ratio and TOU period as well as priority-based time slot allocation. Moreover, accurate prioritization of EVs is realized by predicting the energy demand and idle time ratio. Minimization of charging cost is perhaps the most perceptive objective, such that, the EV charging scheduling is done when TOU tariff is low. Performance evaluation shows that the proposed flexible smart charging scheduling outperforms the baseline scheduling in terms of the charging power and charging cost.</t>
  </si>
  <si>
    <t>APR 27</t>
  </si>
  <si>
    <t>10.3389/fenrg.2022.773440</t>
  </si>
  <si>
    <t>Ganapaneni, S; Pinni, SV</t>
  </si>
  <si>
    <t>MANAGEMENT; SYSTEM</t>
  </si>
  <si>
    <t>10.3906/elk-1806-196</t>
  </si>
  <si>
    <t>Yang, SB</t>
  </si>
  <si>
    <t>PREDICTION; DEMAND; LOAD; ALGORITHM; MODEL</t>
  </si>
  <si>
    <t>10.1016/j.epsr.2018.10.029</t>
  </si>
  <si>
    <t>Spencer, SI; Fu, Z; Apostolaki-Iosifidou, E; Lipman, TE</t>
  </si>
  <si>
    <t>Spencer, Sierra, I; Fu, Zhe; Apostolaki-Iosifidou, Elpiniki; Lipman, Timothy E.</t>
  </si>
  <si>
    <t>Evaluating smart charging strategies using real-world data from optimized plugin electric vehicles</t>
  </si>
  <si>
    <t>Smart charging; Electric vehicle; Renewable energy</t>
  </si>
  <si>
    <t>Management of electric vehicle (EV) charging is likely to be critical in avoiding large increases in peak electricity demand and subsequent build outs of generation and distribution infrastructure. Additionally, management of EV charging can help to more effectively utilize renewable energy resources. This study analyzed charging data from a real-world pilot program, the largest household-based study to date to analyze the effectiveness of different smart charging use cases at reducing charging costs and increasing utilization of renewable energy. The study included six different use cases that featured varying optimization signals and driver incentives. Study results suggest that the optimizations are effective at shifting load from times of high grid costs and congestion, most notably during early evening hours, to times of lower grid costs in the early morning and midday. The study finds that 15-20% of charge was shifted out of any given hour and 20-30% of charge was shifted into a given hour in the most effective use cases. In addition to shifting charging across time periods, charging events were also effectively shifted to different locations during some use cases, such as from overnight at households to during the day at workplaces.</t>
  </si>
  <si>
    <t>10.1016/j.trd.2021.103023</t>
  </si>
  <si>
    <t>SEP 2021</t>
  </si>
  <si>
    <t>It presents a reinforcement learning based method, but it lacks of several important details and so it turns out to be a bad quality paper (it was a multi charging station problem)</t>
  </si>
  <si>
    <t>Liu, JJ; Guo, HZ; Xiong, JY; Kato, N; Zhang, J; Zhang, YN</t>
  </si>
  <si>
    <t>Liu, Jiajia; Guo, Hongzhi; Xiong, Jingyu; Kato, Nei; Zhang, Jie; Zhang, Yanning</t>
  </si>
  <si>
    <t>Smart and Resilient EV Charging in SDN-Enhanced Vehicular Edge Computing Networks</t>
  </si>
  <si>
    <t>IEEE JOURNAL ON SELECTED AREAS IN COMMUNICATIONS</t>
  </si>
  <si>
    <t>Electric vehicle charging; Processor scheduling; Edge computing; Dynamic scheduling; Batteries; Vehicle dynamics; Smart grid; electric vehicle; charging scheduling; vehicular edge computing; deep reinforcement learning</t>
  </si>
  <si>
    <t>MANAGEMENT; SCHEME</t>
  </si>
  <si>
    <t>Smart grid delivers power with two-way flows of electricity and information with the support of information and communication technologies. Electric vehicles (EVs) with rechargeable batteries can be powered by external sources of electricity from the grid, and thus charging scheduling that guides low-battery EVs to charging services is significant for service quality improvement of EV drivers. The revolution of communications and data analytics driven by massive data in smart grid brings many challenges as well as chances for EV charging scheduling, and how to schedule EV charging in a smart and resilient way has inevitably become a crucial problem. Toward this end, we in this paper leverage the techniques of software defined networking and vehicular edge computing to investigate a joint problem of fast charging station selection and EV route planning. Our objective is to minimize the total overhead from users' perspective, including time and charging fares in the whole process, considering charging availability and electricity price fluctuation. A deep reinforcement learning (DRL) based solution is proposed to determine an optimal charging scheduling policy for low-battery EVs. Besides, in response to dynamic EV charging, we further develop a resilient EV charging strategy based on incremental update, with EV drivers' user experience being well considered. Extensive simulations demonstrate that our proposed DRL-based solution obtains near-optimal EV charging overhead with good adaptivity, and the solution with incremental update achieves much higher computation efficiency than conventional game-theoretical method in dynamic EV charging.</t>
  </si>
  <si>
    <t>SI</t>
  </si>
  <si>
    <t>10.1109/JSAC.2019.2951966</t>
  </si>
  <si>
    <t>Alghamdi, TG; Said, D; Mouftah, HT</t>
  </si>
  <si>
    <t>ELECTRIC VEHICLES; MANAGEMENT; STATIONS</t>
  </si>
  <si>
    <t>In this paper, we address a decentralized power production and management system based on Game Theory (GT) for Electric Vehicles &amp; x2019; (EVs &amp; x2019;) interplay with a Decentralized Electric Vehicle Supply Equipment (D-EVSE) located at the public supply station. Renewable energy production such as solar energy (PV) is considered as the main power source for our D-EVSE and we consider the connection to the grid when the solar renewable energy system is failing to respond to the demand. We propose a decentralized GT (D-GT) scheme aiming to optimize the EVs &amp; x2019; interaction with the D-EVSE considering both EVs &amp; x2019; satisfaction as well as the D-EVSEs &amp; x2019; stability. Also, the D-GT model is used to choose the optimal available solution for EV charging or discharging services that fulfill predefined constraints. A realistic scenario is considered as a testbed for our D-GT optimization model. Simulation results indicate that the proposed model can manage and control the interaction between EVs and D-EVSEs efficiently.</t>
  </si>
  <si>
    <t>10.1109/ACCESS.2020.2974477</t>
  </si>
  <si>
    <t>Liu, JY; Lin, G; Huang, SH; Zhou, Y; Li, Y; Rehtanz, C</t>
  </si>
  <si>
    <t>ELECTRIC VEHICLES; MANAGEMENT</t>
  </si>
  <si>
    <t>10.1109/TTE.2020.3033995</t>
  </si>
  <si>
    <t>It presents an algorithm does not guarantee anything so it turns out to be a bad quality paper (it was a multi charging station problem)</t>
  </si>
  <si>
    <t>Profit Maximization for EVSEs-Based Renewable Energy Sources in Smart Cities With Different Arrival Rate Scenarios</t>
  </si>
  <si>
    <t>Power grids; Electric vehicle charging; Smart cities; Pricing; Solar energy; Charging stations; Batteries; Electric vehicles; electric vehicles supply equipment; decentralized-energy storage system; decentralized-electric vehicle supply equipment; profit maximization; photovoltaic system; smart cities; solar energy</t>
  </si>
  <si>
    <t>ELECTRIC VEHICLES; CHARGING STATION; DEMAND; MANAGEMENT; SCHEME</t>
  </si>
  <si>
    <t>This paper proposes a profit maximization model for a Decentralized Electric Vehicle Supply Equipment (D-EVSE) equipped with a renewable energy sources system such as a solar energy system. We acknowledge a power connection to the central power grid when necessary. We allow EV to offer its surplus power as discharging power processes. We design a Decentralized Profit Maximization Algorithm (DPMA) to help D-EVSEs take profit from the electricity price variation during the day when selling or buying electricity respectively to EVs or from the grid or EVs as discharging processes. Finally, numerical simulations with MATLAB are conducted to prove the effectiveness of our proposed solution.</t>
  </si>
  <si>
    <t>10.1109/ACCESS.2021.3070485</t>
  </si>
  <si>
    <t>It is in portuguese</t>
  </si>
  <si>
    <t>Sausen, JP; Abaide, AR</t>
  </si>
  <si>
    <t>Sausen, J. P.; Abaide, A. R.</t>
  </si>
  <si>
    <t>Residential Charging Scheduling of Electric Vehicles in Brazilian Context</t>
  </si>
  <si>
    <t>IEEE LATIN AMERICA TRANSACTIONS</t>
  </si>
  <si>
    <t>Electric Vehicles; Charging Scheduling; Optimization; Transformer Loading</t>
  </si>
  <si>
    <t>PARKING LOTS; ENERGY; COORDINATION; OPTIMIZATION</t>
  </si>
  <si>
    <t>This paper presents a methodology to schedule the charging of Electric Vehicles (EVs) in order to maintain the loading of distribution transformer under the nameplate load while reducing charging costs. Brazilian consumption characteristics, mobility pattern and tariff structure are considered to design an optimization algorithm. While the demand of dwellings are estimated from typical load curves of a distribution utility located in the South of Brazil, the demand of EVs are estimated from mobility survey data. Adopting the current Brazilian tariff structure, coefficients of the objective function are formulated in order to schedule the charging of EVs to satisfy the following goals: limit the power demand requested to the distribution transformer, cope the demand of EVs with lower demand of dwellings and reduce the charging costs. The results shows that, in addition to prevent the overloading of distribution transformer, the charging only occurs in periods of higher tariff when necessary, whereas most of it occurs during late night and early morning, corresponding to cost reduction by purchasing energy during lower tariff prices</t>
  </si>
  <si>
    <t>Han, J; Park, J; Lee, K</t>
  </si>
  <si>
    <t>DISTRIBUTION NETWORK; STRATEGY; LOAD; UNCERTAINTY; AGGREGATOR; DISPATCH; DEMAND; IMPACT</t>
  </si>
  <si>
    <t>10.3390/en10070933</t>
  </si>
  <si>
    <t>The scheduling is performed through deep learning</t>
  </si>
  <si>
    <t>Zhang, C; Liu, YA; Wu, F; Tang, BH; Fan, WH</t>
  </si>
  <si>
    <t>Zhang, Cong; Liu, Yuanan; Wu, Fan; Tang, Bihua; Fan, Wenhao</t>
  </si>
  <si>
    <t>Effective Charging Planning Based on Deep Reinforcement Learning for Electric Vehicles</t>
  </si>
  <si>
    <t>Electric vehicle charging; Charging stations; Scheduling; Schedules; Batteries; Optimal scheduling; Reinforcement learning; Electric Vehicle; EVs charging scheduling system; deep reinforcement learning</t>
  </si>
  <si>
    <t>MODEL</t>
  </si>
  <si>
    <t>Electric vehicles (EVs) are viewed as an attractive option to reduce carbon emission and fuel consumption, but the popularization of EVs has been hindered by the cruising range limitation and the inconvenient charging process. In public charging stations, EVs usually spend a lot of time on queuing especially during peak hours of charging. Therefore, building an effective charging planning system has become a crucial task to reduce the total charging time for EVs. In this paper, we first introduce EVs charging scheduling problem and prove the NP-hardness of the problem. Then, we formalize the scheduling problem of EV charging as a Markov Decision Process and propose deep reinforcement learning algorithms to address it. The objective of the proposed algorithms is to minimize the total charging time of EVs and maximal reduction in the origin-destination distance. Finally, we experiment on real-world data and compare with two baseline algorithms to demonstrate the effectiveness of our approach. It shows that the proposed algorithms can significantly reduce the charging time of EVs compared to EST and NNCR algorithms.</t>
  </si>
  <si>
    <t>10.1109/TITS.2020.3002271</t>
  </si>
  <si>
    <t>It is an application of other algorithm with a bit change.</t>
  </si>
  <si>
    <t>Devendiran, R; Kasinathan, P; Ramachandaramurthy, VK; Subramaniam, U; Govindarajan, U; Fernando, X</t>
  </si>
  <si>
    <t>Devendiran, Ramkumar; Kasinathan, Padmanathan; Ramachandaramurthy, Vigna K.; Subramaniam, Umashankar; Govindarajan, Uma; Fernando, Xavier</t>
  </si>
  <si>
    <t>Intelligent optimization for charging scheduling of electric vehicle using exponential Harris Hawks technique</t>
  </si>
  <si>
    <t>INTERNATIONAL JOURNAL OF INTELLIGENT SYSTEMS</t>
  </si>
  <si>
    <t>battery charging; charging scheduling; charging station; electric vehicle; optimization; VANET</t>
  </si>
  <si>
    <t>The coordination of modern transportation system depends heavily on intelligent techniques, information assortment, and its analysis. Sensors play a crucial role in information assortment in charging scheduling of electric vehicles (EVs). EVs are destined to become inevitable due to their innate economic contribution, climate improvement, and social attributes as per United Nation's sustainable development goals. Innovation in EV has gained the interest of many researchers since it is one of the novel green transportation sectors. Moreover, EVs are essential to preserve conventional fuels and to maximize the utilization of renewable sources. Nevertheless, EVs have short driving ranges due to their battery limitation, which hinders the reliability. The charging stations (CS) for EVs are also unevenly distributed. This paper presents a novel strategy to schedule the charging points in EV CSs. The goal is to determine the convenient CS for EVs through Vehicular Ad-hoc Network (VANET) model. In this model, the CSs are determined and prioritized using four phases, such as driving, charge planning, charging scheduling, and battery charging. Charging scheduling was designed using a newly developed optimization strategy, exponential Harris Hawks optimization (Exponential HHO) algorithm, which combines two algorithms, Harris Hawks optimization (HHO) and exponential weighted moving average (EWMA). Furthermore, the fitness function was also newly devised by considering parameters such as average waiting time, remaining energy, number of EVs, and distance. The proposed Exponential HHO was validated using VANET simulation and the performance was improved with maximum remaining energy of 52.709 Whr, minimal distance of 27.256 km, and a maximum average waiting time of 0.352 min in comparison with existing methods. To be specific, the proposed Exponential HHO yielded better improvement, especially when considering a large number of vehicles.</t>
  </si>
  <si>
    <t>10.1002/int.22531</t>
  </si>
  <si>
    <t>JUN 2021</t>
  </si>
  <si>
    <t>It is a good paper but too much 'electrical engineering' (I am not ready yet)</t>
  </si>
  <si>
    <t>Mohamed, NMM; Sharaf, HM; Ibrahim, DK; El'gharably, A</t>
  </si>
  <si>
    <t>IN ELECTRIC VEHICLES; ENERGY MANAGEMENT; RATE COORDINATION; POWER LOSS; OPTIMIZATION; TIME; NETWORK; STORAGE</t>
  </si>
  <si>
    <t>10.1109/ACCESS.2022.3169342</t>
  </si>
  <si>
    <t>It is a unit commitment study</t>
  </si>
  <si>
    <t>Talebizadeh, E; Rashidinejad, M; Abdollahi, A</t>
  </si>
  <si>
    <t>Talebizadeh, Ehsan; Rashidinejad, Masoud; Abdollahi, Amir</t>
  </si>
  <si>
    <t>Evaluation of plug-in electric vehicles impact on cost-based unit commitment</t>
  </si>
  <si>
    <t>JOURNAL OF POWER SOURCES</t>
  </si>
  <si>
    <t>Plug in electric vehicles; Unit commitment; Smart grid; Generating scheduling; Charging/discharging</t>
  </si>
  <si>
    <t>Incorporating plug in electric vehicles (PEVs) to power systems may address both additional demand as well as mobile storage to support electric grid spatially. Better utilization of such potential depends on the optimal scheduling of charging and discharging PEVs. Charging management malfunction of PEVs may increase the peak load which leads to additional generation. Therefore, charging and discharging of PEVs must be scheduled intelligently to prevent overloading of the network at peak hours, take advantages of off peak charging benefits and delaying any load shedding. A charging and discharging schedule of PEVs with respect to load curve variations is proposed in this paper. The proposed methodology incorporates integrated PEVs; the so-called parking lots; into the unit commitment problem. An IEEE 10-unit test system is employed to investigate the impacts of PEVs on generation scheduling. The results obtained from simulation analysis show a significant techno-economic saving. (C) 2013 Published by Elsevier B.V.</t>
  </si>
  <si>
    <t>FEB 15</t>
  </si>
  <si>
    <t>10.1016/j.jpowsour.2013.09.009</t>
  </si>
  <si>
    <t>Spitzer, M; Schlund, J; Apostolaki-Iosifidou, E; Pruckner, M</t>
  </si>
  <si>
    <t>10.3390/en12214059</t>
  </si>
  <si>
    <t>Alinia, B; Hajiesmaili, MH; Crespi, N</t>
  </si>
  <si>
    <t>ELECTRIC VEHICLES; ALGORITHM; MECHANISM</t>
  </si>
  <si>
    <t>10.1109/TITS.2018.2887194</t>
  </si>
  <si>
    <t>This is a case study on an company, it presents a method but no detail is provided</t>
  </si>
  <si>
    <t>Voss, MF; Haveman, SP; Bonnema, GM</t>
  </si>
  <si>
    <t>Voss, Mike F.; Haveman, Steven P.; Bonnema, Gerrit Maarten</t>
  </si>
  <si>
    <t>In-Company Smart Charging: Development of a Simulation Model to Facilitate a Smart EV Charging System</t>
  </si>
  <si>
    <t>electric vehicles; smart charging; simulation model; implementation</t>
  </si>
  <si>
    <t>ELECTRIC VEHICLES; MANAGEMENT-SYSTEM; ENERGY</t>
  </si>
  <si>
    <t>Current electric vehicle (EV) charging systems have limited smart functionality, and most research focuses on load-balancing the national or regional grid. In this article, we focus on supporting the early design of a smart charging system that can effectively and efficiently charge a company's EV fleet, maximizing the use of self-generated Photo-Voltaic energy. The support takes place in the form of the Vehicle Charging Simulation (VeCS) model. System performance is determined by operational costs, CO2 emissions and employee satisfaction. Two impactful smart charging functions concern adaptive charging speeds and charging point management. Simulation algorithms for these functions are developed. The VeCS model is developed to simulate implementation of a smart charging system incorporating both charging infrastructure and local Photo-Voltaics input, using a company's travel and energy data, prior to having the EVs in place. The model takes into account travel behaviour, energy input and energy consumption on a daily basis. The model shows the number of charged vehicles, whether incomplete charges occur, and energy flow during the day. The model also facilitates simulation of an entire year to determine overall cost and emission benefits. It also estimates charging costs and CO2 emissions that can be compared to the non-EV situation. With the VeCS model, the impact of various system design and implementation choices can be explored before EVs are used. Two system designs are proposed for the case company; a short-term version with current technology and a future version with various smart functionalities. Overall, the model can contribute to substantiated advice for a company regarding implementation of charging infrastructure.&lt;/p&gt;</t>
  </si>
  <si>
    <t>10.3390/en14206723</t>
  </si>
  <si>
    <t>Collado, E; Xu, EL; Li, H; Cui, SG</t>
  </si>
  <si>
    <t>RESOURCE-ALLOCATION; PARALLEL MACHINES; FIXED START; END TIMES; COORDINATION; BANDWIDTH; ALGORITHM; DEMAND; JOBS</t>
  </si>
  <si>
    <t>10.3934/energy.2017.3.529</t>
  </si>
  <si>
    <t>Mishra, S; Verma, S; Chowdhury, S; Gaur, A; Mohapatra, S; Dwivedi, G; Verma, P</t>
  </si>
  <si>
    <t>Mishra, Shubham; Verma, Shrey; Chowdhury, Subhankar; Gaur, Ambar; Mohapatra, Subhashree; Dwivedi, Gaurav; Verma, Puneet</t>
  </si>
  <si>
    <t>A Comprehensive Review on Developments in Electric Vehicle Charging Station Infrastructure and Present Scenario of India</t>
  </si>
  <si>
    <t>SUSTAINABILITY</t>
  </si>
  <si>
    <t>electric vehicle; charging station; EV charging Station; smart charging; charging infrastructure</t>
  </si>
  <si>
    <t>The transportation sector of the world is in the transformation stage, shifting from conventional fossil fuel-powered vehicles to zero or ultra-low tailpipe emission vehicles. To support this transformation, a proper charging station (CS) infrastructure in combination with information technology, smart distributed energy generating units, and favorable government policies are required. The motive of this paper is to address the key aspects to be taken care of while planning for the charging station infrastructure for electric vehicles. The paper also provides major indagation and developments in planning and technological aspects that are going on for the enhancement of the design and efficient management of charging station infrastructure. The paper addresses the present scenario of India related to electric vehicle charging station developments. The paper specially provides a critical review on the research and developments in the charging station infrastructure, the problems associated with it, and the efforts that are going on for its standardization to help the researchers address the problems.</t>
  </si>
  <si>
    <t>10.3390/su13042396</t>
  </si>
  <si>
    <t>It considers PHEV as well</t>
  </si>
  <si>
    <t>Di Silvestre, ML; Sanseverino, ER; Zizzo, G; Graditi, G</t>
  </si>
  <si>
    <t>Di Silvestre, Maria Luisa; Sanseverino, Eleonora Riva; Zizzo, Gaetano; Graditi, Giorgio</t>
  </si>
  <si>
    <t>An optimization approach for efficient management of EV parking lots with batteries recharging facilities</t>
  </si>
  <si>
    <t>JOURNAL OF AMBIENT INTELLIGENCE AND HUMANIZED COMPUTING</t>
  </si>
  <si>
    <t>Electric vehicles management; Smart charging; Simulated annealing</t>
  </si>
  <si>
    <t>In this paper an optimization approach to devise efficient management strategies for Electric Vehicles parking lots is proposed. A Monte Carlo approach is used to evaluate the load consumption profile for groups of Electric Vehicles showing different features. The Monte Carlo approach allows to combine the different social and economical features affecting the commercial penetration of Electric Vehicles with the technical aspects. The basic feature to be assessed is the initial State Of Charge, which in turn depends on the distance travelled by the vehicle since the last recharge and thus by the usage of the vehicle (private, professional). The model is then used to optimize some objective function such as the losses minimization or the cost of purchased energy minimization. Finally, a Simulated Annealing algorithm is used to identify the time intervals, along the day, in which the Electric Vehicles should be put in charge to minimize technical or economical objectives. The objective function is evaluated using a probabilistic model based on Monte Carlo simulations.</t>
  </si>
  <si>
    <t>10.1007/s12652-013-0174-y</t>
  </si>
  <si>
    <t>Too much details I did not get (read again)</t>
  </si>
  <si>
    <t>Saner, CB; Trivedi, A; Srinivasan, D</t>
  </si>
  <si>
    <t>RECONFIGURATION; FRAMEWORK; REDUCTION</t>
  </si>
  <si>
    <t>10.1109/TSG.2022.3140927</t>
  </si>
  <si>
    <t>It presents a simple (hierarchical) model, but results are not as expected nor good presented</t>
  </si>
  <si>
    <t>Hu, JJ; You, S; Lind, M; Ostergaard, J</t>
  </si>
  <si>
    <t>Hu, Junjie; You, Shi; Lind, Morten; Ostergaard, Jacob</t>
  </si>
  <si>
    <t>Coordinated Charging of Electric Vehicles for Congestion Prevention in the Distribution Grid</t>
  </si>
  <si>
    <t>Congestion management; distribution grid; electric vehicles; optimal charging schedule</t>
  </si>
  <si>
    <t>Distributed energy resources (DERs), like electric vehicles (EVs), can offer valuable services to power systems, such as enabling renewable energy to the electricity producer and providing ancillary services to the system operator. However, these new DERs may challenge the distribution grid due to insufficient capacity in peak hours. This paper aims to coordinate the valuable services and operation constraints of three actors: the EV owner, the Fleet operator (FO) and the Distribution system operator (DSO), considering the individual EV owner's driving requirement, the charging cost of EV and thermal limits of cables and transformers in the proposed market framework. Firstly, a theoretical market framework is described. Within this framework, FOs who represent their customer's (EV owners) interests will centrally guarantee the EV owners' driving requirements and procure the energy for their vehicles with lower cost. The congestion problem will be solved by a coordination between DSO and FOs through a distribution grid capacity market scheme. Then, a mathematical formulation of the market scheme is presented. Further, some case studies are shown to illustrate the effectiveness of the proposed solutions.</t>
  </si>
  <si>
    <t>10.1109/TSG.2013.2279007</t>
  </si>
  <si>
    <t>Lo Franco, F; Ricco, M; Mandrioli, R; Grandi, G</t>
  </si>
  <si>
    <t>Lo Franco, Francesco; Ricco, Mattia; Mandrioli, Riccardo; Grandi, Gabriele</t>
  </si>
  <si>
    <t>Electric Vehicle Aggregate Power Flow Prediction and Smart Charging System for Distributed Renewable Energy Self-Consumption Optimization</t>
  </si>
  <si>
    <t>electric vehicles; electric vehicle charging; smart charging; energy districts; renewable energy sources; self-consumption; forecasting; peak shaving; load shifting; photovoltaics</t>
  </si>
  <si>
    <t>MANAGEMENT; STORAGE; DEMAND</t>
  </si>
  <si>
    <t>In the context of electric vehicle (EV) development and positive energy districts with the growing penetration of non-programmable sources, this paper provides a method to predict and manage the aggregate power flows of charging stations to optimize the self-consumption and load profiles. The prediction method analyzes each charging event belonging to the EV population, and it considers the main factors that influence a charging process, namely the EV's characteristics, charging ratings, and driver behavior. EV's characteristics and charging ratings are obtained from the EV model's and charging stations' specifications, respectively. The statistical analysis of driver behavior is performed to calculate the daily consumptions and the charging energy request. Then, a model to estimate the parking time of each vehicle is extrapolated from the real collected data of the arrival and departure times in parking lots. A case study was carried out to evaluate the proposed method. This consisted of an industrial area with renewable sources and electrical loads. The obtained results show how EV charging can negatively impact system power flows, causing load peaks and high energy demand. Therefore, a charging management system (CMS) able to operate in the smart charging mode was introduced. Finally, it was demonstrated that the proposed method provides better EV integration and improved performance.</t>
  </si>
  <si>
    <t>10.3390/en13195003</t>
  </si>
  <si>
    <t>Sachan, S; Adnan, N</t>
  </si>
  <si>
    <t>Sachan, Sulabh; Adnan, Nadia</t>
  </si>
  <si>
    <t>Stochastic charging of electric vehicles in smart power distribution grids</t>
  </si>
  <si>
    <t>Electric vehicles; Distribution grid; Greedy charging; Smart charging; Smart grids; Feeder deformation</t>
  </si>
  <si>
    <t>PLUG-IN HYBRID; SYSTEM; IMPACT; COORDINATION; INTEGRATION; ALLOCATION</t>
  </si>
  <si>
    <t>This work investigate the substantial factors that impact a consumer's choice with regards to the electric vehicle reception. There are numerous viewpoints that rely on the selection of the electric vehicle. Henceforth, social and additionally psychological components have a place with the center choice of the selection. In this work, authors have managed the area enveloping the distinctive hypotheses that can anticipate the conduct of the purchasers. In this paper, the impact of different electric vehicles charging methods on distribution grid is assessed. This comparison is based on reduction of network peak load demand and improvement in its operating condition in perspective to voltage violations. In another charging strategy, wind power flow and resulting variation in electricity price is considered with stochastic availability of electric vehicles, i.e. arrival and departure times. Then, the charging cost is optimized (minimized) and consequently the resulting network constraints are evaluated by performing simulations. Further, in study the improvement in integration of the electric vehicles with modification in network, i.e. reformation is also suggested.</t>
  </si>
  <si>
    <t>10.1016/j.scs.2018.03.031</t>
  </si>
  <si>
    <t>Chen, JH; Wang, F; He, XY; Liang, XY; Huang, JL; Zhang, SJ; Wu, Y</t>
  </si>
  <si>
    <t>Chen, Jiahui; Wang, Fang; He, Xiaoyi; Liang, Xinyu; Huang, Junling; Zhang, Shaojun; Wu, Ye</t>
  </si>
  <si>
    <t>Emission mitigation potential from coordinated charging schemes for future private electric vehicles</t>
  </si>
  <si>
    <t>Coordinated charging; Electric vehicles; Emissions; Life cycle assessment; Charging demand; Renewable energy</t>
  </si>
  <si>
    <t>FLEXIBILITY; STRATEGY; IMPACTS; GAS</t>
  </si>
  <si>
    <t>Plug-in electric vehicles (EVs) are expected to synergize with low or even zero-carbon electricity towards a deep mitigation of greenhouse gas (GHG) emission and ultimately carbon neutrality. These benefits are only obtainable when EV charging maximizes the consumption of electricity generated from renewable energy sources. However, the current mismatch between renewable energy output and EV charging demand poses a substantial challenge. Rescheduling charging events, namely charging coordination, has the potential to integrate renewable electricity and tap into higher GHG emission reductions. In this study, with Beijing as the research domain, we develop a charging demand model informed by real-world usage data generated by a massive fleet of private cars, and evaluate the comprehensive impacts of various charging coordination schemes in the future with higher adoption rates of both private EVs and renewable power sources. The research finds that strategies aiming at maximizing renewable power consumption, netload valley filling, and charging cost minimization have similar climate benefits, which can reduce well-to-wheels GHG emissions by approximately 20%, cut charging cost by half, and erase 95% of the need for newly installed generation capacity compared to the benchmark scenario without coordinated charging. On the other hand, conventional charging strategies, such as the simple demand-valley-filling strategy, would increase GHG emissions. The study indicates that substantial benefits can be synergistically achieved between power and transport systems towards improved grid stability, lower fuel cost, and greater emission mitigation by leveraging EV charging flexibility at the end-user side (i.e., charging facility). Furthermore, the potential need for sophisticated charging coordination with multiple optimization objectives is brought to attention.</t>
  </si>
  <si>
    <t>10.1016/j.apenergy.2021.118385</t>
  </si>
  <si>
    <t>It handles HEV</t>
  </si>
  <si>
    <t>Petrusic, A; Janjic, A</t>
  </si>
  <si>
    <t>Petrusic, Andrija; Janjic, Aleksandar</t>
  </si>
  <si>
    <t>Renewable Energy Tracking and Optimization in a Hybrid Electric Vehicle Charging Station</t>
  </si>
  <si>
    <t>APPLIED SCIENCES-BASEL</t>
  </si>
  <si>
    <t>electric vehicle charging; multicriteria optimization; battery-scheduling</t>
  </si>
  <si>
    <t>DESIGN; OPERATION; SYSTEM</t>
  </si>
  <si>
    <t>Featured Application: The multicriteria methodology for the scheduling of a hybrid EV charging station could be applied to any commercial EV charging station. The driver's preferences about the amount of renewable energy share can be easily implemented in a charging software application. The increasing electric vehicle fleet requires an upgrade and expansion of the available charging infrastructure. The uncontrolled charging cycles greatly affect the electric grid, and for this reason, renewable energy sources and battery storage are getting incorporated into a hybrid charging station solution. Adding a renewable source and a battery to the charging station can help to buffer the power required from the grid, thus avoiding peaks and related grid constraints. To date, the origin of the energy coming from the battery has not been traced. In this paper, a solution of the hybrid electric vehicle charging station coupled with the small-scale photovoltaic system and battery energy storage is proposed to eliminate the adverse effects of uncontrolled electric vehicle charging, with the exact calculation of renewable energy share coming from energy stored in the battery. The methodology for the multicriteria optimization of the charging/discharging schedule of a battery and electric vehicle charging level is based on multi-attribute utility theory. The optimization criteria include the minimization of charging costs, maximization of renewable energy (from both the solar plant and the battery), and the minimization of battery degradation. The problem is solved using a genetic algorithm optimization procedure adapted to the multicriteria optimization function. The methodology is tested on an illustrative example, and it is proven that the decision-maker's preferences greatly affects the choice of the optimal strategy and the optimal battery capacity.</t>
  </si>
  <si>
    <t>10.3390/app11010245</t>
  </si>
  <si>
    <t>Clairand, JM; Rodriguez-Garcia, J; Alvarez-Bel, C</t>
  </si>
  <si>
    <t>Assessment of Technical and Economic Impacts of EV User Behavior on EV Aggregator Smart Charging</t>
  </si>
  <si>
    <t>Electric vehicle (EV); smart grid; aggregator; smart charging; charging power modulation; charging strategies</t>
  </si>
  <si>
    <t>ELECTRIC VEHICLES; ENERGY-STORAGE; MANAGEMENT</t>
  </si>
  <si>
    <t>The increase in global electricity consumption has made energy efficiency a priority for governments. Consequently, there has been a focus on the efficient integration of a massive penetration of electric vehicles (EVs) into energy markets. This study presents an assessment of various strategies for EV aggregators. In this analysis, the smart charging methodology proposed in a previous study is considered. The smart charging technique employs charging power rate modulation and considers user preferences. To adopt several strategies, this study simulates the effect of these actions in a case study of a distribution system from the city of Quito, Ecuador. Different actions are simulated, and the EV aggregator costs and technical conditions are evaluated.</t>
  </si>
  <si>
    <t>10.35833/MPCE.2018.000840</t>
  </si>
  <si>
    <t>Guo, F; Zhang, JJ; Huang, ZH; Huang, WL</t>
  </si>
  <si>
    <t>TIME WINDOWS; RECHARGING STATIONS; ALGORITHM</t>
  </si>
  <si>
    <t>JUL 1</t>
  </si>
  <si>
    <t>10.1016/j.energy.2022.123724</t>
  </si>
  <si>
    <t>It proposes a already stated coordination scheme with a little change on scheduling based on LST algorithm</t>
  </si>
  <si>
    <t>Liu, SH; Xia, X; Cao, Y; Ni, Q; Zhang, X; Xu, LX</t>
  </si>
  <si>
    <t>Liu, Shuohan; Xia, Xu; Cao, Yue; Ni, Qiang; Zhang, Xu; Xu, Lexi</t>
  </si>
  <si>
    <t>Reservation-based EV charging recommendation concerning charging urgency policy</t>
  </si>
  <si>
    <t>Electric vehicle; EV charging recommendation; Charging scheduling; CS-selection; Charging urgency</t>
  </si>
  <si>
    <t>ELECTRIC VEHICLES; ENERGY</t>
  </si>
  <si>
    <t>Electric Vehicles (EVs) are environmental friendly comparing with traditional internal combustion vehicles (ICVs), and have great application potential to achieve green transportation. However, due to the battery technology under development, the charging time of EVs is still longer than refuelling time of ICVs. Importantly, CS-Selection scheme (which/where to charge) and charging scheduling (when/whether to charge) are key solutions, for coping with long charging time and uneven distribution of Charging Stations (CSs) in urban city. In this paper, we propose an Urgency First Charging (UFC) scheduling policy, which orders EVs via their charging urgency (calculated by their charging demand and remaining parking duration). With the underlying UFC policy, we further propose a reservation-based CS-Selection scheme that selects the optimal CS with the minimum trip duration (summation of travelling time through CS, and the charging time spent at CS), where the EVs would further report their reservations to help anticipate the service congestion status of CSs in future. We have conducted simulations through Helsinki's city traffic scenarios. The simulation results show that our proposed CSSelection scheme has advantages in improving users quality of experience, which shortens the overall trip duration of EVs and fully charges more EVs before departure deadline.</t>
  </si>
  <si>
    <t>10.1016/j.scs.2021.103150</t>
  </si>
  <si>
    <t>JUL 2021</t>
  </si>
  <si>
    <t>It is not a paper but a technical report</t>
  </si>
  <si>
    <t>Amoroso, FA; Cappuccino, G</t>
  </si>
  <si>
    <t>Amoroso, Francesco A.; Cappuccino, Gregorio</t>
  </si>
  <si>
    <t>Impact of charging efficiency variations on the effectiveness of variable-rate-based charging strategies for electric vehicles</t>
  </si>
  <si>
    <t>Electric vehicles; Smart battery charger; Charging efficiency; Variable rate charging; Smart grid</t>
  </si>
  <si>
    <t>The huge energy demand coming from the increasing diffusion of plug-in electric vehicles (PEVs) poses a significant challenge to electricity utilities and vehicle manufacturers in developing smart charging systems interacting in real time with distribution grids. These systems will have to implement smart charging strategies for PEV batteries on the basis of negotiation phases between the user and the electric utility regarding information about battery chemistries, tariffs, required energy and time available for completing the charging. Strategies which adapt the charging current to grid load conditions are very attractive. Indeed, they allow full exploitation of the grid capacity, with a consequent greater final state of charge and higher utility financial profits with respect to approaches based on a fixed charging rate. The paper demonstrates that the charging current should be chosen also taking into account the effect that different charging rates may have on the charging efficiency. To this aim, the performances of two smart variable-rate-based charging strategies, taken as examples, are compared by considering possible realistic relationships between the charging efficiency and the charging rate. The analysis gives useful guidelines for the development of smart charging strategies for PEVs as well as for next-generation battery charging and smart grid management systems. (C) 2011 Elsevier B.V. All rights reserved.</t>
  </si>
  <si>
    <t>10.1016/j.jpowsour.2011.07.074</t>
  </si>
  <si>
    <t>It does not present a coordinated method. Instead, it uses a generic model as a study case to proove a new metaheuristic.</t>
  </si>
  <si>
    <t>Sowmya, R; Sankaranarayanan, V</t>
  </si>
  <si>
    <t>Sowmya, R.; Sankaranarayanan, V.</t>
  </si>
  <si>
    <t>Optimal vehicle-to-grid and grid-to-vehicle scheduling strategy with uncertainty management using improved marine predator algorithm</t>
  </si>
  <si>
    <t>COMPUTERS &amp; ELECTRICAL ENGINEERING</t>
  </si>
  <si>
    <t>Battery; Charging; Discharging; Electric vehicle; Scheduling; Uncertainty</t>
  </si>
  <si>
    <t>This paper presents a new solution to the problem of scheduling electric vehicles over a period of time. The primary objective is to minimize the total cost of the electricity price for charging/ discharging by considering the battery capacity, C-rating, and other physical constraints. The battery life is improved by minimizing the charging/discharging cycles based on the minimum allowable State-of-Charge (SoC) deviation limit. A new Improved Marine Predator Algorithm (IMPA) is proposed by employing an opposition-based learning scheme to a recent marine predator algorithm to solve the proposed charge/discharge scheduling model, and the performance is compared with other state-of-the-art algorithms. Uncertainties in the end SoC mismatch and electricity price are considered to reiterate the scheduling plan. The statistical test results show that the proposed IMPA is better among other algorithms with the rank value of 2.33 under normal conditions and 1.667 with uncertainties at different intervals.</t>
  </si>
  <si>
    <t>10.1016/j.compeleceng.2022.107949</t>
  </si>
  <si>
    <t>Eltoumi, FM; Becherif, M; Djerdir, A; Ramadan, HS</t>
  </si>
  <si>
    <t>Eltoumi, Fouad M.; Becherif, Mohamed; Djerdir, Abdesslem; Ramadan, Haitham S.</t>
  </si>
  <si>
    <t>The key issues of electric vehicle charging via hybrid power sources: Techno-economic viability, analysis, and recommendations</t>
  </si>
  <si>
    <t>Electric vehicle; Charging station; Photovoltaic; Renewable energy; Charging control; Charging scheduling</t>
  </si>
  <si>
    <t>Recently, electric vehicles (EVs) have been intensively utilized in various parts of the world. Because the use of EVs allows the prompted minimization of fossil fuel consumption, this modern mode of transport is regarded as environmentally friendly. Nevertheless, despite the benefits they afford, EVs cannot be extensively adopted worldwide because of the insufficiency of charging station infrastructures. Accordingly, there have been several attempts to establish EV charging stations supplied by a fossil fuel-powered main grid with electricity. However, these types of charging infrastructures can negatively impact the distribution system and environment; it can therefore result in peak load increment. A potential and efficient solution is the utilization of self-sustainable sources (such as photovoltaic (PV) energy), which can mitigate the adverse effects of fossil fuels. With this solution, the planning of the distribution system should be appropriate to satisfy the load demand because a large number of EVs will be connected to the grid. Because of the increasing importance of this subject, in this manuscript, PV-EV stand-alone connection and PV-EV-Grid in hybrid connection of charging system topologies and their associated control architectures are critically enumerated, presented, and discussed; several perspectives and problems that confront the EV charging technology are also highlighted. Furthermore, the impact of numerous EVs connected to the electricity grid is reviewed, and the analysis of various EV charging scheduling techniques and control topologies proposed in available literature is presented. Finally, research suggestions on the economic value assessment of grid operation and EV load, recommendations, and future research directions are underscored.</t>
  </si>
  <si>
    <t>10.1016/j.rser.2020.110534</t>
  </si>
  <si>
    <t>JAN 2021</t>
  </si>
  <si>
    <t>Flath, CM; Ilg, JP; Gottwalt, S; Schmeck, H; Weinhardt, C</t>
  </si>
  <si>
    <t>SMART GRIDS; LOAD; DEMAND; STRATEGIES; ENERGY; PRICES; IMPACT</t>
  </si>
  <si>
    <t>10.1287/trsc.2013.0467</t>
  </si>
  <si>
    <t>No access</t>
  </si>
  <si>
    <t>Liu, JJ</t>
  </si>
  <si>
    <t>Liu, Jijun</t>
  </si>
  <si>
    <t>The influence of grid connection of electric vehicles on microgrid and its coordinated control under the background of new energy power generation</t>
  </si>
  <si>
    <t>INTERNATIONAL JOURNAL OF ELECTRICAL ENGINEERING EDUCATION</t>
  </si>
  <si>
    <t>Article; Early Access</t>
  </si>
  <si>
    <t>Microgrid; electric vehicle; coordinated control; charging and discharging; load</t>
  </si>
  <si>
    <t>RENEWABLE ENERGY</t>
  </si>
  <si>
    <t>To explore the influence of grid connected electric vehicle on microgrid and its collaborative control under the background of new energy power generation, in this study, the constraints of electric vehicle are established from two aspects of electric vehicle travel characteristics and battery charging and discharging characteristics. In view of the variety of controllable resources in microgrid, multi-agent microgrid coordination control architecture is used to control the multi-layer coordination of microgrid, and simulation is built to analyze four different scenes. The results show that in the microgrid load, it is found that the valley peak difference is the smallest when both the electric vehicle and the conventional load participate in the demand response (scene 4). In the change of SOC and charge discharge power of battery energy storage system, it is found that four scenes make the energy storage function of low storage and high generation play an effective role. In the economic and environmental benefits of microgrid daily operation, it is found that the daily operation cost and environmental benefits of scene 4 are significantly lower than that of scene 1. Therefore, in this study, the coordinated optimization method of integrating electric vehicle into microgrid based on multi-agent microgrid can effectively solve the coordinated optimization of multi controllable resources of microgrid, and provide experimental basis for the subsequent development and optimization of microgrid.</t>
  </si>
  <si>
    <t>10.1177/0020720920931427</t>
  </si>
  <si>
    <t>JUN 2020</t>
  </si>
  <si>
    <t>It is an application of other algorithm under other instances</t>
  </si>
  <si>
    <t>Dixon, J; Bukhsh, W; Bell, K; Brand, C</t>
  </si>
  <si>
    <t>Dixon, James; Bukhsh, Waqquas; Bell, Keith; Brand, Christian</t>
  </si>
  <si>
    <t>Vehicle to grid: driver plug-in patterns, their impact on the cost and carbon of charging, and implications for system flexibility</t>
  </si>
  <si>
    <t>ETRANSPORTATION</t>
  </si>
  <si>
    <t>Vehicle to grid; Electric vehicles; Bidirectional charging; Smart charging; Optimisation</t>
  </si>
  <si>
    <t>ELECTRIC VEHICLES; DISTRIBUTION NETWORKS; BATTERY DEGRADATION; POWER-FLOW; PENETRATION; V2G</t>
  </si>
  <si>
    <t>Vehicle-to-grid (V2G) from electric vehicles (EVs) represents an opportunity to provide transitioning electricity systems with battery storage as they face increasing shares of variable renewable generation. However, whilst the availability of V2G as dispatchable storage depends on the travel and charging habits of drivers, there is scarce experience of managing portfolios of EVs in this way. This paper investigates the impact of plug-in frequency - given real-life travel data - on the potential of V2G to reduce i) consumer bills and ii) carbon emissions of charging. In doing so, we investigate the extent to which consumers are incentivised to participate in V2G, how this might change based on different charging behaviours, and what the implications are for V2G as a storage asset. Two models of plug-in behaviour are input into a time-coupled optimisation that schedules EV (dis)charging to minimise the net cost of an EV's required energy gain within network constraints, simulating how V2G could be dispatched by a 'load controller' in a liberalised electricity market. The cost minimisation is based on the Octopus Agile V2G tariff in January 2021, which is matched to GB grid carbon intensity data from National Grid ESO for the same period. It was found that, on the basis of the time range studied, V2G can reduce the average price paid for EV-charging electricity by 28-67% versus a flat tariff - with the lower end of that range representing a case where consumers only plug in when they 'need' to, and the higher end representing the case where consumers plug in whenever their cars are at home. It was also found that due to the weak positive correlation between price and carbon during the time range studied, optimising for price also resulted in slight reductions in carbon intensity of the EV-charging electricity by 5-6% compared to uncontrolled charging, with the range representing the same cases as before. Taking into account a review of battery degradation costs from V2G, using an EV's battery in this manner only makes financial sense to the owner if they maximise their plug-in frequency; this, alongside the increased savings, should provide an incentive to owners to plug in as much as possible - thereby maximising storage resource for a low carbon electricity system. (c) 2022 The Authors. Published by Elsevier B.V. This is an open access article under the CC BY license (http://creativecommons.org/licenses/by/4.0/).</t>
  </si>
  <si>
    <t>10.1016/j.etran.2022.100180</t>
  </si>
  <si>
    <t>It does not present a coordinated method. Instead, it seems to present a software development.</t>
  </si>
  <si>
    <t>Orcioni, S; Conti, M</t>
  </si>
  <si>
    <t>Orcioni, Simone; Conti, Massimo</t>
  </si>
  <si>
    <t>EV Smart Charging with Advance Reservation Extension to the OCPP Standard</t>
  </si>
  <si>
    <t>electric vehicle; OCPP; smart charging; recharge reservation</t>
  </si>
  <si>
    <t>ELECTRIC VEHICLES; SERVICE; SYSTEM</t>
  </si>
  <si>
    <t>An accurate management of the interactions among end user, electric vehicle, and charging station during recharge is fundamental for the diffusion of electric mobility. The paper proposes an extension of the Open Charge Point Protocol standard with the aim of including the user in the charging optimization process. The user negotiates with the central station a recharge reservation giving his/her preference and flexibility. The charging station management system provides different solutions based on user's flexibility. This negotiation allows the optimization of the power grid management considering the user requests and constraints. The complete architecture has been designed, implemented on a web server and on a smartphone app, and tested. Results are reported in this work.</t>
  </si>
  <si>
    <t>10.3390/en13123263</t>
  </si>
  <si>
    <t>It also consider V2V</t>
  </si>
  <si>
    <t>Al-Hanahi, B; Ahmad, I; Habibi, D; Masoum, MAS</t>
  </si>
  <si>
    <t>Al-Hanahi, Bassam; Ahmad, Iftekhar; Habibi, Daryoush; Masoum, Mohammad A. S.</t>
  </si>
  <si>
    <t>Smart charging strategies for heavy electric vehicles</t>
  </si>
  <si>
    <t>Heavy electric vehicles; Electric trucks; Smart charging system; Charging infrastructure</t>
  </si>
  <si>
    <t>GRIDABLE VEHICLES; TRUCKS; DEMAND; COORDINATION; EMISSIONS; MANAGEMENT; REDUCTION; SYSTEM; IMPACT; COSTS</t>
  </si>
  <si>
    <t>With emission standards tightening around the world and the popularity of electric cars rising, the electrification of heavy-duty vehicles (e.g., diesel trucks) appears to be a natural progression. For electric truck (ET) charging, a return-to-base strategy with chargers located where trucks begin and end each day, such as trucks used in cargo, freight, and delivery entities, is becoming increasingly viable and attractive. This return-to-base strategy; however, has impacts on the peak demand of a facility which can contribute to an increase in demand charge and requires electrical asset upgrades in certain circumstances. This challenge is different and unique compared to the light-duty passenger vehicles charging challenge (i.e., low distributed charging load and longer charging periods). To address this ET charging challenge, this paper proposes a smart charging system (SCS) that manages the charging process of ETs at their commercial facilities, with the objective of minimizing the peak demand of the aggregate load profile at the facility. Our simulation studies show the effectiveness of the proposed SCS in reducing the peak demand of the facility. The proposed solution can achieve a monthly saving in demand charge of up to 54% compared to uncontrolled charging schemes.(c) 2022 Elsevier B.V. All rights reserved.</t>
  </si>
  <si>
    <t>10.1016/j.etran.2022.100182</t>
  </si>
  <si>
    <t>Bastida-Molina, P; Hurtado-Perez, E; Perez-Navarro, A; Alfonso-Solar, D</t>
  </si>
  <si>
    <t>Bastida-Molina, Paula; Hurtado-Perez, Elias; Perez-Navarro, Angel; Alfonso-Solar, David</t>
  </si>
  <si>
    <t>Light electric vehicle charging strategy for low impact on the grid</t>
  </si>
  <si>
    <t>ENVIRONMENTAL SCIENCE AND POLLUTION RESEARCH</t>
  </si>
  <si>
    <t>Electric vehicle; Recharging strategy; Schedule optimization; Demand curve; Temporal valleys; Peak loads</t>
  </si>
  <si>
    <t>LOAD; PENETRATION; ADOPTION; DEMAND; STATE</t>
  </si>
  <si>
    <t>The alarming increase in the average temperature of the planet due to the massive emission of greenhouse gases has stimulated the introduction of electric vehicles (EV), given transport sector is responsible for more than 25% of the total global CO2 emissions. EV penetration will substantially increase electricity demand and, therefore, an optimization of the EV recharging scenario is needed to make full use of the existing electricity generation system without upgrading requirements. In this paper, a methodology based on the use of the temporal valleys in the daily electricity demand is developed for EV recharge, avoiding the peak demand hours to minimize the impact on the grid. The methodology assumes three different strategies for the recharge activities: home, public buildings, and electrical stations. It has been applied to the case of Spain in the year 2030, assuming three different scenarios for the growth of the total fleet: low, medium, and high. For each of them, three different levels for the EV penetration by the year 2030 are considered: 25%, 50%, and 75%, respectively. Only light electric vehicles (LEV), cars and motorcycles, are taken into account given the fact that batteries are not yet able to provide the full autonomy desired by heavy vehicles. Moreover, heavy vehicles have different travel uses that should be separately considered. Results for the fraction of the total recharge to be made in each of the different recharge modes are deduced with indication of the time intervals to be used in each of them. For the higher penetration scenario, 75% of the total park, an almost flat electricity demand curve is obtained. Studies are made for working days and for non-working days.</t>
  </si>
  <si>
    <t>APR</t>
  </si>
  <si>
    <t>10.1007/s11356-020-08901-2</t>
  </si>
  <si>
    <t>APR 2020</t>
  </si>
  <si>
    <t>Cheng, X; Sheng, JM; Rong, XT; Zhang, H; Feng, L; Shao, SJ</t>
  </si>
  <si>
    <t>10.3390/info11010049</t>
  </si>
  <si>
    <t>Oliinyk, M; Dzmura, J; Kolcun, M; Humenik, J; Kanalik, M; Pavlik, M; Pal, D; Medved, D</t>
  </si>
  <si>
    <t>Oliinyk, Maksym; Dzmura, Jaroslav; Kolcun, Michal; Humenik, Jozef; Kanalik, Martin; Pavlik, Marek; Pal, Daniel; Medved, Dusan</t>
  </si>
  <si>
    <t>Impact of electric vehicles and demand management systems on electrical distribution networks</t>
  </si>
  <si>
    <t>ELECTRICAL ENGINEERING</t>
  </si>
  <si>
    <t>Demand management systems; Electric vehicle; Electric vehicle charging; Microgrid; Smart grid</t>
  </si>
  <si>
    <t>ENERGY MANAGEMENT; CHARGING INFRASTRUCTURE; TECHNOLOGIES; CONSUMPTION; OPERATION</t>
  </si>
  <si>
    <t>The growth rate of electric vehicle sales is increasing every year, analytical companies provide optimistic forecasts for the number of electric vehicles on the roads in the future, and regulators are changing rates for future growth. In this regard, the full implementation of the concept of smart networks, which could facilitate the transition of old networks to a new reality, is becoming increasingly relevant. This article is aimed at studying the influence of electric vehicles on the technical indicators of the electric network of small cities, as well as an analysis of the implementation of the demand management system.</t>
  </si>
  <si>
    <t>10.1007/s00202-021-01327-0</t>
  </si>
  <si>
    <t>It presents two scheduling strategies, but it lacks of several important details and so it turns out to be a bad quality paper (it was a multi charging station problem)</t>
  </si>
  <si>
    <t>Gupta, V; Kumar, R; Panigrahi, BK</t>
  </si>
  <si>
    <t>Gupta, Vishu; Kumar, Rajesh; Panigrahi, Bijaya Ketan</t>
  </si>
  <si>
    <t>User-Willingness-Based Decentralized EV Charging Management in Multiaggregator Scheduling</t>
  </si>
  <si>
    <t>IEEE TRANSACTIONS ON INDUSTRY APPLICATIONS</t>
  </si>
  <si>
    <t>Job shop scheduling; Charging stations; Collaboration; Electric vehicle charging; Decentralized scheduling (DES); electric vehicle; multiaggregator; penalty factor; willingness</t>
  </si>
  <si>
    <t>Electric vehicles (EV) offer a sustainable solution to the emission problems from transportation but require appropriate charging management facilities. This article presents a decentralized charging management scheme for EV scheduling in a multiaggregator scenario and is compared with a centralized scheduling (CES) strategy in terms of performance. Mobility-aware scheduling is implemented, where the EV arrival at charging stations is modeled using a survey conducted for the city of Jaipur, India, to evaluate the travel patterns. A new approach for modeling the willingness of the consumer has been presented that evaluates the willingness based on scheduling parameters, which include the charging cost, the charging duration, and the arrival/scheduling time of the vehicle. A penalty function has also been developed for the inclusion of the customer willingness into the profit equation. Results indicate superior performance of decentralized scheduling (DES) as compared with CES. Furthermore, the developed willingness indicator accommodates the preference of the EV driver, and the penalty factor represents the EV user's agreement with the scheduling in the profits. DES in collaborative scheduling provided the highest profits for the aggregators.</t>
  </si>
  <si>
    <t>SEP-OCT</t>
  </si>
  <si>
    <t>1-2</t>
  </si>
  <si>
    <t>10.1109/TIA.2020.2993988</t>
  </si>
  <si>
    <t>DISTRIBUTION NETWORKS; IMPACT; ELECTRIFICATION; STRATEGIES; PROFILE</t>
  </si>
  <si>
    <t>10.1109/ACCESS.2018.2872725</t>
  </si>
  <si>
    <t>It presents two different of EV owner profiles and simulate the charging with a queue and prioritization on power constraints; however, it lacks of details (it was a single charging station)</t>
  </si>
  <si>
    <t>Konara, KMSY; Kolhe, ML</t>
  </si>
  <si>
    <t>Konara, Konara Mudiyanselage Sandun Y.; Kolhe, Mohan Lal</t>
  </si>
  <si>
    <t>Queue Based Dynamic Charging Resource Allocation and Coordination for Heterogeneous Traffic in an Electrical Vehicle Charging Station</t>
  </si>
  <si>
    <t>ENERGY SOURCES PART A-RECOVERY UTILIZATION AND ENVIRONMENTAL EFFECTS</t>
  </si>
  <si>
    <t>Electric vehicles; coordinated charging of EVs; distributed charging control; hierarchical charging system; fast charging of EVs</t>
  </si>
  <si>
    <t>MACHINE</t>
  </si>
  <si>
    <t>Electric vehicle (EV) fast-charging stations (CSs) with innovative operation management strategies can help to meet the growing EV charging needs. Despite the short charging time associated with the fast charging of EVs, massive deployment of plugged-in EVs for fast charging triggers network surges in the distributed network. Nevertheless, these challenges can be effectively addressed with appropriate EV admission control, charging resource allocation, and coordinated charging strategies. This work proposes an innovative EV-CS operation mechanism that maximizes the CS profit by allowing fast charging EVs to access the CS opportunistically without stressing the distributed network. Furthermore, a queue is employed in the dynamic resource allocation process to favor more fast charging requests through buffering non-critical slow charging EVs, as fast charging users would otherwise be blocked or forcibly terminated. Performance of the proposed priority-based charging coordination is analyzed in terms of the optimum utilization of demand limit, charging completion rate, and charging station utilization. Therefore, it keeps the average charging station utilization above 90% at higher arrival rates of EVs while the distribution transformer is being loaded only up to 50% of its rated capacity. Moreover, the blocking and forced termination probabilities of fast charging users are used to evaluate the service quality of EV charging. The presented dynamic resource allocation and charging coordination strategies for heterogeneous EV traffic maximize the CS profit while assuring quality service to EV users without stressing the distributed network.</t>
  </si>
  <si>
    <t>10.1080/15567036.2021.1974983</t>
  </si>
  <si>
    <t>Garcia-Villalobos, J; Zamora, I; San Martin, JI; Asensio, FJ; Aperribay, V</t>
  </si>
  <si>
    <t>Garcia-Villalobos, J.; Zamora, I.; San Martin, J. I.; Asensio, F. J.; Aperribay, V.</t>
  </si>
  <si>
    <t>Plug-in electric vehicles in electric distribution networks: A review of smart charging approaches</t>
  </si>
  <si>
    <t>Plug-in electric vehicles; Smart charging; Distribution networks</t>
  </si>
  <si>
    <t>RENEWABLE ENERGY-SOURCES; MANAGEMENT; HYBRID; STRATEGIES; IMPACT; PHEV; INTEGRATION; MICROGRIDS; SYSTEMS; GRIDS</t>
  </si>
  <si>
    <t>Plug-in electric vehicles (PEV) are emerging as an efficient and sustainable alternative for private and public road transportation. From the point of view of electric grids, PEVs are currently considered as simple loads due to their low market penetration. However, as the PEV fleet grows, implementation of an intelligent management system will be necessary in order to avoid large capital expenditures in network reinforcements and negative effects on electric distribution networks, such as: voltage deviations, transformers and lines saturations, increase of electrical losses, etc. These issues may jeopardize the safety and reliability of the grid. As a consequence, this topic has been researched in many papers where a wide range of solutions have been proposed. This paper presents a review of different strategies, algorithms and methods to implement a smart charging control system. Also significant projects around the world about PEVs integration are presented. Finally, on the basis of this review, main findings and some recommendations are presented. (C) 2014 Elsevier Ltd. All rights reserved.</t>
  </si>
  <si>
    <t>10.1016/j.rser.2014.07.040</t>
  </si>
  <si>
    <t>It is a research on pricing adjustment</t>
  </si>
  <si>
    <t>Lin, J; Xiao, B; Zhang, HL; Yang, XY; Zhao, P</t>
  </si>
  <si>
    <t>Lin, Jie; Xiao, Biao; Zhang, Hanlin; Yang, Xinyu; Zhao, Peng</t>
  </si>
  <si>
    <t>A novel underfill-SOC based charging pricing for electric vehicles in smart grid</t>
  </si>
  <si>
    <t>SUSTAINABLE ENERGY GRIDS &amp; NETWORKS</t>
  </si>
  <si>
    <t>Smart grid; Electric vehicles; Charging price; Underfill-SOC</t>
  </si>
  <si>
    <t>PARTICLE SWARM</t>
  </si>
  <si>
    <t>With the advanced communication, computation, control and manufacturing technologies, electric vehicles have been extensively developed to improve the utilization of clean energy and reduce emissions. Despite the tremendous advantages, the rapidly growing of deploying electric vehicles will bring new insecurities, such as disorderly charging behaviors, which affect the stability of the smart grid. Although considerable efforts on charging schedules have been developed to improve energy utilization and reduce load fluctuation in the smart grid, the profits of utility company have not been investigated. In addition, most of these schemes also lead to inefficient battery utilization, i.e., electric vehicles usually charge while their batteries still have a lot of energy left. To address these issues, in this paper, a novel underfill-SOC based charging pricing (USoCP) scheme is proposed for electric vehicles in smart grid, which can achieve great battery utilization, as well as guarantee great profits of utility company and load balance of the whole grid. Particularly, via introducing the Logistic function into charging pricing determination, the proposed USoCP scheme can effectively improve the underfill state of charge (underfill-SOC) for battery charging, thereby improving the battery utilization. Meanwhile, to reduce the load fluctuation and guarantee great profits of utility company, a charging price based demand-response model is conducted to determine the effective charging power quantity, and a charging pricing determination model is formalized as an optimization problem to reduce the peak-to-average ratio of power load and guarantee great electricity selling profits of utility company. Finally, a Particle Swarm Optimization (PSO) based solution is proposed to solve the optimization problem and determine the effective charging price for electric vehicles. Via extensive evaluations, the results show that the proposed USoCP scheme can effectively stimulate electric vehicles to charge more energy in each battery charging (i.e., improving the battery utilization), reduce peak power load, as well as guarantee great profits of utility company. (C) 2021 Elsevier Ltd. All rights reserved.</t>
  </si>
  <si>
    <t>10.1016/j.segan.2021.100533</t>
  </si>
  <si>
    <t>OCT 2021</t>
  </si>
  <si>
    <t>Li, SY; Xie, F; Huang, YX; Lin, ZH; Liu, CZ</t>
  </si>
  <si>
    <t>10.1016/j.trd.2020.102481</t>
  </si>
  <si>
    <t>It considers PHEV as well (it was a residential multi charging problem)</t>
  </si>
  <si>
    <t>Rezaei, P; Frolik, J; Hines, PDH</t>
  </si>
  <si>
    <t>Rezaei, Pooya; Frolik, Jeff; Hines, Paul D. H.</t>
  </si>
  <si>
    <t>Packetized Plug-In Electric Vehicle Charge Management</t>
  </si>
  <si>
    <t>Communication systems; plug-in electric vehicles; smart charging</t>
  </si>
  <si>
    <t>IMPACTS</t>
  </si>
  <si>
    <t>Plug-in electric vehicle (PEV) charging could cause significant strain on residential distribution systems, unless technologies and incentives are created to mitigate charging during times of peak residential consumption. This paper describes and evaluates a decentralized and packetized approach to PEV charge management, in which PEV charging is requested and approved for time-limited periods. This method, which is adapted from approaches for bandwidth sharing in communication networks, simultaneously ensures that constraints in the distribution network are satisfied, that communication bandwidth requirements are relatively small, and that each vehicle has fair access to the available power capacity. This paper compares the performance of the packetized approach to an optimization method and a first-come, first-served (FCFS) charging scheme in a test case with a constrained 500 kVA distribution feeder and time-of-use residential electricity pricing. The results show substantial advantages for the packetized approach. The algorithm provides all vehicles with equal access to constrained resources and attains near optimal travel cost performance, with low complexity and communication requirements. The proposed method does not require that vehicles report or record driving patterns, and thus provides benefits over optimization approaches by preserving privacy and reducing computation and bandwidth requirements.</t>
  </si>
  <si>
    <t>10.1109/TSG.2013.2291384</t>
  </si>
  <si>
    <t>Wei, Z; Li, Y; Zhang, YM; Cai, L</t>
  </si>
  <si>
    <t>ELECTRIC VEHICLES; MANAGEMENT; SYSTEMS; BEHAVIOR; ENERGY</t>
  </si>
  <si>
    <t>10.1109/TIE.2017.2740834</t>
  </si>
  <si>
    <t>It is a conference proceeding (it was power grid problem)</t>
  </si>
  <si>
    <t>Soares, J; Almeida, J; Gomes, L; Canizes, B; Vale, Z; Neto, E</t>
  </si>
  <si>
    <t>Soares, Joao; Almeida, Jose; Gomes, Lucas; Canizes, Bruno; Vale, Zita; Neto, Edison</t>
  </si>
  <si>
    <t>Electric vehicles local flexibility strategies for congestion relief on distribution networks</t>
  </si>
  <si>
    <t>ENERGY REPORTS</t>
  </si>
  <si>
    <t>Article; Proceedings Paper</t>
  </si>
  <si>
    <t>Distribution system; Electric vehicles; Flexibility strategies; Smart charging</t>
  </si>
  <si>
    <t>Due to the rising concern for the environment and sustainability issues, the transportation system is experiencing important changes to its paradigm, with the increasing replacement of internal combustion vehicles by electric ones. Consequently, the electric systems need to adapt to the ever-increasing load demand from the grid and the challenge to identify driving patterns in electric vehicle users' behavior. To prepare the grid for these changes, it is necessary to study the behavior of EV users and develop strategies to cope with the growing demand for electric vehicles. Knowing that electric vehicles experience long-parked periods at the charging stations (more than necessary to fully recharge the battery), this research paper proposes an EV charging strategy that intelligently explores these long-parked times. It interrupts charging of EVs that have enough charge to start their trip from certain charging stations to alleviate problems in the network in exchange for a certain incentive. This methodology is then applied in a realistic smart city to investigate its application. The results show that the proposed methodology brings benefits to the distribution network to relieve line congestion and improve the voltage magnitude at the network buses. (C) 2022 The Author(s). Published</t>
  </si>
  <si>
    <t>10.1016/j.egyr.2022.01.036</t>
  </si>
  <si>
    <t>It presents a -rather simple- coordination method. However, it is a study on the impact of GHG emission.</t>
  </si>
  <si>
    <t>Huber, J; Lohmann, K; Schmidt, M; Weinhardt, C</t>
  </si>
  <si>
    <t>Huber, Julian; Lohmann, Kai; Schmidt, Marc; Weinhardt, Christof</t>
  </si>
  <si>
    <t>Carbon efficient smart charging using forecasts of marginal emission factors</t>
  </si>
  <si>
    <t>JOURNAL OF CLEANER PRODUCTION</t>
  </si>
  <si>
    <t>Battery electric vehicles; Carbon footprint; Forecasting; Smart charging</t>
  </si>
  <si>
    <t>ELECTRIC VEHICLES; DECISION-MAKING; IMPACTS; ENERGY; FLEXIBILITY; GENERATION; RENEWABLES; MODEL; PRICE; POWER</t>
  </si>
  <si>
    <t>Battery electric vehicles do not emit CO2 from an internal combustion engine but can cause emissions while charging electricity generated by remote fossil power plants. Smart charging offers the possibility to reduce carbon dioxide emissions (CO2) by shifting the charging sessions to moments with lower emissions in power generation. However, this requires the battery electric vehicle user to accept postponed charging and a system to shift charging towards times with lower CO(2 )emissions. This requires a forecast of the marginal emission factors of the energy system. While marginal emission factors are often used to evaluate CO2 saving potentials of smart charging in long-term scenarios, there is little insight on the saving potentials of individual charging sessions in the short run. We derive marginal emission factors for Germany in 2017 using an established regression model and generate short-term predictions of marginal emission factors using a multilayer perception (MLP). The forecasts can provide feedback to drivers and allow scheduling for CO2 efficient smart charging. Comparison between this approach and immediate charging throughout a year in the German power system allows calculating the CO2 saving potentials of the system. The results show that marginal emission factors in Germany depend on the system's load with peak load levels having the smallest marginal emission factors. Using average instead of marginal emission factors, can result in misinformation and even increase emissions. We propose forecasts of marginal emission factors that rely on short-term load forecasts and are accurate enough to obtain substantial saving in CO(2 )emissions from 1% to 10% depending on the charging parameters. While using this approach as a smart charging algorithm would result in increasing peak loads, the methodology might be a way to provide BEV users with real-time feedback of their charging behaviour and increase their willingness to postpone charging. (C) 2020 Elsevier Ltd. All rights reserved.</t>
  </si>
  <si>
    <t>10.1016/j.jclepro.2020.124766</t>
  </si>
  <si>
    <t>It presents a -rather simple- coordination method. However, it is a study that focus on the study case rather than a method. Nevertheless, it has interesting conclusions.</t>
  </si>
  <si>
    <t>Crozier, C; Morstyn, T; McCulloch, M</t>
  </si>
  <si>
    <t>Crozier, Constance; Morstyn, Thomas; McCulloch, Malcolm</t>
  </si>
  <si>
    <t>The opportunity for smart charging to mitigate the impact of electric vehicles on transmission and distribution systems</t>
  </si>
  <si>
    <t>Distribution system; Electric vehicles; Smart charging; Transmission system</t>
  </si>
  <si>
    <t>OPTIMIZATION; MODEL</t>
  </si>
  <si>
    <t>A rapid increase in the number of electric vehicles is expected in coming years, driven by government incentives and falling battery prices. Charging these vehicles will add significant load to the electricity network, and it is important to understand the impact this will have on both the transmission and distribution level systems, and how smart charging can alleviate it. Here we analyse the effects that charging a large electric vehicle fleet would have on the power network, taking into account the spatial heterogeneity of vehicle use, electricity demand, and network structure. A conditional probability based method is used to model uncontrolled charging demand, and convex optimisation is used to model smart charging. Stochasticity is captured using Monte Carlo simulations. It is shown that for Great Britain's power system, smart charging can simultaneously eliminate the need for additional generation infrastructure required with 100% electric vehicle adoption, while also reducing the percentage of distribution networks which would require reinforcement from 28% to 9%. Discussion is included as to how far these results can be extended to other power systems.</t>
  </si>
  <si>
    <t>JUN 15</t>
  </si>
  <si>
    <t>10.1016/j.apenergy.2020.114973</t>
  </si>
  <si>
    <t>Liang, YC; Ding, ZH; Ding, T; Lee, WJ</t>
  </si>
  <si>
    <t>Liang, Yanchang; Ding, Zhaohao; Ding, Tao; Lee, Wei-Jen</t>
  </si>
  <si>
    <t>Mobility-Aware Charging Scheduling for Shared On-Demand Electric Vehicle Fleet Using Deep Reinforcement Learning</t>
  </si>
  <si>
    <t>Scheduling; Dispatching; Neural networks; Optimization; Markov processes; Electric vehicles; Machine learning; Electric vehicle; deep reinforcement learning; order dispatching; rebalancing; charging scheduling</t>
  </si>
  <si>
    <t>STRATEGY; GAME; GO</t>
  </si>
  <si>
    <t>With the emerging concept of sharing-economy, shared electric vehicles (EVs) are playing a more and more important role in future mobility-on-demand traffic system. This article considers joint charging scheduling, order dispatching, and vehicle rebalancing for large-scale shared EV fleet operator. To maximize the welfare of fleet operator, we model the joint decision making as a partially observable Markov decision process (POMDP) and apply deep reinforcement learning (DRL) combined with binary linear programming (BLP) to develop a near-optimal solution. The neural network is used to evaluate the state value of EVs at different times, locations, and states of charge. Based on the state value, dynamic electricity prices and order information, the online scheduling is modeled as a BLP problem where the decision variables representing whether an EV will 1) take an order, 2) rebalance to a position, or 3) charge. We also propose a constrained rebalancing method to improve the exploration efficiency of training. Moreover, we provide a tabular method with proved convergence as a fallback option to demonstrate the near-optimal characteristics of the proposed approach. Simulation experiments with real-world data from Haikou City verify the effectiveness of the proposed method.</t>
  </si>
  <si>
    <t>10.1109/TSG.2020.3025082</t>
  </si>
  <si>
    <t>Ki, Y; Kim, BI; Ko, YM; Jeong, H; Koo, J</t>
  </si>
  <si>
    <t>RENEWABLE ENERGY-SOURCES; SYSTEM</t>
  </si>
  <si>
    <t>10.1016/j.apm.2018.07.060</t>
  </si>
  <si>
    <t>It lacks of several details (it was a multi station problem)</t>
  </si>
  <si>
    <t>Zaggaf, MH; Mestari, M; Raihani, A; Qbadou, M</t>
  </si>
  <si>
    <t>Zaggaf, Mohammed-Hicham; Mestari, Mohamed; Raihani, Abdelhadi; Qbadou, Mohamed</t>
  </si>
  <si>
    <t>An Electric Vehicles Smart Charging Based on Distributed Multi-Agent System</t>
  </si>
  <si>
    <t>INTERNATIONAL JOURNAL OF COMPUTER SCIENCE AND NETWORK SECURITY</t>
  </si>
  <si>
    <t>Electric vehicle; smart grid; multi-agent system; heuristic; distributed-coordination approach; charging station</t>
  </si>
  <si>
    <t>Due to the predictable increase in the fossil fuels price, proper to their rarefaction, electric mobility is one of mobility alternatives that actually attracting a huge interest. This innovative technology requires an intelligent control of electric charging stations since the vital issue in this technology is the recharging of EVs (Electric Vehicles) batteries. On the other hand, growth of EVs will have a significant impact on the power grid due to the increase in electric energy consumption. Therefore, it is crucial to operate smart and optimized EVs charging. This latter should be optimized for grid load while guaranteeing that trips requirements and vehicle owners' schedules are met. In this paper we propose a multi-agent based system which aims to provide an optimal set of available charging station for each vehicle in reply to the drivers' request. First, we propose a mathematical formulation of the problem before solving it using improved A* algorithm which forms a backbone of vehicle navigation systems. The Multi-agent-based system is built around a hierarchical and distributed architecture of subsystems represented by agents. These agents interact between them for performing a mission according to a distributed-coordination approach.</t>
  </si>
  <si>
    <t>JUN 30</t>
  </si>
  <si>
    <t>It presents a model, but it is more a study for an algorithm to solve a two-stage stochastic program rather than a coordinated charging method.</t>
  </si>
  <si>
    <t>Yang, L; Zhang, JS; Poor, HV</t>
  </si>
  <si>
    <t>Yang, Lei; Zhang, Junshan; Poor, H. Vincent</t>
  </si>
  <si>
    <t>Risk-Aware Day-Ahead Scheduling and Real-time Dispatch for Electric Vehicle Charging</t>
  </si>
  <si>
    <t>Distributed algorithm; electric vehicles; importance sampling; smart charging; smart grids</t>
  </si>
  <si>
    <t>SMART GRIDS; RELIABILITY</t>
  </si>
  <si>
    <t>This paper studies risk-aware day-ahead scheduling and real-time dispatch for electric vehicle (EV) charging, aiming to jointly optimize the EV charging cost and the risk of the load mismatch between the forecast and the actual EV loads, due to the random driving activities of EVs. It turns out that the consideration of the load mismatch risk in the objective function significantly complicates the risk-aware day-ahead scheduling problem (indeed it involves nonconvex optimization). A key step taken here is to utilize a hidden convexity structure to recast this problem as a two-stage stochastic linear program, and then solve it by using the L-shaped method. Since the computational complexity grows exponentially in the number of EVs, an estimation algorithm is developed based on importance sampling to mitigate the computational complexity. Further, a distributed risk-aware real-time dispatch algorithm is developed, in which the aggregator needs to compute only the shadow prices for each EV to optimize its own charging strategy in a distributed manner. It is shown, based on real data, that the proposed risk-aware day-ahead scheduling algorithm using importance sampling can significantly reduce the overall charging cost with a small number of samples.</t>
  </si>
  <si>
    <t>10.1109/TSG.2013.2290862</t>
  </si>
  <si>
    <t>It is a work that presents a communication system design toward coordinated charging. Despite this presents a simulation, they are only basic policies</t>
  </si>
  <si>
    <t>Abousleiman, R; Scholer, R</t>
  </si>
  <si>
    <t>Abousleiman, Rami; Scholer, Richard</t>
  </si>
  <si>
    <t>Smart Charging: System Design and Implementation for Interaction Between Plug-in Electric Vehicles and the Power Grid</t>
  </si>
  <si>
    <t>Electric vehicles; grid balance and optimization; smart charging; smart grid</t>
  </si>
  <si>
    <t>Recent years have witnessed steady sales increase of electric and plug-in electric vehicles (PEVs). Stringent government regulations alongside persistent pressure from environmental groups will further increase the demand and sales of such vehicles. This trend might put pressure on the grid and local power distribution circuits and transformers. A sudden increase in power consumption, mainly caused by people charging their vehicles at the same time, and during the already peak load on the utility, may cause problems. These problems are mainly caused by the heavy demand on the local voltage transformers and the power sources. Power generation and distribution utilities may need to incur significant cost increases if this problem is not handled appropriately. In this paper, we present a novel design and implementation logic for a smart grid system that allows for dynamic interaction between electric/PEVs and the power grid. This smart and dynamic interaction will allow for safe and semi-stable load on the grid and thus minimizing the cost and preventing damage caused by the excessive loads. The complete system design is presented in this paper with emphasis on the developed algorithms. It has been implemented and tested on the Chrysler's PEV RAM 1500 US. Department of Energy pickup trucks.</t>
  </si>
  <si>
    <t>10.1109/TTE.2015.2426571</t>
  </si>
  <si>
    <t>Pretty bad article in the proposal, but excellent for information about transformer aging</t>
  </si>
  <si>
    <t>Smith, T; Garcia, J; Washington, G</t>
  </si>
  <si>
    <t>Smith, Theron; Garcia, Joseph; Washington, Gregory</t>
  </si>
  <si>
    <t>Novel PEV Charging Approaches for Extending Transformer Life</t>
  </si>
  <si>
    <t>energy usage; plug-in electric vehicle; valley filling; distribution transformer; electric vehicle charging; smart charging</t>
  </si>
  <si>
    <t>ELECTRIC VEHICLES; COORDINATION; IMPACT</t>
  </si>
  <si>
    <t>The study investigates how variable rate charging can affect PEV charging and identifies how this capability can be integrated into residential neighborhoods. The results show that creating PEV chargers that can deliver variable rates will enhance uncontrolled and controlled PEV charging. The integration is summarized into 4 phases. In phase 1, uncontrolled PEV chargers should be enabled to provide any rate to vehicles within 0 to 11.5 kW, which can reduce overloading by up to 28.34%. Phase 2 introduces smart chargers that use forecasted data to determine the optimal time intervals for PEVs to charge using a fixed rate of 4.8 kW, capable of reducing overloading by 42.69%. In Phase 3, a controlled smart charging strategy that can deliver any rate to a vehicle using SRVF's approach is proposed, which will reduce overloading by up to 42.87%. Lastly, phase 4 recommends a smart charging control that can deliver any rate to a vehicle using RIVF's approach, reducing overloading by up to 43.37%.</t>
  </si>
  <si>
    <t>10.3390/en15124454</t>
  </si>
  <si>
    <t>Chen, J; Huang, XQ; Tian, SM; Cao, YJ; Huang, BC; Luo, XY; Yu, WL</t>
  </si>
  <si>
    <t>IMPACT</t>
  </si>
  <si>
    <t>AUG 6</t>
  </si>
  <si>
    <t>10.1049/iet-gtd.2019.0154</t>
  </si>
  <si>
    <t>Antoun, J; Kabir, ME; Moussa, B; Atallah, R; Assi, C</t>
  </si>
  <si>
    <t>Antoun, Joseph; Kabir, Mohammad Ekramul; Moussa, Bassam; Atallah, Ribal; Assi, Chadi</t>
  </si>
  <si>
    <t>A Detailed Security Assessment of the EV Charging Ecosystem</t>
  </si>
  <si>
    <t>IEEE NETWORK</t>
  </si>
  <si>
    <t>Security; Electric vehicle charging; Charging stations; Meters; Pricing; Smart meters</t>
  </si>
  <si>
    <t>The drive for efficient, reliable, green, and connected smart cities has promoted the use of electric vehicles (EVs) as the main future means of transportation. This resulted in a breakthrough in the anticipated number of adopted EVs by the year 2020, and consequently an urge for an available and trustworthy EV charging infrastructure. The diversity of the involved players, the used technologies, the bulk data exchange, and the widespread nature of the charging network give rise to security concerns in the form of message tampering, spoofing, or delaying among others to disconcert the charging service along with the underlying power layer. Furthermore, confidentiality and privacy of user information (i.e. identity, location, payment information, etc.) is another major concern associated with the deployment and use of the charging infrastructure. Thus, there is a need to identify and classify such concerns, and devise suitable solutions for a secure charging infrastructure. In this paper, we present a security assessment of the EV charging infrastructure. We highlight and categorize cyber threats targeting different players in a charging system, along with the security solutions presented in the literature. Finally, we present a gap analysis and insights into future research directions for EV charging system security.</t>
  </si>
  <si>
    <t>MAY-JUN</t>
  </si>
  <si>
    <t>10.1109/MNET.001.1900348</t>
  </si>
  <si>
    <t>Smart Electric Vehicle Charging via Adjustable Real-Time Charging Rates</t>
  </si>
  <si>
    <t>fuzzy logic; plug-in electric vehicle; valley filling; distribution transformer; electric vehicle charging; smart charging</t>
  </si>
  <si>
    <t>TRANSFORMER; COORDINATION</t>
  </si>
  <si>
    <t>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t>
  </si>
  <si>
    <t>10.3390/app112210962</t>
  </si>
  <si>
    <t>Tu, R; Gai, YJ; Farooq, B; Posen, D; Hatzopoulou, M</t>
  </si>
  <si>
    <t>Tu, Ran; Gai, Yijun (Jessie); Farooq, Bilal; Posen, Daniel; Hatzopoulou, Marianne</t>
  </si>
  <si>
    <t>Electric vehicle charging optimization to minimize marginal greenhouse gas emissions from power generation</t>
  </si>
  <si>
    <t>GHG; Electric vehicle; Electric vehicle charging schedule; Life-cycle emissions; Marginal emission factor; Optimization</t>
  </si>
  <si>
    <t>STATIONS; IMPACTS; HYBRID</t>
  </si>
  <si>
    <t>Electrification of urban transportation systems is an important path towards achieving low carbon transportation and meeting climate commitments. Despite zero on-road greenhouse gas emissions, the upstream emissions from electricity generation cannot be ignored. In this study, a heuristic algorithm was designed to optimize regional electric vehicle charging schedules with the objective of minimizing greenhouse gas emissions from electricity generation. Our study is set in the Greater Toronto and Hamilton Area. Emissions from the charging demand are estimated by a marginal emission model calibrated with historical data for Ontario electricity generation. The results illustrate that the optimized plan can reduce greenhouse gas emissions by around 97% compared to a base case, where vehicles are powered by gasoline. Four other charging scenarios (home, out of home, after trip, and after 3am) that do not entail optimization were also investigated and compared with the optimized plan. The scenario where charging is only allowed after 3am generates the lowest emissions among all four scenarios but its emissions are 50% higher than the optimized scenario. Charging at the end of each trip was observed to generate the highest emissions. Locations serving the most charging events, and the number of non-residential charging plugs were also evaluated. The home location serves most charging events, followed by workplace. The optimized plan requires the second highest number of public charging plugs. This implies a trade-off between greenhouse gas emissions associated with vehicle charging and investments in electric vehicle charging infrastructure.</t>
  </si>
  <si>
    <t>10.1016/j.apenergy.2020.115517</t>
  </si>
  <si>
    <t>Jin, YW; Yu, B; Seo, M; Han, S</t>
  </si>
  <si>
    <t>Jin, Yuwei; Yu, Byeonggu; Seo, Mingyu; Han, Sekyung</t>
  </si>
  <si>
    <t>Optimal Aggregation Design for Massive V2G Participation in Energy Market</t>
  </si>
  <si>
    <t>Optimization; Real-time systems; Electric vehicle charging; Schedules; Power grids; Load modeling; Vehicle-to-grid; Electric vehicles; vehicle-to-grid; electric vehicle aggregator; day-ahead optimization schedule; real-time optimization schedule</t>
  </si>
  <si>
    <t>As a new type of transportation, electric vehicles (EV) can effectively adjust the supply and demand balance of power systems using their vehicle-to-grid (V2G) characteristics. To better promote the participation of EV resources in the energy market and interact with power systems, we propose a novel framework of an electric vehicle aggregator (EVA) that can aggregate schedulable EVs within its jurisdiction to provide auxiliary services for the power grid. Due to EV charging behavior's uncertain nature, we employ a probability mass function (PMF) based model to provide more accurate forecasts of future EV behaviors. To reduce EVA operation costs and maximize the travel utility for EV users participating in this service, we develop an EVA optimization schedule model that combines a day-ahead optimization schedule and real-time optimization schedule. Finally, we create three case studies to verify the results of the proposed method. Matlab is used to simulate and analyze each case study concerning uncoordinated charging, coordinated charging while considering day-ahead optimization schedules, and an ensemble of coordinated charging activities that consider the day-ahead optimization schedule and real-time optimization schedule. Through comparative analysis, it is verified that the proposed strategy can effectively reduce EVAs' operating costs and meet the travel requirements of EV users. The impact of different degrees of error of EV plug-out information on the proposed method is also analyzed.</t>
  </si>
  <si>
    <t>10.1109/ACCESS.2020.3039507</t>
  </si>
  <si>
    <t>Deng, Q; Feng, CS; Wen, FS; Tseng, CL; Wang, L; Zou, B; Zhang, XZ</t>
  </si>
  <si>
    <t>Deng, Qing; Feng, Changsen; Wen, Fushuan; Tseng, Chung-Li; Wang, Lei; Zou, Bo; Zhang, Xizhu</t>
  </si>
  <si>
    <t>Evaluation of Accommodation Capability for Electric Vehicles of a Distribution System Considering Coordinated Charging Strategies</t>
  </si>
  <si>
    <t>distribution system; flexible resources; electric vehicle; accommodation capability; coordinated charging</t>
  </si>
  <si>
    <t>DISPATCH</t>
  </si>
  <si>
    <t>In recent years, the ever-increasing charging demand of electric vehicles (EVs) imposes challenges on both power supply security and reliability in the distribution system. In this paper, an EV accommodation capability evaluation model of a distribution system, with high penetrations of flexible resources, is established. Firstly, according to the actual classifications of EVs and transportation rules, a Monte Carlo simulation is used to simulate the charging behaviors of EVs so as to obtain the relevant parameters of EV charging. Then, a coordinated charging optimization model for various types of EVs is proposed based on the charging characteristics of EVs. The presented model comprises a mixed-integer linear programming problem and a constrained optimization problem which are respectively solved by CPLEX (the Simplex method implemented in the degrees C programming language) and the particle swarm optimization (PSO) algorithm. Last of all, a real-life distribution system in the coastal areas of China is served for demonstrating the feasibility and efficiency of the proposed approach. Moreover, the impacts of flexible resources, distribution network zoning rules, and EV growth on the EV accommodation capability of a distribution system are also discussed.</t>
  </si>
  <si>
    <t>AUG 2</t>
  </si>
  <si>
    <t>10.3390/en12163056</t>
  </si>
  <si>
    <t>Csonka, B; Csiszar, C</t>
  </si>
  <si>
    <t>Csonka, Balint; Csiszar, Csaba</t>
  </si>
  <si>
    <t>INTEGRATED INFORMATION SERVICE FOR PLUG-IN ELECTRIC VEHICLE USERS INCLUDING SMART GRID FUNCTIONS</t>
  </si>
  <si>
    <t>TRANSPORT</t>
  </si>
  <si>
    <t>plug-in electric vehicle; information service; charging scheduling method; sensitivity analysis; smart grid</t>
  </si>
  <si>
    <t>MANAGEMENT; DEMAND</t>
  </si>
  <si>
    <t>Information provision can mitigate the drawbacks of electric vehicle use. In this paper, we elaborate an integrated Information Service (IS) for Plug-in Electric Vehicle (PEV) users that cover each process of use. The system elements and their relations are modelled. We deduce the functions from the negatives of electric vehicles compared to conventional ones. The information management processes are elaborated in detail. We focus on the charging and recharging periods considering dynamic electricity rates in the Smart Grid in order to minimalize the cost of charging from the user's perspective. We elaborate a cost saving method and evaluate the effects of dynamic tariff and forethoughtful behaviour. Since our proposed information, service covers each phase of use and reduces charging costs the presented solution simplifies electric vehicle use and improves efficiency. Furthermore, we elaborate the automatic charging scheduling methods that significantly reduce the charging cost and the fluctuation of the electricity demand.</t>
  </si>
  <si>
    <t>10.3846/transport.2019.8548</t>
  </si>
  <si>
    <t>Bin Humayd, AS; Bhattacharya, K</t>
  </si>
  <si>
    <t>Bin Humayd, Abdullah S.; Bhattacharya, Kankar</t>
  </si>
  <si>
    <t>A Novel Framework for Evaluating Maximum PEV Penetration Into Distribution Systems</t>
  </si>
  <si>
    <t>Plug-in electric vehicles; local distribution company; smart charging; uncontrolled charging</t>
  </si>
  <si>
    <t>PLUG-IN HYBRID; ELECTRIC VEHICLES; DISTRIBUTION NETWORK; LOSS REDUCTION; IMPACTS; COORDINATION</t>
  </si>
  <si>
    <t>Due to environmental concerns and depletion of fossil fuel resources, the penetration of plug-in electric vehicles (PEVs) is expected to increase in the near future. However, such electrification of the transportation sector is expected to impact the distribution grid adversely. This paper presents a novel framework to determine the appropriate level of PEV penetration that distribution systems can accommodate. Monte Carlo simulation has been used to simulate the uncertainty of typical demand, drivers' behavior, PEV market share, and charging level share. Moreover, the maximum allowable penetration of uncontrolled and smart charging loads are determined based on the current available market data pertaining to PEV type and charging level, considering different charging scenarios. The proposed framework is examined and compared across a number of scenarios.</t>
  </si>
  <si>
    <t>10.1109/TSG.2016.2618219</t>
  </si>
  <si>
    <t>Wang, GC; Ratnam, E; Haghi, HV; Kleissl, J</t>
  </si>
  <si>
    <t>Wang, Guang Chao; Ratnam, Elizabeth; Haghi, Hamed Valizadeh; Kleissl, Jan</t>
  </si>
  <si>
    <t>Corrective receding horizon EV charge scheduling using short-term solar forecasting</t>
  </si>
  <si>
    <t>Electric vehicle charging; Optimal scheduling; Solar forecast errors</t>
  </si>
  <si>
    <t>ENERGY MANAGEMENT; BATTERY STORAGE; SKY IMAGER; DISTRIBUTION NETWORKS; ELECTRIC VEHICLES; WIND POWER; GENERATION; OPTIMIZATION; SYSTEM; MODEL</t>
  </si>
  <si>
    <t>Forecast errors can cause sub-optimal solutions in resource planning optimization, yet they are usually modeled simplistically by statistical models, causing unrealistic impacts on the optimal solutions. In this paper, realistic forecast errors are prescribed, and a corrective approach is proposed to mitigate the negative effects of day-ahead persistence forecast error by short-term forecasts from a state-of-the-art sky imager system. These forecasts preserve the spatiotemporal dependence structure of forecast errors avoiding statistical approximations. The performance of the proposed algorithm is tested on a receding horizon quadratic program developed for valley filling the midday net load depression through electric vehicle charging. Throughout one month of simulations the ability to flatten net load is assessed under practical forecast accuracy levels achievable from persistence, sky imager and perfect forecasts. Compared to using day-ahead persistence solar forecasts, the proposed corrective approach using sky imager forecasts delivers a 25% reduction in the standard deviation of the daily net load. It is demonstrated that correcting day-ahead forecasts in real time with more accurate short-term forecasts benefits the valley filling solution. (C) 2018 Elsevier Ltd. All rights reserved.</t>
  </si>
  <si>
    <t>10.1016/j.renene.2018.08.056</t>
  </si>
  <si>
    <t>Wang, YX; Bi, J; Zhao, XM; Guan, W</t>
  </si>
  <si>
    <t>Wang, Yongxing; Bi, Jun; Zhao, Xiaomei; Guan, Wei</t>
  </si>
  <si>
    <t>A geometry-based algorithm to provide guidance for electric vehicle charging</t>
  </si>
  <si>
    <t>Electric vehicle; Smart charging service; Charging guidance; Geometry-based algorithm; Charging request</t>
  </si>
  <si>
    <t>STRAIGHT-LINE DISTANCE; TIME; NETWORKS; DESIGN; MODELS; ROUTE</t>
  </si>
  <si>
    <t>Electric vehicles (EVs) have been regarded as effective options for solving the environmental and energy problems in the field of transportation. However, given the limited driving range and insufficient charging stations, searching and selecting charging stations is an important issue for EV drivers during trips. A smart charging service should be developed to help address the charging issue of EV drivers, and a practical algorithm for charging guidance is required to realise it. This study aims to design a geometry-based algorithm for charging guidance that can be effectively applied in the smart charging service. Geographic research findings and geometric approaches are applied to design the algorithm. The algorithm is practical because it is based on the information from drivers' charging requests, and its total number of calculations is significantly less than that of the conventional shortest-first algorithm. The algorithm is effective because it considers the consistency of direction trend between the charging route and the destination in addition to the travel distance, which conforms to the travel demands of EV drivers. Moreover, simulation examples are presented to demonstrate the proposed algorithm. Results of the proposed algorithm are compared with those of the other two algorithms, which show that the proposed algorithm can obtain a better selection of charging stations for EV drivers from the perspective of entire travel chains and take a shorter computational time.</t>
  </si>
  <si>
    <t>10.1016/j.trd.2018.07.017</t>
  </si>
  <si>
    <t>Delmonte, E; Kinnear, N; Jenkins, B; Skippon, S</t>
  </si>
  <si>
    <t>Delmonte, Emma; Kinnear, Neale; Jenkins, Becca; Skippon, Stephen</t>
  </si>
  <si>
    <t>What do consumers think of smart charging? Perceptions among actual and potential plug-in electric vehicle adopters in the United Kingdom</t>
  </si>
  <si>
    <t>ENERGY RESEARCH &amp; SOCIAL SCIENCE</t>
  </si>
  <si>
    <t>Plug-in electric vehicle; PEV; Charging behaviour; Managed charging; Smart charging; Consumer</t>
  </si>
  <si>
    <t>ACCEPTANCE; PATTERNS</t>
  </si>
  <si>
    <t>Widespread adoption of Plug-in Electric Vehicles (PEVs) would add substantially to overall electricity demand, while increasing deployment of renewable supply sources will make supply-demand balancing more difficult. Early PEV market experience suggests that users preferentially charge their vehicles in the early evening, when other demands are high. Managed (or Smart) charging aims to shift PEV charging load to times when other demands are low, to facilitate better integration into the wider energy system, operation within network constraints, and minimisation of future network reinforcement costs. However, material effectiveness would require mass engagement with managed charging. To gain initial insight into the potential for managed charging, 60 semi-structured interviews were carried out with actual or potential UK PEV users. Interviews explored present charging behaviour and responses to two types of managed charging schemes, user-managed charging (UMC) based on time-of-use tariffs, and supplier-managed charging (SMC). Participants' willingness to engage with either was conditional on large reductions in charging costs. UMC was preferred over SMC, because of perceived personal control and lower perceived risk that a vehicle might not be fully charged at the required time. Preference for SMC was based mainly on perceived advantages to society as a whole.</t>
  </si>
  <si>
    <t>10.1016/j.erss.2019.101318</t>
  </si>
  <si>
    <t>Garcia-Alvarez, J; Gonzalez, MA; Vela, CR</t>
  </si>
  <si>
    <t>Garcia-Alvarez, Jorge; Gonzalez, Miguel A.; Vela, Camino R.</t>
  </si>
  <si>
    <t>Metaheuristics for solving a real-world electric vehicle charging scheduling problem</t>
  </si>
  <si>
    <t>APPLIED SOFT COMPUTING</t>
  </si>
  <si>
    <t>Scheduling; Electric vehicle; Charging strategy; GRASP; Memetic algorithm</t>
  </si>
  <si>
    <t>PLUG-IN HYBRID; OPTIMAL DECENTRALIZED PROTOCOL; INTELLIGENT PARKING LOT; DISTRIBUTION NETWORKS; MANAGEMENT; ALGORITHM; OPTIMIZATION; SYSTEM; POWER</t>
  </si>
  <si>
    <t>In this paper we consider a problem motivated by a real-world environment: scheduling the charging periods for a large set of electric vehicles, subject to a set of hard constraints, with the objective of minimizing the total tardiness. The set of constraints imposed by the charging station makes it difficult to obtain schedules that are both feasible and efficient. We consider both the static variant of the problem, where arrival time, charging time and due date of vehicles are known in advance, and also the dynamic variant. As the problem is NP-hard, metaheuristics are probably the best option to solve it. In fact, the state-of-the-art methods are a simple genetic algorithm (GA) and a method based on priority rules (EVS). In this paper we propose to design hybrid metaheuristics, motivated by the success of these hybridizations in solving a large number of scheduling problems. In particular we define a GRASP-like method and a memetic algorithm that use the Variable Neighborhood Search framework, both specifically designed for the problem at hand. Experimental results illustrate the potential of the proposed methods, reaching in some test-beds improvements larger than 12% with respect to EVS and GA. (c) 2018 Elsevier B.V. All rights reserved.</t>
  </si>
  <si>
    <t>10.1016/j.asoc.2018.01.010</t>
  </si>
  <si>
    <t>Firouzjah, KG</t>
  </si>
  <si>
    <t>Firouzjah, Khalil Gorgani</t>
  </si>
  <si>
    <t>A Techno-Economic Energy Management Strategy for Electric Vehicles in Public Parking Lot Considering Multi-Scenario Simulations</t>
  </si>
  <si>
    <t>Electric Vehicle; Scheduling; Parking Lot; Charging; Discharging; Benefit</t>
  </si>
  <si>
    <t>PARTICLE SWARM OPTIMIZATION; ALLOCATION; IMPACTS; TECHNOLOGIES; RESOURCES; DEMAND</t>
  </si>
  <si>
    <t>This paper deals with the issue of charging and discharging electric vehicles in public parking lots based on maximizing the parking's benefit. In this regard, a controlled charging/discharging scheduling algorithm is proposed. The optimization procedure guarantees the sale (purchase) of energy from (for) electric vehicles at high (low)-price periods. The effectiveness of the proposed strategy is compared with two uncontrolled strategies including constant time and constant power-based scheduling. The analysis approach is formed by considering the uncertainty of arrival and departure times and state of charge of electric vehicles. As the historical data of the literature does not include all possible scenarios in the process of arrival to departure, the required data have been generated using statistical methods. Accordingly, several scenarios are considered in the formation of a comprehensive database. The scheduling tables obtained from the strategies are evaluated through financial analysis in which the parking's energy consumption cost and its benefit derived from the charging/discharging services and rent of parking space are calculated. In a comparative analysis, the capability of a two-level benefit based scheduling algorithm are investigated to reduce energy consumption cost and increase parking's benefit. Numerical results confirm the effectiveness of the proposed strategy.</t>
  </si>
  <si>
    <t>10.1016/j.scs.2022.103845</t>
  </si>
  <si>
    <t>Wei, Z; Li, Y; Cai, L</t>
  </si>
  <si>
    <t>Wei, Zhe; Li, Yue; Cai, Lin</t>
  </si>
  <si>
    <t>Electric Vehicle Charging Scheme for a Park-and-Charge System Considering Battery Degradation Costs</t>
  </si>
  <si>
    <t>IEEE TRANSACTIONS ON INTELLIGENT VEHICLES</t>
  </si>
  <si>
    <t>Battery degradation; capacity fading; electric vehicle charging; scheduling</t>
  </si>
  <si>
    <t>This paper studies the electric vehicle (EV) charging scheduling problem of a park-and-charge system with the objective to minimize the EV battery charging degradation cost while satisfying the battery charging characteristic. First, we design the operating model of the system while taking the interests of both customers and parking garage into consideration. Subsequently, a battery degradation costmodel is devised to capture the characteristic of battery performance degradation during the charging process. Taking into account the developed battery degradation cost model, EVcharging scheduling problem is explored and a cost minimization problem is formulated. To make the problem tractable, we investigate the features of the problem and decompose the problem into two subproblems. A vacant charging resource allocation algorithm and a dynamic power adjustment algorithm are proposed to obtain the optimal solution of cost minimization. Several simulations based on realistic EV charging settings are conducted to evaluate the effectiveness and applicability of the proposed methods in discussed charging scenarios. Simulation results exhibit the superior performance of the proposed algorithms in achieving the most degradation cost reduction and the lowest peak power load compared with other benchmark solutions, which is beneficial for both customers and charging operators.</t>
  </si>
  <si>
    <t>10.1109/TIV.2018.2843126</t>
  </si>
  <si>
    <t>Ahmad, A; Ullah, Z; Khalid, M; Ahmad, N</t>
  </si>
  <si>
    <t>Ahmad, Afaq; Ullah, Zahid; Khalid, Muhammad; Ahmad, Naveed</t>
  </si>
  <si>
    <t>Toward Efficient Mobile Electric Vehicle Charging under Heterogeneous Battery Switching Technology</t>
  </si>
  <si>
    <t>electric vehicle; battery switching; E-mobility; charging scheduling</t>
  </si>
  <si>
    <t>MANAGEMENT; FRAMEWORK; OPERATION; NETWORK</t>
  </si>
  <si>
    <t>The fast increase in adoption and development of Electric Vehicles (EVs) has invited a significant challenge to the existing charging management techniques and infrastructure. It is necessary to efficiently manage a large number of mobile EVs. As compared to fuel and gasoline type vehicles, the EV has a limited driving range and needs to recharge its battery frequently during long journeys. Hence, with plug-in charging services one major concern is the long duration of battery recharging. In this paper, we employ heterogeneous BS (Battery Switching) technology to provide an alternative charging option to minimize the charging duration of EV. Furthermore, enabling BS reservation in a centralized manner for mobile EVs, load balancing algorithm and optimal selection of Battery Switching Station (BSS) across the network are proposed. In addition, we suggest a scheduling technique for depleted batteries to recharge effectively in BSS to minimize power loss and queuing time at selected BSS. We have conducted a performance evaluation by comparing the proposed scheme with other benchmarks, in terms of average trip duration, total trip energy consumption, etc. Finally, it is proven that the battery stock is managed across the network efficiently through the proposed scheme.</t>
  </si>
  <si>
    <t>10.3390/app12020904</t>
  </si>
  <si>
    <t>Vanitha, V; Resmi, R; Reddy, KNSV</t>
  </si>
  <si>
    <t>Vanitha, V.; Resmi, R.; Reddy, Karri Naga Sai Vineela</t>
  </si>
  <si>
    <t>Machine learning-based charge scheduling of electric vehicles with minimum waiting time</t>
  </si>
  <si>
    <t>COMPUTATIONAL INTELLIGENCE</t>
  </si>
  <si>
    <t>charge scheduling; electric vehicle; fast charging port; zigbee</t>
  </si>
  <si>
    <t>In order to reduce the greenhouse gas emission and limit the rise in global temperature, the trend in automotive industry is changing rapidly and most of the manufacturers are moving towards the electrification of vehicles. Computational intelligence and machine learning play a very important role in the field of electric vehicles (EVs) due to the necessity of automatic control in battery charging and port accessibility. Due to the limited ranges of EVs, they have to be charged periodically during their travels and its charging will take more time. As the number of EVs increases, suitable charging infrastructure having many charging stations and co-ordination of scheduling the charging vehicles from charging stations are necessary. As charging stations have less number of fast charging ports, accessing these fast charging ports needs proper planning. The major challenge of an EV is to identify the charging station with a fast charging port which is on route to the destination with minimum waiting time. This article deals with the application of machine learning in selecting a charging station with available fast charging port and minimum waiting time.</t>
  </si>
  <si>
    <t>10.1111/coin.12333</t>
  </si>
  <si>
    <t>MAY 2020</t>
  </si>
  <si>
    <t>Usman, M; Tareen, WUK; Amin, A; Ali, H; Bari, I; Sajid, M; Seyedmahmoudian, M; Stojcevski, A; Mahmood, A; Mekhilef, S</t>
  </si>
  <si>
    <t>Usman, Muhammad; Tareen, Wajahat Ullah Khan; Amin, Adil; Ali, Haider; Bari, Inam; Sajid, Muhammad; Seyedmahmoudian, Mehdi; Stojcevski, Alex; Mahmood, Anzar; Mekhilef, Saad</t>
  </si>
  <si>
    <t>A Coordinated Charging Scheduling of Electric Vehicles Considering Optimal Charging Time for Network Power Loss Minimization</t>
  </si>
  <si>
    <t>electric vehicle; coordinated charging; low voltage distribution network; optimal charging starting time; optimization</t>
  </si>
  <si>
    <t>SMART GRIDS; STRATEGY; IMPACT</t>
  </si>
  <si>
    <t>Electric vehicles' (EVs) technology is currently emerging as an alternative of traditional Internal Combustion Engine (ICE) vehicles. EVs have been treated as an efficient way for decreasing the production of harmful greenhouse gasses and saving the depleting natural oil reserve. The modern power system tends to be more sustainable with the support of electric vehicles (EVs). However, there have been serious concerns about the network's safe and reliable operation due to the increasing penetration of EVs into the electric grid. Random or uncoordinated charging activities cause performance degradations and overloading of the network asset. This paper proposes an Optimal Charging Starting Time (OCST)-based coordinated charging algorithm for unplanned EVs' arrival in a low voltage residential distribution network to minimize the network power losses. A time-of-use (ToU) tariff scheme is used to make the charging course more cost effective. The concept of OCST takes the departure time of EVs into account and schedules the overnight charging event in such a way that minimum network losses are obtained, and EV customers take more advantages of cost-effective tariff zones of ToU scheme. An optimal solution is obtained by employing Binary Evolutionary Programming (BEP). The proposed algorithm is tested on IEEE-31 bus distribution system connected to numerous low voltage residential feeders populated with different EVs' penetration levels. The results obtained from the coordinated EV charging without OCST are compared with those employing the concept of OCST. The results verify that incorporation of OCST can significantly reduce network power losses, improve system voltage profile and can give more benefits to the EV customers by accommodating them into low-tariff zones.</t>
  </si>
  <si>
    <t>10.3390/en14175336</t>
  </si>
  <si>
    <t>Li, B; Chen, MY; Li, Q; Cheng, TL; Ma, ZM; Zhang, SJ; Qian, X</t>
  </si>
  <si>
    <t>Li, Bo; Chen, Minyou; Li, Qiang; Cheng, Tingli; Ma, Ziming; Zhang, Shujun; Qian, Xiao</t>
  </si>
  <si>
    <t>Integration of battery electric vehicles in a regional hydro-wind-thermal power system</t>
  </si>
  <si>
    <t>Electric vehicle; Smart charging; Unit commitment; CO2 emissions</t>
  </si>
  <si>
    <t>The deployment of renewable electricity and electric vehicles (EVs) provides a synergistic opportunity to accelerate both the decarbonization of the power system and the transportation sectors. This study investigates the consequences of integrating electric vehicles (EVs) in the Chongqing thermal-hydro-wind power system by using the unit commitment model. We focus on how EVs integration strategies (smart charging and unmanaged charging) impact the power system, in terms of operating costs, CO2 emissions, and curtailment of renewables of the power system. We choose the year 2030 as a study year, and the future electricity demand, installed capacity, and EVs population in Chongqing are projected in this study. Monte Carlo simulations are applied to model EV's charging behaviors based on the statistics of private vehicles. The results show that EVs could reduce CO2 emissions from the power system if coupled with active integration strategies, whereas a passive integration strategy is likely to increase CO2 emissions. Furthermore, CO2 emissions of EVs when running the power system can be 74.2 % lower than the emissions from gasoline-driven vehicles (220 g/km). Economically, the results show that a smart charging strategy saves $201 per EV more annually than does a case where the charging is unmanaged. (C) 2020 Published by Elsevier Ltd. This is an open access article under the CC BY-NC-ND license (http://creativecommons.org/licenses/by-nc-nd/4.0/). Peer-review under responsibility of the scientific committee of the 7th International Conference on Power and Energy Systems Engineering, CPESE 2020.</t>
  </si>
  <si>
    <t>10.1016/j.egyr.2020.11.054</t>
  </si>
  <si>
    <t>Calatayud-Marti, P; Romero-Chavarro, J; Montagud-Aguar, M; Arcos-Usero, L; Garcia-Pellicer, M; Quijano-Lopez, A</t>
  </si>
  <si>
    <t>Calatayud-Marti, Pilar; Romero-Chavarro, Julian; Montagud-Aguar, Mario; Arcos-Usero, Lucia; Garcia-Pellicer, Marta; Quijano-Lopez, Alfredo</t>
  </si>
  <si>
    <t>Three-level methodology for secure and efficient grid integration of electric vehicle</t>
  </si>
  <si>
    <t>DYNA</t>
  </si>
  <si>
    <t>Smart Grid; electrification; electric vehicle; charging station; Charge point operator; cybersecurity; smart charging</t>
  </si>
  <si>
    <t>The secure integration of electric vehicle (EV) plays a key role in the energy transition through a resilient and decarbonised economy. However, a massive EV penetration means a rise in electricity demand with negative consequences to the distribution systems (voltage drops, branches congestion, etc) if the charging infrastructure is not cybersecure and does not perform smart charging mechanisms. Furthermore, these new infrastructures and their operating procedures provide new chances to cyberattacks to be performed, aimed at either exploiting those grid vulnerabilities or acquiring some user's private information. Therefore, to ease the secure integration of EV charging infrastructures in the future network, this paper presents a three-level actuation methodology for charging infrastructures, which includes active management of EV supply equipment (EVSE) to allow dynamic control of charges, installation of ancillary protection systems, planning of EVSE's location within the distribution system and cybersecure management of the whole infrastructure. The presented methodology is based on a thorough analysis of the possible cyberattacks that may occur during the transactions of the charging process, as well as tests carried out on a real pilot, which demonstrate the possible impacts that an uncontrolled charging of the EV can have on the distribution network, thus identifying the vulnerabilities of the distribution network.</t>
  </si>
  <si>
    <t>10.6036/10013</t>
  </si>
  <si>
    <t>Yoon, SG; Kang, SG</t>
  </si>
  <si>
    <t>Yoon, Sung-Guk; Kang, Seok-Gu</t>
  </si>
  <si>
    <t>Economic Microgrid Planning Algorithm with Electric Vehicle Charging Demands</t>
  </si>
  <si>
    <t>electric vehicle; EV charging scheduling; microgrid planning; HOMER</t>
  </si>
  <si>
    <t>GRIDS</t>
  </si>
  <si>
    <t>Two of the most important technologies for future power systems to reduce greenhouse gas are electric vehicles (EVs) and renewable generation. When EVs become more common, the overall demand of electricity will significantly increase because EVs consume a large amount of electricity. Also, a daily load curve with EVs heavily depends on how much electricity EVs consume and when electricity is consumed. The microgrid is an important technology to promote renewable generation, and the increased demand and changed load curve should be considered in the microgrid planning stage to install robust and economical microgrids. In this paper, we propose an algorithm for microgrid planning with EV charging demand to find the most economical configuration through which to maximally utilize renewable generation. The algorithm uses a renewable generation-following EV charging scheme and HOMER. Through simulations, it is shown that the microgrid constructed by the proposed algorithm reduces the investment cost and CO2 emission.</t>
  </si>
  <si>
    <t>10.3390/en10101487</t>
  </si>
  <si>
    <t>Zhang, HC; Hu, ZC; Xu, ZW; Song, YH</t>
  </si>
  <si>
    <t>Zhang, Hongcai; Hu, Zechun; Xu, Zhiwei; Song, Yonghua</t>
  </si>
  <si>
    <t>Optimal Planning of PEV Charging Station With Single Output Multiple Cables Charging Spots</t>
  </si>
  <si>
    <t>Plug-in electric vehicle; charging facility planning; single output multiple cables charging spot; coordinated charging</t>
  </si>
  <si>
    <t>ELECTRIC VEHICLES; INFRASTRUCTURE; DESIGN</t>
  </si>
  <si>
    <t>Coordinated charging can alter the profile of plug-in electric vehicle charging load and reduce the required amount of charging spots by encouraging customers to use charging spots at off-peak hours. Therefore, real-time coordinated charging should be considered at the planning stage. To enhance charging station's utilization and save corresponding investment costs by incorporating coordinated charging, a new charging spot model, namely single output multiple cables charging spot (SOMC spot), is designed in this paper. A two-stage stochastic programming model is developed for planning a public parking lot charging station equipped with SOMC spots. The first stage of the programming model is planning of SOMC spots and its objective is to obtain an optimal configuration of the charging station to minimize the station's equivalent annual costs, including investment and operation costs. The second stage of the programming model involves a probabilistic simulation procedure, in which coordinated charging is simulated, so that the influence of coordinated charging on the planning is considered. A case study of a residential parking lot charging station verifies the effectiveness of the proposed planning model. And the proposed coordinated charging for SOMC spots shows great potential in saving equivalent annual costs for providing charging services.</t>
  </si>
  <si>
    <t>10.1109/TSG.2016.2517026</t>
  </si>
  <si>
    <t>Visakh, A; Parvathy, SM</t>
  </si>
  <si>
    <t>Visakh, Arjun; Manickavasagam Parvathy, Selvan</t>
  </si>
  <si>
    <t>Energy-cost minimization with dynamic smart charging of electric vehicles and the analysis of its impact on distribution-system operation</t>
  </si>
  <si>
    <t>Electric vehicle; Smart charging; Cost minimization; G2V; V2G</t>
  </si>
  <si>
    <t>DEMAND; SAVINGS</t>
  </si>
  <si>
    <t>Widespread recharging of electric vehicle (EV) batteries could lead to frequent overloads, excessive power loss, and severe voltage fluctuations, especially at the distribution-system level. These challenges can be mitigated with smart charging initiatives, in which the system operator regulates EV charging with certain technical or economic objectives, provided that the EV owners are prepared to relinquish the charging control of their vehicles. Amidst concerns regarding the potential hike in electricity bills due to domestic EV charging, cost-minimizing objectives have been identified as compelling motivation for EV owners to participate in centralized charging programs. This paper presents a dynamic strategy for smart charging that can account for the uncertainties associated with vehicle mobility. The charging scheme aims to minimize energy costs with respect to a real-time pricing tariff while fulfilling the charge requirement of all EV users. The benefits of smart charging under both grid-to-vehicle (G2V) and vehicle-to-grid (V2G) modes are analyzed. Furthermore, the impact of smart charging on the distribution system is assessed in terms of system demand, distribution efficiency, and load voltage. Results indicate that the proposed technique can reduce the consumers' energy bill by roughly one third. Although the smart V2G method leads to maximum saving, the inclusion of battery degradation cost tips the balance in smart G2V's favor. Moreover, the pair of smart charging solutions improves distribution-system operation, with all the monitored metrics of power distribution showing significant improvement.</t>
  </si>
  <si>
    <t>10.1007/s00202-022-01511-w</t>
  </si>
  <si>
    <t>FEB 2022</t>
  </si>
  <si>
    <t>Hou, LY; Wang, C; Yan, J</t>
  </si>
  <si>
    <t>Hou, Luyang; Wang, Chun; Yan, Jun</t>
  </si>
  <si>
    <t>Bidding for Preferred Timing: An Auction Design for Electric Vehicle Charging Station Scheduling</t>
  </si>
  <si>
    <t>Charging stations; Electric vehicle charging; Scheduling; Schedules; Games; Processor scheduling; Space charge; Electric vehicle (EV); charging scheduling; iterative bidding; start time; preference revelation; social welfare</t>
  </si>
  <si>
    <t>ENERGY; TRANSPORTATION; RESERVATION; MANAGEMENT; MODEL</t>
  </si>
  <si>
    <t>This paper considers an electric vehicle charging scheduling setting where vehicle users can reserve charging time in advance at a charging station. In this setting, users are allowed to explicitly express their preferences over different start times and the length of charging periods for charging their vehicles. The goal is to compute optimal charging schedules that maximize the social welfare of all users given their time preferences and the state of charge of their vehicles. Assuming that users are self-interested agents who may behave strategically to advance their own benefits rather than the social welfare of all agents, we propose an iterative auction, which computes high-quality schedules and, at the same time, preserves users' privacy by progressively eliciting their preferences as necessary. We conduct a game theoretical analysis on the proposed iterative auction to prove its individual rationality and the best response for agents. Through extensive experiments, we demonstrate that the iterative auction can achieve high-efficiency solutions with a partial value information. Additionally, we explore the relationship between scheduling efficiency and information revelation in the auction.</t>
  </si>
  <si>
    <t>10.1109/TITS.2019.2926336</t>
  </si>
  <si>
    <t>Mencia, C; Sierra, MR; Mencia, R; Varela, R</t>
  </si>
  <si>
    <t>Mencia, Carlos; Sierra, Maria R.; Mencia, Raul; Varela, Ramiro</t>
  </si>
  <si>
    <t>Evolutionary one-machine scheduling in the context of electric vehicles charging</t>
  </si>
  <si>
    <t>INTEGRATED COMPUTER-AIDED ENGINEERING</t>
  </si>
  <si>
    <t>Scheduling; one machine scheduling; electric vehicles charging; genetic algorithm; local search</t>
  </si>
  <si>
    <t>SETUP TIMES; OPTIMIZATION; ALGORITHM; ENERGY; POWER; AGGREGATORS; DESIGN</t>
  </si>
  <si>
    <t>It seems clear that general adoption of electric vehicles is coming in the near future. But this adoption will bring new challenges as, for example, that of recharging the batteries of a large fleet of electric vehicles under power and other technological constraints of the charging infrastructure. Among others, these will require solving challenging scheduling problems as well. In this paper, we study one of such problems derived from a charging station designed to be installed in community parks, which consists in scheduling a set of jobs on a single machine with varying capacity over time and exhibits high computational complexity. We propose the use of meta-heuristics as a means to solving the problem efficiently. Concretely, we propose a memetic algorithm, that combines a genetic algorithm with a local search method specifically designed for the problem. The contributions are analyzed theoretically, with formal proofs of their properties, and evaluated empirically. Experimental results show that the proposed memetic algorithm is very effective at solving the problem, while keeping running times reasonably low.</t>
  </si>
  <si>
    <t>10.3233/ICA-180582</t>
  </si>
  <si>
    <t>Liu, MM; McLoone, S</t>
  </si>
  <si>
    <t>Liu, Mingming; McLoone, Sean</t>
  </si>
  <si>
    <t>Enhanced AIMD-based decentralized residential charging of EVs</t>
  </si>
  <si>
    <t>TRANSACTIONS OF THE INSTITUTE OF MEASUREMENT AND CONTROL</t>
  </si>
  <si>
    <t>AIMD; distributed control; electric vehicle charging; smart grid</t>
  </si>
  <si>
    <t>Moving from combustion engine to electric vehicle (EV)-based transport is recognized as having a major role to play in reducing pollution, combating climate change and improving energy security. However, the introduction of EVs poses major challenges for power system operation. With increasing penetration of EVs, uncontrolled coincident charging may overload the grid and substantially increase peak power requirements. Developing smart grid technologies and appropriate charging strategies to support the role out of EVs is therefore a high priority. In this paper, we investigate the effectiveness of distributed additive increase and multiplicative decrease (AIMD) charging algorithms, as proposed by Studli et al. in 2012, at mitigating the impact of domestic charging of EVs on low-voltage distribution networks. In particular, a number of enhancements to the basic AIMD implementation are introduced to enable local power system infrastructure and voltage level constraints to be taken into account and to reduce peak power requirements. The enhanced AIMD EV charging strategies are evaluated using power system simulations for a typical low-voltage residential feeder network in Ireland. Results show that by using the proposed AIMD-based smart charging algorithms, 50% EV penetration can be accommodated, compared with only 10% with uncontrolled charging, without exceeding network infrastructure constraints.</t>
  </si>
  <si>
    <t>10.1177/0142331213494100</t>
  </si>
  <si>
    <t>Ye, R; Huang, XL; Zhang, ZQ; Chen, Z; Duan, R</t>
  </si>
  <si>
    <t>Ye, Rui; Huang, Xueliang; Zhang, Ziqi; Chen, Zhong; Duan, Ran</t>
  </si>
  <si>
    <t>A High-Efficiency Charging Service System for Plug-in Electric Vehicles Considering the Capacity Constraint of the Distribution Network</t>
  </si>
  <si>
    <t>electric vehicle; smart grid; capacity limitation; charging service</t>
  </si>
  <si>
    <t>COOPERATIVE CONTROL; LOAD; IMPACT; MODEL</t>
  </si>
  <si>
    <t>It takes electric vehicles (EVs) a long time to charge, which is bound to influence the charging experience of vehicle owners. At the same time, large-scale charging behavior also brings about large load pressure on, and elevates the overload risk of, the power distribution network. To solve these problems, we proposed a high-efficiency charging service system based on charging reservation and charging pile binding services. The system can shorten the average charging time of EVs and improve the average immediate utilization rate of new energy sources at charging stations (CSs). In addition, the system also guarantees that the EVs are charged within the allowable range of the capacity of the distribution network and avoids overloading of the distribution network caused by the charging of EVs. The key support for the utility of the system is rooted in the three-level CS selection model and the CS energy control algorithm (CSECA) proposed in the research. Finally, the proposed model and algorithm were verified to be valid through numerous simulation experiments.</t>
  </si>
  <si>
    <t>10.3390/en11040911</t>
  </si>
  <si>
    <t>Jin, CR; Tang, J; Ghosh, P</t>
  </si>
  <si>
    <t>Jin, Chenrui; Tang, Jian; Ghosh, Prasanta</t>
  </si>
  <si>
    <t>Optimizing Electric Vehicle Charging: A Customer's Perspective</t>
  </si>
  <si>
    <t>IEEE TRANSACTIONS ON VEHICULAR TECHNOLOGY</t>
  </si>
  <si>
    <t>Charging regulation; electric vehicle (EV); optimization; smart grid</t>
  </si>
  <si>
    <t>Electric vehicles (EVs) are considered to be a promising solution for current gas shortage and emission problems. To maximize the benefits of using EVs, regulated and optimized charging control needs to be provided by load aggregators for connected vehicles. An EV charging network is a typical cyber-physical system, which includes a power grid and a large number of EVs and aggregators that collect information and control the charging procedure. In this paper, we studied EV charging scheduling problems from a customer's perspective by jointly considering the aggregator's revenue and customers' demands and costs. We considered two charging scenarios: static and dynamic. In the static charging scenario, customers' charging demands are provided to the aggregator in advance; however, in the dynamic charging scenario, an EV may come and leave at any time, which is not known to the aggregator in advance. We present linear programming (LP)-based optimal schemes for the static problems and effective heuristic algorithms for the dynamic problems. The dynamic scenario is more realistic; however, the solutions to the static problems can be used to show potential revenue gains and cost savings that can be brought by regulated charging and, thus, can serve as a benchmark for performance evaluation. It has been shown by extensive simulation results based on real electricity price and load data that significant revenue gains and cost savings can be achieved by optimal charging scheduling compared with an unregulated baseline approach, and moreover, the proposed dynamic charging scheduling schemes provide close-to-optimal solutions.</t>
  </si>
  <si>
    <t>10.1109/TVT.2013.2251023</t>
  </si>
  <si>
    <t>Shen, JM; Wang, LL; Zhang, JL</t>
  </si>
  <si>
    <t>Shen, Jiaming; Wang, Laili; Zhang, Jialei</t>
  </si>
  <si>
    <t>Integrated Scheduling Strategy for Private Electric Vehicles and Electric Taxis</t>
  </si>
  <si>
    <t>IEEE TRANSACTIONS ON INDUSTRIAL INFORMATICS</t>
  </si>
  <si>
    <t>Job shop scheduling; Optimization; Electric vehicles; State of charge; Cascading style sheets; Aggregates; Public transportation; Charging; electric taxi; electric vehicle; integrated scheduling</t>
  </si>
  <si>
    <t>Private electric vehicles (PREVs) and electric taxis (ETs) are two of the most common electric vehicles (EVs) in the cities. It is important to regulate the charging load file of PREVs and ETs, which has a significant impact on the power grid. Most of the existing works optimize the charging load profiles of PREVs and ETs separately since their charging behaviors are different. However, the separated optimization methods may not find out the optimal profile of the total charging load. To address this problem, in this article, we propose a two-stage integrated scheduling strategy, which can achieve a desired load profile of PREVs and ETs. In the first stage, according to the charging models of PREVs and ETs, we formulate an integrated optimization problem to determine the optimal feasible total load profile and the respective optimal load profiles of PREVs and ETs. In the second stage, we formulate two 0-1 optimization problems, respectively, which aim to select PREVs and ETs in the most need of charge to track the reference load fed from the first stage. We propose a generic algorithm to solve the two problems, which has fast convergence speed and requires low data size of communication. Finally, the simulation results validate the effectiveness of the proposed algorithm. Moreover, we demonstrate that proposed integrated scheduling strategy performs better than the separated scheduling strategies.</t>
  </si>
  <si>
    <t>10.1109/TII.2020.2993239</t>
  </si>
  <si>
    <t>Seitaridis, A; Rigas, ES; Bassiliades, N; Ramchurn, SD</t>
  </si>
  <si>
    <t>Seitaridis, Andreas; Rigas, Emmanouil S.; Bassiliades, Nick; Ramchurn, Sarvapali D.</t>
  </si>
  <si>
    <t>An agent-based negotiation scheme for the distribution of electric vehicles across a set of charging stations</t>
  </si>
  <si>
    <t>Electric vehicle; Charging station; Optimal charging schedule; Negotiation; Intelligent agents; Agent-based simulation</t>
  </si>
  <si>
    <t>PLUG-IN VEHICLES; OPTIMIZATION MODEL; SMART; SIMULATION</t>
  </si>
  <si>
    <t>We consider the problem of scheduling Electric Vehicle (EV) charging within a set of multiple charging stations. Each station aims to maximize the amount of charged energy and the number of charged EVs. We propose an agent-based simulation scheme, where the EVs announce their requests to the stations and each station computes an optimal solution using Integer Linear Programming (ILP) techniques. We propose two variations of the problem, namely the Offline Mode and the Online Mode. In the first one, all the EVs send their charging requests simultaneously at the beginning of the simulation and the stations compute their charging schedules at once, while in the second one each EV may send a charging request at whichever time point and the stations compute their charging schedules incrementally. Moreover, we apply agent-based negotiation techniques between the stations and the EVs to service EVs when the ILP problem is initially unsolvable due to insufficient resources at some stations. Finally, we insert delays in the Online Mode, meaning that an EV that came to an agreement with a station may cancel this agreement and request charging anew. We test our scheme for both variations, Offline and Online, for a diverse set of stations and EVs and show the outcomes of the different scenarios in the system.</t>
  </si>
  <si>
    <t>10.1016/j.simpat.2019.102040</t>
  </si>
  <si>
    <t>Barone, G; Brusco, G; Menniti, D; Pinnarelli, A; Polizzi, G; Sorrentino, N; Vizza, P; Burgio, A</t>
  </si>
  <si>
    <t>Barone, Giuseppe; Brusco, Giovanni; Menniti, Daniele; Pinnarelli, Anna; Polizzi, Gaetano; Sorrentino, Nicola; Vizza, Pasquale; Burgio, Alessandro</t>
  </si>
  <si>
    <t>How Smart Metering and Smart Charging may Help a Local Energy Community in Collective Self-Consumption in Presence of Electric Vehicles</t>
  </si>
  <si>
    <t>electric vehicle; energy community; self-consumption; smart metering; smart charging</t>
  </si>
  <si>
    <t>POWER</t>
  </si>
  <si>
    <t>The 2018/2001/EU renewable energy directive (RED II) underlined the strategic role of energy communities in the EU transition process towards sustainable and renewable energy. In line with the path traced by RED II, this paper proposes a solution that may help local energy communities in increasing self-consumption. The proposed solution is based on the combination of smart metering and smart charging. A set of smart meters returns the profile of each member of the community with a time resolution of 5 s; the aggregator calculates the community profile and regulates the charging of electric vehicles accordingly. An experimental test is performed on a local community composed of four users, where the first is a consumer with a Nissan Leaf, whereas the remaining three users are prosumers with a photovoltaic generator mounted on the roof of their home. The results of the experimental test show the feasibility of the proposed solution and demonstrate its effectiveness in increasing self-consumption. The paper also calculates the subsidy that the community under investigation would receive if the current Italian incentive policies for renewables were extended to local energy communities; this subsidy is discussed in comparison with the subsidies that the three prosumers individually receive thanks to the net metering mechanism. This paper ends with an economic analysis and calculation of savings on bills when the four users create the local energy community and adopt the proposed combination of smart metering and smart charging.</t>
  </si>
  <si>
    <t>10.3390/en13164163</t>
  </si>
  <si>
    <t>Wen, M; Linde, E; Ropke, S; Mirchandani, P; Larsen, A</t>
  </si>
  <si>
    <t>Wen, M.; Linde, E.; Ropke, S.; Mirchandani, P.; Larsen, A.</t>
  </si>
  <si>
    <t>An adaptive large neighborhood search heuristic for the Electric Vehicle Scheduling Problem</t>
  </si>
  <si>
    <t>COMPUTERS &amp; OPERATIONS RESEARCH</t>
  </si>
  <si>
    <t>Electric vehicles; Vehicle scheduling; Partial charging; Large neighborhood search</t>
  </si>
  <si>
    <t>ROUTING PROBLEM; TIME WINDOWS; CONSTRAINTS; ALGORITHM</t>
  </si>
  <si>
    <t>This paper addresses the Electric Vehicle Scheduling Problem (E-VSP), in which a set of timetabled bus trips, each starting from and ending at specific locations and at specific times, should be carried out by a set of electric buses or vehicles based at a number of depots with limited driving ranges. The electric vehicles are allowed to be recharged fully or partially at any of the given recharging stations. The objective is to firstly minimize the number of vehicles needed to cover all the timetabled trips, and secondly to minimize the total traveling distance, which is equivalent to minimizing the total deadheading distance. A mixed integer programming formulation as well as an Adaptive Large Neighborhood Search (ALNS) heuristic for the E-VSP are presented. ALNS is tested on newly generated E-VSP benchmark instances. Result shows that the proposed heuristic can provide good solutions to large E-VSP instances and optimal or near-optimal solutions to small E-VSP instances. (C) 2016 Elsevier Ltd. All rights reserved.</t>
  </si>
  <si>
    <t>10.1016/j.cor.2016.06.013</t>
  </si>
  <si>
    <t>Cao, Y; Huang, L; Li, YQ; Jermsittiparsert, K; Ahmadi-Nezamabad, H; Nojavan, S</t>
  </si>
  <si>
    <t>Cao, Yan; Huang, Liang; Li, Yiqing; Jermsittiparsert, Kittisak; Ahmadi-Nezamabad, Hamed; Nojavan, Sayyad</t>
  </si>
  <si>
    <t>Optimal scheduling of electric vehicles aggregator under market price uncertainty using robust optimization technique</t>
  </si>
  <si>
    <t>Electric vehicles aggregator; Market price uncertainty; Robust optimization technique; Charging and discharging schedule of electric vehicles</t>
  </si>
  <si>
    <t>MICROGRID OPERATION; ENERGY</t>
  </si>
  <si>
    <t>Today, the uncertainty of upstream grid price is one of the most important challenging topics for the electric vehicle (EV) aggregators. So, a robust optimization technique is applied in this work to investigate robust scheduling of EV aggregators considering price uncertainty. The proposed EV aggregator participates in market price with the aim of maximizing the profit. In order to model the market price uncertainty with the mentioned technique, the upper and lower amounts of upstream grid prices are used instead of the estimated prices. The output of the proposed algorithm is used to build the various charging and discharging strategies which can be used by the operator to robust scheduling of EV aggregator under upstream grid price uncertainty. With considering the obtained results, it can be shown that the total profit of EV aggregator in optimistic strategy is raised 69.78% in comparison with the deterministic strategy while it is decreased 54.94% in pessimistic cases. It should be noted that the applied technique is formulated as a MIP model which is implemented in GAMS and global optimal result is guaranteed.</t>
  </si>
  <si>
    <t>10.1016/j.ijepes.2019.105628</t>
  </si>
  <si>
    <t>Zhou, KL; Cheng, LX; Lu, XH; Wen, LL</t>
  </si>
  <si>
    <t>Zhou, Kaile; Cheng, Lexin; Lu, Xinhui; Wen, Lulu</t>
  </si>
  <si>
    <t>Scheduling model of electric vehicles charging considering inconvenience and dynamic electricity prices</t>
  </si>
  <si>
    <t>Electric vehicles; Optimal scheduling of charging; Basic scheduling model; Recommendation model</t>
  </si>
  <si>
    <t>OPTIMAL LOAD DISPATCH; TOTAL-COST; ENERGY MANAGEMENT; OWNERSHIP; HYBRID; STRATEGY; DEGRADATION; EMISSIONS; FRAMEWORK; SERVICES</t>
  </si>
  <si>
    <t>The electric vehicle (EV) industry has developed rapidly in the past decade, and the number of EVs has surged. When large scale EVs are connected to the power grid, the peak load of the power grid surges during the rush time of EV charging. The uncoordinated large scale of EV charging is harmful to the operation of the power system. Hence, dynamic pricing mechanisms have been proposed that use cost reduction as the motivation for EV owners to alter certain charging decisions. In this study, two optimal scheduling models for the charging of EVs, basic scheduling and recommendation models, are proposed to achieve cost minimization for EV owners in response to dynamic pricing. The basic scheduling model schedules the charging and discharging behaviours of EVs based on the connection and disconnection times of the EVs to the power grid. The costs involved in this model include the charging cost, discharging reward, degradation cost of EV battery, and parking fee. Based on the basic scheduling model, the proposed recommendation model recommends that the EV owner leave earlier to save on the parking fee, which may inconvenience the EV owner. This inconvenience is further considered in the costs, by measuring the coefficient of inconvenience to represent the time sensitivity of the EV owner. Finally, the comparison results of charging and discharging behaviours and the corresponding costs based on the two optimal scheduling models are sent to the EV owners. This can help EV owners, who have different degrees of sensitivity to time, to make optimal charging decisions. Moreover, the recommendation model can improve the utilization efficiency of charging facilities and relieve the pressure on them in the scheduling process when EVs are connected to the power grid on a large scale.</t>
  </si>
  <si>
    <t>OCT 15</t>
  </si>
  <si>
    <t>10.1016/j.apenergy.2020.115455</t>
  </si>
  <si>
    <t>Zhang, J; Cui, MJ; Li, B; Fang, HL; He, YG</t>
  </si>
  <si>
    <t>Zhang, Jian; Cui, Mingjian; Li, Bing; Fang, Hualiang; He, Yigang</t>
  </si>
  <si>
    <t>Fast Solving Method Based on Linearized Equations of Branch Power Flow for Coordinated Charging of EVs (EVCC)</t>
  </si>
  <si>
    <t>Branch flow; distribution system; coordinated charging; electric vehicles (EVs); linear programming</t>
  </si>
  <si>
    <t>ELECTRIC VEHICLES; LOAD DEMAND; GENERATION; DISPATCH</t>
  </si>
  <si>
    <t>Reported researches on smart charging methods have the disadvantages of low calculation efficiency or have not simultaneously taken the three-phase imbalance, voltage, and power flow constraints into account. It is an important topic to improve the computational speed to meet the online rolling optimization requirement for EVCC problems. In this paper, the branch power flow equations of balanced and unbalanced distribution system are derived. The linearization methods for the nonlinear terms of the branch power flow equations are proposed. Two stages linear programming (LP) is introduced for EVCC to minimize the total charging costs of the holders where three-phase imbalance, charging demand, voltage, and power flow constraints have been taken into account. Via ignoring the nonlinear terms of the branch power flow equations, the first stage LP is formulated to calculate the estimated branch power and node voltages as the initial points for linearizing the nonlinear terms of branch power flow equations. The second stage LP is formulated to calculate the optimal charging power using the linearized branch power flow equations. Four case studies show that the proposed method without the compromise of precision is significantly faster than state-of-the-art works with respect to the computational speed.</t>
  </si>
  <si>
    <t>10.1109/TVT.2019.2904464</t>
  </si>
  <si>
    <t>Hu, ZC; Zhan, KQ; Zhang, HC; Song, YH</t>
  </si>
  <si>
    <t>Hu, Zechun; Zhan, Kaiqiao; Zhang, Hongcai; Song, Yonghua</t>
  </si>
  <si>
    <t>Pricing mechanisms design for guiding electric vehicle charging to fill load valley</t>
  </si>
  <si>
    <t>Electric vehicles; Load valley filling; Pricing mechanism; Coordinated charging; Nash equilibrium</t>
  </si>
  <si>
    <t>COORDINATION; IMPACT; SYSTEMS; MODEL</t>
  </si>
  <si>
    <t>The uncoordinated charging load of large-scale electric vehicles (EVs) may increase the gap between peak load and valley load of future power grids. By designing proper charging pricing mechanisms for EVs to guide their charging behaviors, the negative effect caused by uncoordinated EV charging can be alleviated and the flexible EV charging load can even help achieve valley filling for the power grid and therefore increases the social welfare. This paper designs two valley-filling pricing mechanisms under non-cooperative and cooperative scenarios respectively that can intent EV owners to shift their charging schedules for flattening the power load profiles. In the non-cooperative scenario, each EV schedules its own charging power without cooperation with the other EVs, while in the cooperative scenario, all the EVs are controlled by an aggregator. Sufficient and necessary conditions of the valley-filling pricing mechanisms are derived for both the non-cooperative and cooperative scenarios. And the corresponding coordinated charging strategies are proposed for the two scenarios, respectively. Simulation results show that under the proposed pricing mechanisms, cost-minimizing charging schedules of self-interested EVs can also fill the load valley effectively. (C) 2016 Elsevier Ltd. All rights reserved.</t>
  </si>
  <si>
    <t>10.1016/j.apenergy.2016.06.025</t>
  </si>
  <si>
    <t>Hosseini, SM; Carli, R; Cavone, G; Dotoli, M</t>
  </si>
  <si>
    <t>Hosseini, Seyed M.; Carli, Raffaele; Cavone, Graziana; Dotoli, Mariagrazia</t>
  </si>
  <si>
    <t>Distributed control of electric vehicle fleets considering grid congestion and battery degradation</t>
  </si>
  <si>
    <t>INTERNET TECHNOLOGY LETTERS</t>
  </si>
  <si>
    <t>distributed control; electric vehicles; large-scale optimization; smart charging</t>
  </si>
  <si>
    <t>Nowadays, developing coordinated optimal charging strategies for large-scale electric vehicle (EV) fleets is crucial to ensure the reliability and efficiency of power grids. This paper presents a novel fully distributed control strategy for the optimal charging of large-scale EV fleets aiming at the minimization of the aggregated charging cost and battery degradation, while satisfying the EVs' individual load requirements and the overall grid congestion limits. We formulate the optimization problem as a convex quadratic programming problem where all the EVs' decisions are coupled both via the objective function and some grid resource sharing constraints. Based on the distributed waterfilling approach, the proposed resolution algorithm requires a minimal shared information between EVs that communicate only with their neighbors without relying on a central aggregator, thus guaranteeing the EV users' privacy. The performance of the proposed approach is evaluated through numerical experiments to validate its effectiveness in achieving a global optimum while respecting the grid constraints with a favorable computational efficiency.</t>
  </si>
  <si>
    <t>e161</t>
  </si>
  <si>
    <t>10.1002/itl2.161</t>
  </si>
  <si>
    <t>Shafiee, M; Ghazi, R; Moeini-Aghtaie, M</t>
  </si>
  <si>
    <t>Shafiee, Mehdi; Ghazi, Reza; Moeini-Aghtaie, Moein</t>
  </si>
  <si>
    <t>A multi-objective framework for energy resource scheduling in active distribution networks</t>
  </si>
  <si>
    <t>INTERNATIONAL JOURNAL OF AMBIENT ENERGY</t>
  </si>
  <si>
    <t>Charging/discharging schedule; distributed generation (DG) technologies; electric vehicles' (EVs); emission</t>
  </si>
  <si>
    <t>ELECTRIC VEHICLES; MANAGEMENT; SYSTEM; COORDINATION; RELIABILITY; IMPACTS; SCHEME</t>
  </si>
  <si>
    <t>Purpose: The purpose of this paper is to investigate the impacts of electric vehicles' (EVs) charging/discharging decisions in energy resources scheduling problem of active distribution networks. Design/methodology/approach: The problem under study is modelled as a two-stage optimisation problem in which the main requirements of EV owners are introduced as an objective function of the first stage. The total energy costs and the emission factor are considered as the main criteria of the second stage. The output generation schedules of distributed generation (DG) technologies together with the charging/discharging schedule of EVs are proposed as decision variables of the energy scheduling problem. Therefore, some effective methods are presented to model the uncertainties associated with these variables. Findings: The results proved that an efficient compromise can be reached between the emission factor and the energy cost of the system. In addition, it has been emphasised on the importance of such comprehensive energy scheduling frameworks. Originality/value: This paper contributes by: (a) providing a multi-objective framework for energy scheduling of active distribution networks, (b) extracting the mathematical model of this two-stage problem and (c) employing a linearised optimisation model to reach its global optimal solution.</t>
  </si>
  <si>
    <t>10.1080/01430750.2017.1412349</t>
  </si>
  <si>
    <t>Sausen, JP; Abaide, AR; Vasquez, JC; Guerrero, JM</t>
  </si>
  <si>
    <t>Sausen, Jordan P.; Abaide, Alzenira R.; Vasquez, Juan C.; Guerrero, Josep M.</t>
  </si>
  <si>
    <t>Battery-Conscious, Economic, and Prioritization-Based Electric Vehicle Residential Scheduling</t>
  </si>
  <si>
    <t>electric vehicles; battery degradation; charging scheduling; optimization; transformer loading</t>
  </si>
  <si>
    <t>PARKING LOTS; OPTIMIZATION; MODEL; COORDINATION; MANAGEMENT; COST; WEAR</t>
  </si>
  <si>
    <t>Advances in communication technologies and protocols among vehicles, charging stations, and controllers have enabled the application of scheduling techniques to prioritize EV fleet charging. From the perspective of users, residential EV charging must particularly address cost-effective solutions to use energy more efficiently and preserve the lifetime of the battery-the most expensive element of an EV. Considering this matter, this research addresses a residential EV charging scheduling model including battery degradation aspects when discharging. Due to the non-linear characteristics of charging and battery degradation, we consider a mixed integer non-linearly constrained formulation with the aim of scheduling the charging and discharging of EVs to satisfy the following goals: prioritizing charging, reducing charging costs and battery degradation, and limiting the power demand requested to the distribution transformer. The results shows that, when EVs are discharged before charging up within a specific state-of-charge range, degradation can be reduced by 5.3%. All charging requests are completed before the next-day departure time, with 16.35% cost reduction achieved by scheduling charging during lower tariff prices, in addition to prevention of overloading of the distribution transformer.</t>
  </si>
  <si>
    <t>10.3390/en15103714</t>
  </si>
  <si>
    <t>Rigas, ES; Gerding, EH; Stein, S; Ramchurn, SD; Bassiliades, N</t>
  </si>
  <si>
    <t>Rigas, Emmanouil S.; Gerding, Enrico H.; Stein, Sebastian; Ramchurn, Sarvapali D.; Bassiliades, Nick</t>
  </si>
  <si>
    <t>Mechanism Design for Efficient Offline and Online Allocation of Electric Vehicles to Charging Stations</t>
  </si>
  <si>
    <t>electric vehicles; charging; scheduling; mechanism design; fixed price; VCG</t>
  </si>
  <si>
    <t>The industry related to electric vehicles (EVs) has seen a substantial increase in recent years, as such vehicles have the ability to significantly reduce total CO2 emissions and the related global warming effect. In this paper, we focus on the problem of allocating EVs to charging stations, scheduling and pricing their charging. Specifically, we developed a Mixed Integer Program (MIP) which executes offline and optimally allocates EVs to charging stations. On top, we propose two alternative mechanisms to price the electricity the EVs charge. The first mechanism is a typical fixed-price one, while the second is a variation of the Vickrey-Clark-Groves (VCG) mechanism. We also developed online solutions that incrementally call the MIP-based algorithm and solve it for branches of EVs. In all cases, the EVs' aim is to minimize the price to pay and the impact on their driving schedule, acting as self-interested agents. We conducted a thorough empirical evaluation of our mechanisms and we observed that they had satisfactory scalability. Additionally, the VCG mechanism achieved an up to 2.2% improvement in terms of the number of vehicles that were charged compared to the fixed-price one and, in cases where the stations were congested, it calculated higher prices for the EVs and provided a higher profit for the stations, but lower utility to the EVs. However, in a theoretical evaluation, we proved that the variant of the VCG mechanism being proposed in this paper still guaranteed truthful reporting of the EVs' preferences. In contrast, the fixed-price one was found to be vulnerable to agents' strategic behavior as non-truthful EVs can charge instead of truthful ones. Finally, we observed the online algorithms to be, on average, at 95.6% of the offline ones in terms of the average number of serviced EVs.</t>
  </si>
  <si>
    <t>10.3390/en15051660</t>
  </si>
  <si>
    <t>Konstantinidis, G; Kanellos, FD; Kalaitzakis, K</t>
  </si>
  <si>
    <t>Konstantinidis, George; Kanellos, Fotios D.; Kalaitzakis, Kostas</t>
  </si>
  <si>
    <t>A Simple Multi-Parameter Method for Efficient Charging Scheduling of Electric Vehicles</t>
  </si>
  <si>
    <t>APPLIED SYSTEM INNOVATION</t>
  </si>
  <si>
    <t>electric vehicles; efficient charging scheduling; energy management; PSO; V2G</t>
  </si>
  <si>
    <t>PARTICLE SWARM OPTIMIZATION; MANAGEMENT-SYSTEM</t>
  </si>
  <si>
    <t>In this article, a method for the efficient charging of electric vehicles (EVs) at the parking lot (PL) level, including V2G operation and taking into account lifetime of EV batteries, distribution network and local transformer loading, is proposed. The main targets of the method are to minimize the total charging cost of the PLs hosting the EVs and to satisfy all technical and operation constraints of EVs and PLs. The proposed method exploits particle swarm optimization (PSO) to derive the charging schedule of the EVs. The proposed method is compared with conventional charging strategies, where the EVs are charged with the maximum power of their charging power converter or the average power required to achieve their state-of-charge target, and a conventional charging scheduling method using the aggregated behavior of the plug-in EVs. Real-world data series of electricity price and parking lot activity were used. The results obtained from the study of indicative operation scenarios prove the effectiveness of the proposed method, while no sophisticated computing, measurement and communication systems are required for its application.</t>
  </si>
  <si>
    <t>10.3390/asi4030058</t>
  </si>
  <si>
    <t>Ejaz, W; Naeem, M; Sharma, SK; Khattak, AM; Ramzan, MR; Ali, A; Anpalagan, A</t>
  </si>
  <si>
    <t>Ejaz, Waleed; Naeem, Muhammad; Sharma, Shree Krishna; Khattak, Asad Masood; Ramzan, Muhammad Rashid; Ali, Amjad; Anpalagan, Alagan</t>
  </si>
  <si>
    <t>IoV-Based Deployment and Scheduling of Charging Infrastructure in Intelligent Transportation Systems</t>
  </si>
  <si>
    <t>IEEE SENSORS JOURNAL</t>
  </si>
  <si>
    <t>Charging infrastructure; electric vehicles; Internet of vehicles; scheduling optimization</t>
  </si>
  <si>
    <t>STATION</t>
  </si>
  <si>
    <t>Internet of vehicles (IoV) is an emerging paradigm to exchange and analyze information collected from sensors using wireless technologies between vehicles and people, vehicles and infrastructure, and vehicles-to-vehicles. With the recent increase in the number of electric vehicles (EVs), the seamless integration of IoV in EVs and charging infrastructure can offer environmentally sustainable and budget-friendly transportation. In this paper, we propose an IoV-based framework that consists of deployment and scheduling of a mobile charging infrastructure. For the deployment, we formulate an optimization problem to minimize the total cost of mobile charging infrastructure placement while considering constraints on the number of EVs that can be charged simultaneously. The formulated problem is mixed-integer programming and solved by using the branch and bound algorithm. We then propose an IoV-based scheduling scheme for EVs charging to minimize travel distance and charging costs while satisfying the constraints of charging time requirement of EVs and resources of a charging station. We consider passive road sensors and traffic sensors in the proposed IoV-based scheduling scheme to enable EV users for finding a charging station that can fulfill their requirements, as well as to enable service providers to know about the demand in the area. Simulation results illustrate the significant impact of the optimal deployment of charging infrastructure and scheduling optimization on the efficiency of EVs charging.</t>
  </si>
  <si>
    <t>JUL 15</t>
  </si>
  <si>
    <t>10.1109/JSEN.2020.3006706</t>
  </si>
  <si>
    <t>Henriksen, IM; Throndsen, W; Ryghaug, M; Skjolsvold, TM</t>
  </si>
  <si>
    <t>Henriksen, Ida Marie; Throndsen, William; Ryghaug, Marianne; Skjolsvold, Tomas Moe</t>
  </si>
  <si>
    <t>Electric vehicle charging and end-user motivation for flexibility: a case study from Norway</t>
  </si>
  <si>
    <t>ENERGY SUSTAINABILITY AND SOCIETY</t>
  </si>
  <si>
    <t>Flexibility; End users; Electric vehicles; Smart charging; Domestication theory</t>
  </si>
  <si>
    <t>ENERGY TRANSITION; SMART; CONSUMPTION; JUSTICE; IMPACT</t>
  </si>
  <si>
    <t>Background Norway is currently in the process of replacing internal combustion engine (ICE) vehicles with electric vehicles (EVs). A steadily increasing number of EVs being charged in the evening when the demand peaks are already high has added to the strain on local electricity grids. Smart charging is proposed as a solution to peak-load challenges of this kind, as it can delay charging until evenings and nights when demand peaks are generally low. However, current knowledge of the preferences and motivations of EV owners regarding the installation and use of smart chargers is lacking. Accordingly, the study aims to contribute an improved understanding in this respect. Methods The authors conducted a qualitative study based on semi-structured interviews, in which they gained information on householder's experiences following their participation in a pilot project to test smart charging of EVs. The interviews explored the interviewees' motivation for participating in the project, their experiences of using and charging EVs, and their thoughts on flexibility in the timing of EV charging. Interviews were recorded and transcribed verbatim, after which a domestication theory approach was employed to perform an in-depth analysis of the interview data. Results The analysis of the interviews revealed that the study participants had four motivations for participating in the smart charging demonstration project and engaging in the further use of smart charging: (1) the fire-safety aspect and speed of charging devices for EVs was better than charging from a socket; (2) they derived a broader interest in and more joy from using smart home technology; (3) attractive practical and economic benefits; and (4) the flexibility offered by smart charging had the potential to have a positive impact on physical comfort. Conclusions The study revealed key domestication processes unfolding in the Norwegian energy transition with the increasing numbers of EVs and the corresponding grid peaks. The findings clearly indicate that users' motivations go much further than simple economic rationalization, which should be of interest to policymakers, smart home developers, and all others that work with end-user flexibility in the grid.</t>
  </si>
  <si>
    <t>NOV 14</t>
  </si>
  <si>
    <t>10.1186/s13705-021-00319-z</t>
  </si>
  <si>
    <t>Chen, X; Wang, HH; Wu, F; Wu, YJ; Gonzalez, MC; Zhang, JS</t>
  </si>
  <si>
    <t>Chen, Xi; Wang, Haihui; Wu, Fan; Wu, Yujie; Gonzalez, Marta C.; Zhang, Junshan</t>
  </si>
  <si>
    <t>Multimicrogrid Load Balancing Through EV Charging Networks</t>
  </si>
  <si>
    <t>IEEE INTERNET OF THINGS JOURNAL</t>
  </si>
  <si>
    <t>Electric vehicle charging; Microgrids; Charging stations; Load modeling; Transportation; Power systems; Scheduling; Demand response (DR); electric vehicle (EV); EV charging network; power distribution grid; smart grid</t>
  </si>
  <si>
    <t>DEMAND-SIDE MANAGEMENT; ELECTRIC VEHICLES; GAME APPROACH; ENERGY; POWER; TECHNOLOGY; MICROGRIDS</t>
  </si>
  <si>
    <t>Energy demand and supply vary from area to area, where an unbalanced load may occur and endanger the system security constraints and cause significant differences in the locational marginal price (LMP) in the power system. With the increasing proportion of local renewable energy (RE) sources in microgrids that are connected to the power grid and the growing number of electric vehicle (EV) charging loads, the imbalance will be further magnified. In this article, we first model the EV charging network as a cyber-physical system (CPS) that is coupled with both the transportation networks and the smart grids. Then, we propose an EV charging station recommendation algorithm. With a proper charging scheduling algorithm deployed, the synergy between the transportation network and the smart grid can be created. The EV charging activity will no longer be a burden for power grids, but a load-balancing tool that can transfer energy between the unbalanced distribution grids. The proposed system model is validated via simulations. The results show that the proposed algorithms can optimize the EV charging behaviors, reduce charging costs, and effectively balance the regional load profiles of the grids.</t>
  </si>
  <si>
    <t>APR 1</t>
  </si>
  <si>
    <t>10.1109/JIOT.2021.3108698</t>
  </si>
  <si>
    <t>Ubermasser, S; Sanchez, RR; Madina, C; Bocker, S; Glancy, M; O'Callaghan, E; Silvestre, L; Voit, S; Gaul, A; Bulto, GO; Hribernik, W</t>
  </si>
  <si>
    <t>Uebermasser, S.; Rodriguez Sanchez, R.; Madina, C.; Boecker, S.; Glancy, M.; O'Callaghan, E.; Silvestre, L.; Voit, S.; Gaul, A.; Bulto, G. Odena; Hribernik, W.</t>
  </si>
  <si>
    <t>Optimized and enhanced grid architecture for electric vehicles in Europe</t>
  </si>
  <si>
    <t>ELEKTROTECHNIK UND INFORMATIONSTECHNIK</t>
  </si>
  <si>
    <t>Smart Grid architecture; distributed generation; electric vehicles; charging infrastructure</t>
  </si>
  <si>
    <t>For an optimized large-scale roll-out of EVs in Europe whilst at the same time maximizing the potential of DER integration, an optimized and enhanced grid architecture for EVs in Europe has to be considered. The work in this paper is addressing this topic and summarizing the corresponding project findings. The aim of this approach is to provide a framework for the further investigation of selected use cases which allows implementing and comparing scenarios of different DSOs. Following a Smart Grid approach, the developed grid architecture implements energy grid entities and ICT components. The general framework was described including all its relevant clusters and indicating related entities. The network types used for this architecture are following the SGAM and Smart Grid Standards Map approach. A so-called Smart Grid Connection Point, which is a generic system interface, is used in this work to allow a more simplified graphical architecture model and increase its readability. Similar to the concept and purpose of the Smart Grid Connection Point, also the principle of an integration bus for entity clusters was introduced. From the Integration bus, the information from/to external systems passes through the Smart Grid Connection Point using one of a range of possible technological options. The position of EVs charging infrastructure within the framework is defined at the border between the domains DERs (generation) and consumption, which takes into account future V2G scenarios, where EVs may act as consumption and generation devices. EVSEs and DERs may be connected as standalone systems directly to the grid, or indirectly as part of one of the clusters at the customer premises domain which refers to the three location-wise types of charging, public, semi-public and private charging. Regarding controlled charging of EVs this optimized architecture allows a variety of different local, distributed or aggregated options which may involve different types of actors.</t>
  </si>
  <si>
    <t>10.1007/s00502-016-0454-2</t>
  </si>
  <si>
    <t>Liu, C; Chai, KK; Zhang, XS; Lau, ET; Chen, Y</t>
  </si>
  <si>
    <t>Liu, Chao; Chai, Kok Keong; Zhang, Xiaoshuai; Lau, Eng Tseng; Chen, Yue</t>
  </si>
  <si>
    <t>Adaptive Blockchain-Based Electric Vehicle Participation Scheme in Smart Grid Platform</t>
  </si>
  <si>
    <t>Electric vehicles; smart grids; blockchain technology; adaptive charging scheme</t>
  </si>
  <si>
    <t>The electric vehicle (EV) charging scheme can reduce the power generation costs and improve the smart grid resilience. However, the huge penetrations of EVs can impact the voltage stability and operating costs. In this paper, a novel EV participation charging scheme is proposed for a decentralized blockchain-enabled smart grid system. Our objectives are to minimize the power fiuctuation level in the grid network and the overall charging cost for EV users. We first formulate the power fiuctuation level problem of the smart grid system that take into accounts of EV battery capacities, charging rates, and EV users charging behavior. And then, we propose a novel adaptive blockchain-based electric vehicle participation (AdBEV) scheme that uses the Iceberg order execution algorithm to obtain an improved EV charging and discharging schedule. The simulation results show the proposed scheme outperforms the scheme that applying genetic algorithm approach in term of lowering the power fiuctuation level and overall charging costs.</t>
  </si>
  <si>
    <t>10.1109/ACCESS.2018.2835309</t>
  </si>
  <si>
    <t>Yagcitekin, B; Uzunoglu, M</t>
  </si>
  <si>
    <t>Yagcitekin, Bunyamin; Uzunoglu, Mehmet</t>
  </si>
  <si>
    <t>A double-layer smart charging strategy of electric vehicles taking routing and charge scheduling into account</t>
  </si>
  <si>
    <t>Electric vehicle; Smart charging; Energy management; Daytime charging; Optimization; Distribution network</t>
  </si>
  <si>
    <t>HOME ENERGY MANAGEMENT; FUEL CONSUMPTION; OPTIMIZATION; DEMAND; MODEL</t>
  </si>
  <si>
    <t>This paper presents a double-layer smart charging management algorithm (SCMA) for electric vehicles in working place parking lots considering smart grid concept. This model enables safe and controlled charging, which satisfies both power grid and drivers' needs comprehensively. First level of SCMA controls each transformer power demand, transformer capacity, charging station status and the shortest way to reach suitable charger. Second level of SCMA is used during the charging process in order to provide cost-effective and reliable charging as well as less impact on power grid. The proposed SCMA strategy successfully routes the electric vehicles (EVs) to the most suitable charging point, decreases the charging costs and prevents the overloading of transformers. In this study, a comparison regarding the impacts of the whole charging process of the EVs on the power grid and drivers' requests with/without the proposed SCMA is presented and the results are discussed in detail. (C) 2015 Elsevier Ltd. All rights reserved.</t>
  </si>
  <si>
    <t>10.1016/j.apenergy.2015.09.040</t>
  </si>
  <si>
    <t>Bayram, IS; Devetsikiotis, M; Jovanovic, R</t>
  </si>
  <si>
    <t>Bayram, Islam Safak; Devetsikiotis, Michael; Jovanovic, Raka</t>
  </si>
  <si>
    <t>Optimal design of electric vehicle charging stations for commercial premises</t>
  </si>
  <si>
    <t>INTERNATIONAL JOURNAL OF ENERGY RESEARCH</t>
  </si>
  <si>
    <t>charging station design; electric vehicles; queueing theory; smart grid</t>
  </si>
  <si>
    <t>IMPACT; OPTIMIZATION; MODEL</t>
  </si>
  <si>
    <t>Influx of plug-in electric vehicles (PEVs) creates a pressing need for careful charging infrastructure planning. In this paper, the primary goal is to devise a closed-form expression for the PEV charging station capacity problem. Two types of commercial charging stations are considered. The first problem is related to the calculation of the optimal service capacity for charging lots located at workplaces where PEV parking statistics are given as a priori. The second problem, on the other hand, is related to the optimisation of arrival rates for a given station capacity. In the second part, the mathematical models are expanded for the case where multiple charger technologies serve customer demand. This time the goal is to calculate the optimal customer load for each charger type according to its rate. Calculations are carried out for both social and individual optimality cases. Markovian queues are used to model the charging station system to capture the complex interactions between customer load, service waiting times, and electricity cost. The related optimisation problems are solved using convex optimisation methods. Closed-form expressions of station capacity and optimal arrival rates are explicitly derived. Both analytical calculations and discrete-event simulations are carried out and the results show that 60% of the waiting times and 42% of the queue length can be reduced by optimal capacity planning.</t>
  </si>
  <si>
    <t>10.1002/er.6523</t>
  </si>
  <si>
    <t>FEB 2021</t>
  </si>
  <si>
    <t>Tarroja, B; Hittinger, E</t>
  </si>
  <si>
    <t>Tarroja, Brian; Hittinger, Eric</t>
  </si>
  <si>
    <t>The value of consumer acceptance of controlled electric vehicle charging in a decarbonizing grid: The case of California</t>
  </si>
  <si>
    <t>Electric vehicles; Smart charging; Greenhouse gas emissions; Consumer behavior</t>
  </si>
  <si>
    <t>INTEGRATION; FUTURE; VARIABILITY; SYSTEM</t>
  </si>
  <si>
    <t>Plug-in electric vehicles charged with zero-carbon electricity are important for decarbonizing regional energy systems. Flexible charging of these vehicles aids with grid integration of wind and solar generation but may require drivers to provide information about their travel patterns and allow grid operators to control the charging of their vehicles. Limited acceptance of flexible charging can potentially limit greenhouse gas emissions reductions from electric vehicle deployment. Therefore, here we assess how varying the extent of consumer acceptance of flexible charging affects electric vehicle greenhouse gas emissions reductions in a highly decarbonized California grid (&gt;70% zero-carbon), a region with mandated zero-emission vehicle deployment and electricity decarbonization targets. We quantify the monetary value of flexible charging based on the reduction in stationary storage required to achieve a given zero-carbon penetration as flexible charging is adopted. We find that increased participation in smart charging and vehicle-to-grid increases zero-carbon generation uptake by up to 5.2% and 11.1%, respectively. The value of smart charging only reaches $87 per vehicle-year while that for vehicle-to-grid can reach $2,850 per vehicle-year. Non-monetary incentives may be needed to increase smart charging participation. These results can inform future analyses on the supply and demand for participation in flexible charging programs. (c) 2021 The Authors. Published by Elsevier Ltd. This is an open access article under the CC BY-NC-ND license (http://creativecommons.org/licenses/by-nc-nd/4.0/).</t>
  </si>
  <si>
    <t>AUG 15</t>
  </si>
  <si>
    <t>10.1016/j.energy.2021.120691</t>
  </si>
  <si>
    <t>MAY 2021</t>
  </si>
  <si>
    <t>He, L; Ma, GR; Qi, W; Wang, X</t>
  </si>
  <si>
    <t>He, Long; Ma, Guangrui; Qi, Wei; Wang, Xin</t>
  </si>
  <si>
    <t>Charging an Electric Vehicle-Sharing Fleet</t>
  </si>
  <si>
    <t>M&amp;SOM-MANUFACTURING &amp; SERVICE OPERATIONS MANAGEMENT</t>
  </si>
  <si>
    <t>smart city operations; electric vehicles; car sharing; charging infrastructure</t>
  </si>
  <si>
    <t>PARKING RESERVATION POLICIES; INFRASTRUCTURE; QUEUES; MODELS</t>
  </si>
  <si>
    <t>Problem definition: Many cities worldwide are embracing electric vehicle (EV) sharing as a flexible and sustainable means of urban transit. However, it remains challenging for the operators to charge the fleet because of limited or costly access to charging facilities. In this paper, we focus on answering the core question-how to charge the fleet to make EV sharing viable and profitable. Academic/practical relevance: Our work is motivated by the setback that struck San Diego, California, where car rental company car2go ceased its EV-sharing operations. We integrate charging infrastructure planning and vehicle repositioning operations that were often considered separately. More interestingly, our modeling emphasizes the operator-controlled charging operations and customers' EV-picking behavior, which are both central to EV sharing but were largely overlooked. Methodology: Supported by the real data of car2go, we develop a queuing network model that characterizes how customers endogenously pick EVs based on energy levels and how the operator implements a charging-up-to policy. The integrated queuing-location model leads to a nonlinear optimization program. We then propose both lower and upper bound formulations as mixed-integer second-order cone programs, which are computationally tractable and result in a small optimality gap when the fleet size is adequate. Results: We learn lessons from the setback of car2go in San Diego. We find that the viability of EV sharing can be enhanced by concentrating limited charger resources at selected locations. Charging EVs either in a proactive fashion or at the 40% recharge threshold (rather than car2go's policy of charging EVs only when their energy level drops below 20%) can boost the profit by more than 15%. Moreover, sufficient charger availability is crucial when collaborating with a public charger network. Increasing the charging power relieves the charger resource constraint, whereas extending per-charge range or adopting unmanned repositioning improves profitability. Finally, we discuss how EV sharing operations depend on the urban spatial structure, compared with conventional car sharing. Managerial implications: We demonstrate a data-verified and high-granularity modeling approach. Both the high-level planning guidelines and operational policies can be useful for practitioners. We also highlight the value of jointly managing demand fulfillment and EV charging.</t>
  </si>
  <si>
    <t>MAR-APR</t>
  </si>
  <si>
    <t>10.1287/msom.2019.0851</t>
  </si>
  <si>
    <t>Jin, RJ; Zhang, XF; Wang, ZJ; Sun, WG; Yang, XX; Shi, Z</t>
  </si>
  <si>
    <t>Jin, Ruijiu; Zhang, Xiangfeng; Wang, Zhijie; Sun, Wengang; Yang, Xiaoxin; Shi, Zhong</t>
  </si>
  <si>
    <t>RETRACTED: Blockchain-Enabled Charging Right Trading Among EV Charging Stations (Retracted article. See vol. 13, 2020)</t>
  </si>
  <si>
    <t>Article; Retracted Publication</t>
  </si>
  <si>
    <t>blockchain; electric vehicle; smart contract; P2P; charging right; Ethereum; charging stations</t>
  </si>
  <si>
    <t>HYBRID ELECTRIC VEHICLES; MITIGATION</t>
  </si>
  <si>
    <t>Increasing penetration of electric vehicles (EVs) gives rise to the challenges in the secure operation of power systems. The EV charging loads should be distributed among charging stations in a fair and incentive-compatible manner while ensuring that power transmission and transformation facilities are not overloaded. This paper first proposes a charging right (or charging power ration) trading mechanism and model based on blockchain. Considering all kinds of random factors of charging station loads, we use Monte Carlo modeling to determine the charging demand of charging stations in the future. Based on the charging demand of charging stations, a charging station needs to submit the charging demand for a future period. The blockchain first distributes initial charging right in a just manner and ensures the security of facilities. Given that the charging urgency and elasticity differences vary by charging stations, all charging stations then proceed with double auction and peer-to-peer (P2P) transaction of charging right. Bids and offers are cleared via double auctions if bids are higher than offers. The remaining bids and offers are cleared via the P2P market. Then, this paper designs the charging right allocation and trading platform and smart contract based on the Ethernet blockchain to ensure the safety of the distribution network (DN) and the transparency and efficiency of charging right trading. Simulation results based on the Ethereum private blockchain show the fairness and efficiency of the proposed mechanism and the effectiveness of the method and the mechanism.</t>
  </si>
  <si>
    <t>10.3390/en12203922</t>
  </si>
  <si>
    <t>Canigueral, M; Melendez, J</t>
  </si>
  <si>
    <t>Canigueral, Marc; Mlendez, Joaquim</t>
  </si>
  <si>
    <t>Flexibility management of electric vehicles based on user profiles: The Arnhem case study</t>
  </si>
  <si>
    <t>Electric vehicles; Flexibility; User profile; Smart charging; Clustering; Optimization</t>
  </si>
  <si>
    <t>MODEL; EVS</t>
  </si>
  <si>
    <t>The ever-increasing global adoption of electric vehicles has created both challenges and opportunities for electrical grids and power systems as well as the market itself. Smart charging is broadly presented as a relevant opportunity to provide demand-side flexibility, benefiting both the user and the power system through flexibility aggregators. However, coordinating all sessions for the same optimization objective could be inefficient when the flexibility potential mismatches the flexibility demand. Instead, this paper proposes the user profile concept as a tool to group sessions into similar flexibility levels and then schedule the charging sessions of each user profile according to its most convenient optimization objective. Therefore, a clustering methodology based on a bivariate Gaussian Mixture Models is presented and validated with a real-world data set, resulting in seven different user profiles. The simulation of two smart charging scenarios, first coordinating all flexible sessions and second coordinating two selected user profiles, resulted in a more efficient scheduling in the latter case, obtaining similar results with a 35% fewer sessions shifted and the corresponding reduction in exploitation costs.</t>
  </si>
  <si>
    <t>10.1016/j.ijepes.2021.107195</t>
  </si>
  <si>
    <t>Dogan, A; Alci, M</t>
  </si>
  <si>
    <t>Dogan, Ahmet; Alci, Mustafa</t>
  </si>
  <si>
    <t>Heuristic Optimization of EV Charging Schedule Considering Battery Degradation Cost</t>
  </si>
  <si>
    <t>ELEKTRONIKA IR ELEKTROTECHNIKA</t>
  </si>
  <si>
    <t>Electric vehicles; Optimization; Heuristic algorithms; EV Charging Schedule; Vehicle to Grid</t>
  </si>
  <si>
    <t>It is expected that electric vehicles (EVs) will be important part of smart gird, not only in form of load but also as distributed energy source in Vehicle to Grid (V2G) system. As increase of EVs integration, V2G contributes to improve flexibility, reliability and stability of grid by providing ancillary services. These services, however, could accelerate degradation of battery whose price is almost half of EV. Thus, battery degradation cost must be considered while scheduling of EV charging. In this paper, a battery degradation cost model of EV lithium-ion batteries was incorporated in the optimal charging schedule of 400 EVs. EVs are located to 33 bus system in order to consider network losses in calculations. Heuristic algorithms such as Genetic Algorithm (GA), Differential Evolution (DE), Particle Swarm Optimization (PSO) and Artificial Bee Colony (ABC) are used for solving the associated optimization problem. The objective function aims to maximize user profit under dynamic pricing. Also, distribution system and EVs constraints are considered during optimization. The numerical results illustrate that each of the used heuristic algorithms able to mitigate peak loads and improve voltage levels. GA presents the most profitable charging scheduling in terms of EV owners.</t>
  </si>
  <si>
    <t>10.5755/j01.eie.24.6.22283</t>
  </si>
  <si>
    <t>Wang, ZF; Jochem, P; Fichtner, W</t>
  </si>
  <si>
    <t>Wang, Zongfei; Jochem, Patrick; Fichtner, Wolf</t>
  </si>
  <si>
    <t>A scenario-based stochastic optimization model for charging scheduling of electric vehicles under uncertainties of vehicle availability and charging demand</t>
  </si>
  <si>
    <t>Electric vehicles; Smart charging; Uncertainty; Stochastic optimization; Demand response</t>
  </si>
  <si>
    <t>RENEWABLE ENERGY; PROFILES; IMPACTS; GRIDS</t>
  </si>
  <si>
    <t>The integration of electric vehicles (EVs) into the electricity systems comprises both threats and chances. A successful control strategy of EV charging processes is beneficial for both EVs and electricity grid. This paper proposes a scenario-based two-stage stochastic linear programming model for scheduling EV charging processes for different grid requirements in real time using a rolling window approach. The model considers the uncertainties in EV availability (i.e. arrival time and departure time) and electricity demand upon arrival (i.e. initial and target state of charge of the battery). Monte Carlo simulation shows how different input parameters may affect the results. Inhomogeneous Markov Chains are used for EV usage pattern simulation and for scenario generation. For reducing computing time, the amount of scenarios is again reduced by scenario reduction technique. The proposed model is applicable for various grid purposes. We demonstrate the applicability of our model by three example cases: Load flattening (only EV charging load), load leveling (together with conventional household load) and demand response (for wind energy integration or ancillary service). (C) 2019 Elsevier Ltd. All rights reserved.</t>
  </si>
  <si>
    <t>10.1016/j.jclepro.2019.119886</t>
  </si>
  <si>
    <t>Venegas, FG; Petit, M; Perez, Y</t>
  </si>
  <si>
    <t>Venegas, Felipe Gonzalez; Petit, Marc; Perez, Yannick</t>
  </si>
  <si>
    <t>Plug-in behavior of electric vehicles users: Insights from a large-scale trial and impacts for grid integration studies</t>
  </si>
  <si>
    <t>Electric vehicles; Smart charging; Electricity distribution systems; Charging choices; Vehicle-to-grid</t>
  </si>
  <si>
    <t>CHARGING BEHAVIOR</t>
  </si>
  <si>
    <t>Electric vehicle (EV) grid integration presents significant challenges and opportunities for electricity system operation and planning. Proper assessment of the costs and benefits involved in EV integration hinges on correctly modeling and evaluating EV-user driving and charging patterns. Recent studies have evidenced that EV users do not plug in their vehicle every day (here called non-systematic plug-in behavior), which can alter the impacts of EV charging and the flexibility that EV fleets can provide to the system. This work set out to evaluate the effect of considering non-systematic plug-in behavior in EV grid integration studies. To do so, an open-access agent-based EV simulation model that includes a probabilistic plug-in decision module was developed and calibrated to match the charging behavior observed in the Electric Nation project, a large-scale smart charging trial. Analysis shows that users tend to plug-in their EV between 2 and 3 times per week, with a lower plug-in frequency for large-battery EVs and large heterogeneity in user charging preferences. Results computed using our model show that non-systematic plug-in behavior effects reduce the impact of EV charging, especially for price-responsive charging, as fewer EVs charge simultaneously. On the other hand, non-systematic plug-in can reduce available flexibility, particularly when considering current trends towards larger battery sizes. Counter-intuitively, large-battery fleets can have reduced flexibility compared to small-battery fleets, both in power and stored energy, due to lower plug-in frequency and higher energy requirements per charging session. Improving plug-in ratios of EV users appears as key enabler for flexibility. In comparison, augmenting charging power can increase the flexibility provided by EV fleets but at the expense of larger impacts on distribution grids. (c) 2021 Elsevier B.V. All rights reserved.</t>
  </si>
  <si>
    <t>10.1016/j.etran.2021.100131</t>
  </si>
  <si>
    <t>Amara-Ouali, Y; Goude, Y; Massart, P; Poggi, JM; Yan, H</t>
  </si>
  <si>
    <t>Amara-Ouali, Yvenn; Goude, Yannig; Massart, Pascal; Poggi, Jean-Michel; Yan, Hui</t>
  </si>
  <si>
    <t>A Review of Electric Vehicle Load Open Data and Models</t>
  </si>
  <si>
    <t>electric vehicles; charging point; load modelling; smart charging; open data; statistical modelling</t>
  </si>
  <si>
    <t>CHARGING DEMAND; TEMPORAL MODEL; TIME; IMPACT; FLEXIBILITY; CONSUMPTION; STATIONS; SYSTEM</t>
  </si>
  <si>
    <t>The field of electric vehicle charging load modelling has been growing rapidly in the last decade. In light of the Paris Agreement, it is crucial to keep encouraging better modelling techniques for successful electric vehicle adoption. Additionally, numerous papers highlight the lack of charging station data available in order to build models that are consistent with reality. In this context, the purpose of this article is threefold. First, to provide the reader with an overview of the open datasets available and ready to be used in order to foster reproducible research in the field. Second, to review electric vehicle charging load models with their strengths and weaknesses. Third, to provide suggestions on matching the models reviewed to six datasets found in this research that have not previously been explored in the literature. The open data search covered more than 860 repositories and yielded around 60 datasets that are relevant for modelling electric vehicle charging load. These datasets include information on charging point locations, historical and real-time charging sessions, traffic counts, travel surveys and registered vehicles. The models reviewed range from statistical characterization to stochastic processes and machine learning and the context of their application is assessed.</t>
  </si>
  <si>
    <t>10.3390/en14082233</t>
  </si>
  <si>
    <t>Barthel, V; Schlund, J; Landes, P; Brandmeier, V; Pruckner, M</t>
  </si>
  <si>
    <t>Barthel, Vincent; Schlund, Jonas; Landes, Philipp; Brandmeier, Veronika; Pruckner, Marco</t>
  </si>
  <si>
    <t>Analyzing the Charging Flexibility Potential of Different Electric Vehicle Fleets Using Real-World Charging Data</t>
  </si>
  <si>
    <t>electric vehicles; vehicle grid integration; charging flexibility; data analysis; optimization; smart charging</t>
  </si>
  <si>
    <t>A successful transformation of the energy and transportation sector is one of the main targets for our society today. Battery electric vehicles can play a key role in future renewable-based energy supply systems because of their ability to store electrical power. Additionally, they provide significant charging flexibility due to the long parking durations. In this paper, we provide insights into the temporal and power-specific flexibility behavior of three different vehicle fleets. These fleets are pool vehicles of office employees, a public authority, and a logistics company. Several parameters, such as the average charging power per charging event or the average plug-in duration per charging event, are discussed. Additionally, we investigate different charging rates and their impact on the temporal flexibility of the charging events. The data analysis shows that the logistics site has the most homogeneous charging profile as well as high charging flexibility, in contrast to the office and public agency site. The results are of significant importance for future applications in the field of smart charging and ancillary services provision.</t>
  </si>
  <si>
    <t>10.3390/en14164961</t>
  </si>
  <si>
    <t>It has good modelling but lacks of details (read again)</t>
  </si>
  <si>
    <t>Li, Y; Han, M; Yang, Z; Li, GQ</t>
  </si>
  <si>
    <t>LOAD; STORAGE</t>
  </si>
  <si>
    <t>10.1109/TSTE.2021.3090463</t>
  </si>
  <si>
    <t>Visakh, A; Selvan, MP</t>
  </si>
  <si>
    <t>Visakh, Arjun; Selvan, Manickavasagam Parvathy</t>
  </si>
  <si>
    <t>Smart charging of electric vehicles to minimize the cost of charging and the rate of transformer aging in a residential distribution network</t>
  </si>
  <si>
    <t>Electric vehicles; smart charging; charging-cost minimization; transformer aging; hot-spot temperature</t>
  </si>
  <si>
    <t>IMPACTS; OPTIMIZATION; VOLTAGE; COORDINATION; PENETRATION; LOSSES</t>
  </si>
  <si>
    <t>Electric vehicles (EVs) exhibit several benefits over combustion engine vehicles, making them an attractive mode of mobility for the future. However, supplying the electrical energy required to recharge their batteries could adversely affect the power system infrastructure. The most severe impact of EV integration is expected to be on the distribution transformers, which are among the costliest equipment in the distribution network. Sustained overloads on the transformer could lead to accelerated aging and early retirement. As the rate of EV deployment rises, so does the probability of transformer overloads and the subsequent loss of life. There is a need for smart charging schemes in which the distribution system operator can schedule the charging of EVs in an optimal manner that prevents overloads and extends the transformer's life. However, EV owners might hesitate to surrender the charging control of their vehicles for the utility's benefit alone. Charging-cost minimization has been identified as an effective motivation for EV users to participate in charge management schemes. This paper presents a smart charging scheme, which minimizes the cost of charging EVs by optimizing their charging powers with respect to a real-time pricing tariff. As the electricity price changes dynamically with the system demand, cost minimization is equivalent to network decongestion. A decongested network is less susceptible to overloads and equipment damage. Simulation results show that with smart charging, the charging cost incurred by EV owners as well as the rate of aging undergone by the transformer can be significantly reduced.</t>
  </si>
  <si>
    <t>10.3906/elk-2106-80</t>
  </si>
  <si>
    <t>Fachrizal, R; Shepero, M; van der Meer, D; Munkhammar, J; Widen, J</t>
  </si>
  <si>
    <t>Fachrizal, Reza; Shepero, Mahmoud; van der Meer, Dennis; Munkhammar, Joakim; Widen, Joakim</t>
  </si>
  <si>
    <t>Smart charging of electric vehicles considering photovoltaic power production and electricity consumption: A review</t>
  </si>
  <si>
    <t>Photovoltaics; Electric vehicles; Electricity consumption; Smart charging; Energy management system; Charging optimization</t>
  </si>
  <si>
    <t>PLUG-IN HYBRID; RENEWABLE ENERGY-SOURCES; SELF-CONSUMPTION; OPTIMIZATION; LOAD; GENERATION; BUILDINGS; DEMAND; MANAGEMENT; SYSTEM</t>
  </si>
  <si>
    <t>Photovoltaics (PV) and electric vehicles (EVs) are two emerging technologies often considered as cornerstones in the energy and transportation systems of future sustainable cities. They both have to be integrated into the power systems and be operated together with already existing loads and generators and, often, into buildings, where they potentially impact the overall energy performance of the buildings. Thus, a high penetration of both PV and EVs poses new challenges. Understanding of the synergies between PV, EVs and existing electricity consumption is therefore required. Recent research has shown that smart charging of EVs could improve the synergy between PV, EVs and electricity consumption, leading to both technical and economic advantages. Considering the growing interest in this field, this review paper summarizes state-of-the-art studies of smart charging considering PV power production and electricity consumption. The main aspects of smart charging reviewed are objectives, configurations, algorithms and mathematical models. Various charging objectives, such as increasing PV utilization and reducing peak loads and charging cost, are reviewed in this paper. The different charging control configurations, i.e., centralized and distributed, along with various spatial configurations, e.g., houses and workplaces, are also discussed. After that, the commonly employed optimization techniques and rule-based algorithms for smart charging are reviewed. Further research should focus on finding optimal trade-offs between simplicity and performance of smart charging schemes in terms of control configuration, charging algorithms, as well as the inclusion of PV power and load forecast in order to make the schemes suitable for practical implementations. (C) 2020 Elsevier B.V. All rights reserved.</t>
  </si>
  <si>
    <t>10.1016/j.etran.2020.100056</t>
  </si>
  <si>
    <t>Liu, WL; Gong, YJ; Chen, WN; Liu, ZQ; Wang, H; Zhang, J</t>
  </si>
  <si>
    <t>Liu, Wei-Li; Gong, Yue-Jiao; Chen, Wei-Neng; Liu, Zhiqin; Wang, Hua; Zhang, Jun</t>
  </si>
  <si>
    <t>Coordinated Charging Scheduling of Electric Vehicles: A Mixed-Variable Differential Evolution Approach</t>
  </si>
  <si>
    <t>Optimization; Cascading style sheets; Schedules; Companies; Heuristic algorithms; Electric vehicles; Differential evolution; mixed variables; electric vehicle; charging scheduling; transportation network</t>
  </si>
  <si>
    <t>COOPERATIVE CONTROL; ALGORITHM; OPTIMIZATION; SYSTEM</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</si>
  <si>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t>
  </si>
  <si>
    <t>10.1109/TITS.2019.2948596</t>
  </si>
  <si>
    <t>Xu, ZW; Hu, ZC; Song, YH; Zhao, W; Zhang, YW</t>
  </si>
  <si>
    <t>Xu, Zhiwei; Hu, Zechun; Song, Yonghua; Zhao, Wei; Zhang, Yongwang</t>
  </si>
  <si>
    <t>Coordination of PEVs charging across multiple aggregators</t>
  </si>
  <si>
    <t>Plug-in electric vehicle; Charging coordination; Aggregator; Cooperation compensation</t>
  </si>
  <si>
    <t>HYBRID ELECTRIC VEHICLES; IMPACT</t>
  </si>
  <si>
    <t>In this paper, a hierarchical coordinated charging framework for PEVs across multiple aggregators is proposed. First, each aggregator computes its aggregate charging load boundaries based on customer charging requirements and local transformer capacity limits. With the load boundaries of aggregators, a linear optimization model is then solved at the distribution system operator (DSO) level to generate the preferred charging curve for each aggregator. Finally, each aggregator intelligently allocates the charging power suggested by the DSO based on a fast heuristic algorithm. Case studies on four aggregators following different charging strategies are carried out. Simulation results indicate this charging coordination framework successfully achieves electricity cost minimization and system peak load controlling. Moreover, considering that part of profits of aggregators might be compromised by participating in charging coordination, a simple but clear compensation mechanism for aggregators is designed. (C) 2014 Elsevier Ltd. All rights reserved.</t>
  </si>
  <si>
    <t>DEC 31</t>
  </si>
  <si>
    <t>10.1016/j.apenergy.2014.08.116</t>
  </si>
  <si>
    <t>Lu, M; Abedinia, O; Bagheri, M; Ghadimi, N; Shafie-khah, M; Catalao, JPS</t>
  </si>
  <si>
    <t>Lu, Maxim; Abedinia, Oveis; Bagheri, Mehdi; Ghadimi, Noradin; Shafie-khah, Miadreza; Catalao, Joao P. S.</t>
  </si>
  <si>
    <t>Smart load scheduling strategy utilising optimal charging of electric vehicles in power grids based on an optimisation algorithm</t>
  </si>
  <si>
    <t>IET SMART GRID</t>
  </si>
  <si>
    <t>battery powered vehicles; optimisation; power grids; electric vehicle charging; power generation scheduling; smart load scheduling strategy utilising optimal charging; electric vehicles; power grid; optimisation algorithm; charging stations; smart charging model; grid stability; peak-demand hours; EV charging; intelligent algorithm; standard models; optimisation methods; charge EV battery</t>
  </si>
  <si>
    <t>FORECAST ENGINE; DEMAND RESPONSE; PSO</t>
  </si>
  <si>
    <t>One of the main goals of any power grid is sustainability. The given study proposes a new method, which aims to reduce users' anxiety especially at slow charging stations and improve the smart charging model to increase the benefits for the electric vehicles' owners, which in turn will increase the grid stability. The issue under consideration is modelled as an optimisation problem to minimise the cost of charging. This approach levels the load effectively throughout the day by providing power to charge EVs' batteries during the off-peak hours and drawing it from the EVs' batteries during peak-demand hours of the day. In order to minimise the costs associated with EVs' charging in the given optimisation problem, an improved version of an intelligent algorithm is developed. In order to evaluate the effectiveness of the proposed technique, it is implemented on several standard models with various loads, as well as compared with other optimisation methods. The superiority and efficiency of the proposed method are demonstrated, by analysing the obtained results and comparing them with the ones produced by the competitor techniques.</t>
  </si>
  <si>
    <t>10.1049/iet-stg.2019.0334</t>
  </si>
  <si>
    <t>Yao, WF; Chung, CY; Wen, FS; Qin, MW; Xue, YS</t>
  </si>
  <si>
    <t>Yao, Weifeng; Chung, C. Y.; Wen, Fushuan; Qin, Mingwen; Xue, Yusheng</t>
  </si>
  <si>
    <t>Scenario-Based Comprehensive Expansion Planning for Distribution Systems Considering Integration of Plug-in Electric Vehicles</t>
  </si>
  <si>
    <t>Coordinated charging; distribution system expansion planning (DSEP); dumb charging; flexibility; plug-in electric vehicles (PEVs)</t>
  </si>
  <si>
    <t>TRANSMISSION EXPANSION; MULTISTAGE MODEL; POWER-SYSTEMS; GENERATION; ALGORITHM; FORMULATION; STATIONS; MARKET</t>
  </si>
  <si>
    <t>Widespread utilization of plug-in electric vehicles (PEVs) would incur more uncertainties, and thus challenge the traditional planning strategies for distribution systems. In this paper, a scenario-based comprehensive expansion planning (SCEP) approach for distribution systems is presented to cope with future uncertainties. This approach can not only take into account the initial investment and operation costs but also consider the expected adaptation cost to other future scenarios, and in this way the flexibility of an initial planning scheme can be achieved. Future scenarios are identified in line with three uncertainties, namely the conventional load levels, penetration levels of PEVs and whether or not with successful implementation of a coordinated charging strategy. The charging profile for dump charging mode has been determined straightforwardly, while that for coordinated charging mode is obtained by solving the proposed day-ahead dispatching model (DDM). Furthermore, a priority-based real time dispatching strategy (PRTDS) is proposed to obtain direct charging instructions for PEVs, and thus to demonstrate the rationality of utilizing the charging profile acquired from DDM in distribution system expansion planning (DSEP). Finally, the performance of the proposed methodology is demonstrated by numerical studies.</t>
  </si>
  <si>
    <t>10.1109/TPWRS.2015.2403311</t>
  </si>
  <si>
    <t>Mohammed, SS; Titus, F; Thanikanti, SB; Sulaiman, SM; Deb, S; Kumar, NM</t>
  </si>
  <si>
    <t>Mohammed, Sheik S.; Titus, Femin; Thanikanti, Sudhakar Babu; Sulaiman, S. M.; Deb, Sanchari; Kumar, Nallapaneni Manoj</t>
  </si>
  <si>
    <t>Charge Scheduling Optimization of Plug-In Electric Vehicle in a PV Powered Grid-Connected Charging Station Based on Day-Ahead Solar Energy Forecasting in Australia</t>
  </si>
  <si>
    <t>electric vehicles; plug-in electric vehicle; charge scheduling; time-of-use pricing; EV charging infrastructure; solar charging of EVs; solar forecasting; EVs in Australia</t>
  </si>
  <si>
    <t>MANAGEMENT</t>
  </si>
  <si>
    <t>Optimal charge scheduling of electric vehicles in solar-powered charging stations based on day-ahead forecasting of solar power generation is proposed in this paper. The proposed algorithm's major objective is to schedule EV charging based on the availability of solar PV power to minimize the total charging costs. The efficacy of the proposed algorithm is validated for a small-scale system with a capacity of 3.45 kW and a single charging point, and the annual cost analysis is carried out by modelling a 65 kWp solar-powered EV charging station The reliability and cost saving of the proposed optimal scheduling algorithm along with the integration and the solar PV system is validated for a charging station with a 65 kW solar PV system having charging points with different charging powers. A comprehensive comparison of uncontrolled charging, optimal charging without solar PV system, and optimal charging with solar PV system for different vehicles and different time slots are presented and discussed. From the results, it can be realized that the proposed charging algorithm reduces the overall charging cost from 10-20% without a PV system, and while integrating a solar PV system with the proposed charging method, a cost saving of 50-100% can be achieved. Based on the selected location, system size, and charging points, it is realized that the annual charging cost under an uncontrolled approach is AUS $28,131. On the other hand, vehicle charging becomes completely sustainable with net-zero energy consumption from the grid and net annual revenue of AUS $28,134.445 can be generated by the operator. New South Wales (NSW), Australia is selected as the location for the study. For the analysis Time-Of-Use pricing (ToUP) scheme and solar feed-in tariff of New South Wales (NSW), Australia is adopted, and the daily power generation of the PV system is computed using the real-time data on an hourly basis for the selected location. The power forecasting is carried out using an ANN-based forecast model and is developed using MATLAB and trained using the Levenberg-Marquardt algorithm. Overall, a prediction accuracy of 99.61% was achieved using the selected algorithm.</t>
  </si>
  <si>
    <t>10.3390/su14063498</t>
  </si>
  <si>
    <t>Sun, H; Yang, J; Yang, C</t>
  </si>
  <si>
    <t>Sun, Hao; Yang, Jun; Yang, Chao</t>
  </si>
  <si>
    <t>A robust optimization approach to multi-interval location-inventory and recharging planning for electric vehicles</t>
  </si>
  <si>
    <t>OMEGA-INTERNATIONAL JOURNAL OF MANAGEMENT SCIENCE</t>
  </si>
  <si>
    <t>Location-inventory problem; Electric vehicles; Recharging strategy; Uncertain demand; Smart grid; Robust optimization</t>
  </si>
  <si>
    <t>NETWORK EQUILIBRIUM; MODEL; FORMULATION; ALGORITHM; SECURITY; PRICE</t>
  </si>
  <si>
    <t>This paper introduces a multi-interval battery swapping station location-inventory and recharging planning problem for electric vehicles (BSS-LIRP). The research problem jointly determines battery swapping station location, battery inventory level and recharging plan at each located station with the minimal total system cost, including station construction cost, battery inventory cost and recharging cost over multiple time intervals. We firstly formulate the deterministic problem by an integer programming model. Next two robust models are established by considering data uncertainty: when flow demand is uncertain, we adopt the budget of uncertainty robustness approach to control the conservativeness; when electricity prices are uncertain, we apply the robust optimization approach with multiple ranges to deal with the uncertainty in each time interval. The experimental results show the applicability of the deterministic model. We find that in the presence of large variation of flow demand and electricity prices, it is beneficial for stations to strategically delay recharging some batteries. Furthermore, the solutions to the robust model reveal the significant impacts of the uncertainty in flow demand and electricity prices on the electric vehicle infrastructure network design and operations strategies. (C) 2018 Elsevier Ltd. All rights reserved.</t>
  </si>
  <si>
    <t>10.1016/j.omega.2018.06.013</t>
  </si>
  <si>
    <t>Malhotra, A; Binetti, G; Davoudi, A; Schizas, ID</t>
  </si>
  <si>
    <t>Malhotra, Akshay; Binetti, Giulio; Davoudi, Ali; Schizas, Ioannis D.</t>
  </si>
  <si>
    <t>Distributed Power Profile Tracking for Heterogeneous Charging of Electric Vehicles</t>
  </si>
  <si>
    <t>Coordinated charging; distributed algorithm; power profile tracking; plug-in electric vehicle</t>
  </si>
  <si>
    <t>DISPATCH; ALGORITHM</t>
  </si>
  <si>
    <t>Coordinated charging of plug-in electric vehicles (PEVs) can effectively mitigate the negative effects imposed on the power distribution grid by uncoordinated charging. Simultaneously, coordinated charging algorithms can accommodate the PEV user's needs in terms of desired state-of-charge and charging time. In this paper, the problem of tracking an arbitrary power profile by coordinated charging of PEVs is formulated as a discrete scheduling process, while accounting for the heterogeneity in charging rates and restricting the charging to only the maximum rated power. Then, a novel distributed algorithm is proposed to coordinate the PEV charging and eliminate the need for a central aggregator. It is guaranteed to track, and not exceed, the power profile imposed by the utility, while maximizing the user convenience. A formal optimality analysis is provided to show that the algorithm is asymptotically optimal in case of Homogeneous charging, while it has a very small optimality gap for the heterogeneous case. Numerical simulations considering realistic charging scenarios with different penetration levels and tracking of a valley-filing profile are presented to validate the proposed charging algorithm.</t>
  </si>
  <si>
    <t>10.1109/TSG.2016.2515616</t>
  </si>
  <si>
    <t>Al-Ogaili, AS; Hashim, TJT; Rahmat, NA; Ramasamy, AK; Marsadek, MB; Faisal, M; Hannan, MA</t>
  </si>
  <si>
    <t>Al-Ogaili, Ali Saadon; Hashim, Tengku Juhana Tengku; Rahmat, Nur Azzammudin; Ramasamy, Agileswari K.; Marsadek, Marayati Binti; Faisal, Mohammad; Hannan, Mahammad A.</t>
  </si>
  <si>
    <t>Review on Scheduling, Clustering, and Forecasting Strategies for Controlling Electric Vehicle Charging: Challenges and Recommendations</t>
  </si>
  <si>
    <t>Electric vehicle charging; scheduling; clustering; forecasting; probabilities; machine learning</t>
  </si>
  <si>
    <t>DATA-DRIVEN APPROACH; RENEWABLE ENERGY; DISTRIBUTION NETWORKS; MANAGEMENT ALGORITHM; POWER MANAGEMENT; GRID OPERATION; DEMAND; MODEL; LOAD; OPTIMIZATION</t>
  </si>
  <si>
    <t>The usage and adoption of electric vehicles (EVs) have increased rapidly in the 21st century due to the shifting of the global energy demand away from fossil fuels. The market penetration of EVs brings new challenges to the usual operations of the power system. Uncontrolled EV charging impacts the local distribution grid in terms of its voltage profile, power loss, grid unbalance, and reduction of transformer life, as well as harmonic distortion. Multiple research studies have addressed these problems by proposing various EV charging control methods. This manuscript comprehensively reviews EV control charging strategies using real-world data. This review classifies the EV control charging strategies into scheduling, clustering, and forecasting strategies. The models of EV control charging strategies are highlighted to compare and evaluate the techniques used in EV charging, enabling the identification of the advantages and disadvantages of the different methods applied. A summary of the methods and techniques for these EV charging strategies is presented based on machine learning and probabilities approaches. This research paper indicates many factors and challenges in the development of EV charging control in next-generation smart grid applications and provides potential recommendations. A report on the guidelines for future studies on this research topic is provided to enhance the comparability of the various results and findings. Accordingly, all the highlighted insights of this paper serve to further the increasing effort towards the development of advanced EV charging methods and demand-side management (DSM) for future smart grid applications.</t>
  </si>
  <si>
    <t>10.1109/ACCESS.2019.2939595</t>
  </si>
  <si>
    <t>Electric Vehicle Charging Strategy for Isolated Systems with High Penetration of Renewable Generation</t>
  </si>
  <si>
    <t>electric bus; electric motorcycle; electric vehicle; microgrid; smart grid; smart charging</t>
  </si>
  <si>
    <t>FREQUENCY CONTROL; ENERGY-RESOURCES; PARKING LOTS; MANAGEMENT; STORAGE; IMPACT; WIND; COORDINATION; ALLOCATION; ALGORITHM</t>
  </si>
  <si>
    <t>Inhabited islands depend primarily on fossil fuels for electricity generation and they also present frequently a vehicle fleet, which result in a significant environmental problem. To address this, several governments are investing in the integration of Renewable Energy Sources (RESs) and Electric Vehicles (EVs), but the combined integration of them creates challenges to the operation of these isolated grid systems. Thus, the aim of this paper is to propose an Electric Vehicle charging strategy considering high penetration of RES. The methodology proposes taxing CO&lt;mml:semantics&gt;2&lt;/mml:semantics&gt; emissions based on high pricing when the electricity is mostly generated by fossil fuels, and low pricing when there is a RES power excess. The Smart charging methodology for EV optimizes the total costs. Nine scenarios with different installed capacity of solar and wind power generation are evaluated and compared to cases of uncoordinated charging. The methodology was simulated in the Galapagos Islands, which is an archipelago of Ecuador, and recognized by the United Nations Educational, Scientific and Cultural Organization (UNESCO) as both a World Heritage site and a biosphere reserve. Simulations results demonstrate that the EV aggregator could reduce costs: 7.9% for a case of 5 MW installed capacity (wind and PV each), and 7% for a case of 10 MW installed (wind and PV each). Moreover, the use of excess of RES power for EV charging will considerably reduce CO2 emissions.</t>
  </si>
  <si>
    <t>10.3390/en11113188</t>
  </si>
  <si>
    <t>Hadian, E; Akbari, H; Farzinfar, M; Saeed, S</t>
  </si>
  <si>
    <t>Hadian, Emad; Akbari, Hamidreza; Farzinfar, Mehdi; Saeed, Seyedamin</t>
  </si>
  <si>
    <t>Optimal Allocation of Electric Vehicle Charging Stations With Adopted Smart Charging/Discharging Schedule</t>
  </si>
  <si>
    <t>Load modeling; Batteries; Resource management; Schedules; Uncertainty; State of charge; Charging station; electric vehicle; optimal allocation; smart charging; discharging schedule</t>
  </si>
  <si>
    <t>DEMAND; ENERGY; OPTIMIZATION</t>
  </si>
  <si>
    <t>Modeling and allocation of the Electric vehicles Charging Stations (EVCS) within the distribution network, as per the growing use of Electric vehicles (EVs) is a challenging task. In this paper, to manage the EVCS, first, with the aim of peak shaving, valley filling, and flattening the load curve of the network, the optimal planning of EV's charging/discharging is devised. In this regard, after modeling involving random variables, a novel hybrid method, based on the Multi Objective Particle Swarm Optimization (MOPSO) optimization algorithm and sequential Monte Carlo simulation is presented. The purpose of the presented optimal charge/discharge schedule is to control the rate and time of charging/discharging of EVs. In the proposed model, various battery operation strategies, including Uncontrolled Charging Mode (UCM), Controlled Charging Mode (CCM), and Smart Charge/Discharge Mode (SCDM) are also considered. In the next step, in order to implement the charge/discharge schedule of the EVCS profitably, a new formulation is presented for the allocation of two EVCSs (administrative and residential EVCS). In the proposed formulation, various objective functions such as power loss reduction, reducing power purchases from the upstream network, reducing voltage deviation in buses, improving reliability is addressed. Moreover, to incentivize the owner to construct the EVCS with adopted charging/discharging schedule, the optimal profits sharing between Distribution System Operator (DSO) and EVCS owner is also performed. The proposed formulation is applied to a standard network (IEEE 69 buses) and encouraging results are achieved.</t>
  </si>
  <si>
    <t>10.1109/ACCESS.2020.3033662</t>
  </si>
  <si>
    <t>Van Roy, J; Leemput, N; Geth, F; Buscher, J; Salenbien, R; Driesen, J</t>
  </si>
  <si>
    <t>Van Roy, Juan; Leemput, Niels; Geth, Frederik; Buescher, Jeroen; Salenbien, Robbe; Driesen, Johan</t>
  </si>
  <si>
    <t>Electric Vehicle Charging in an Office Building Microgrid With Distributed Energy Resources</t>
  </si>
  <si>
    <t>Coordinated charging; distributed energy resources (DERs); electric vehicles (EVs); microgrid; office building</t>
  </si>
  <si>
    <t>BATTERY STORAGE; INTEGRATION; GENERATION; SYSTEM</t>
  </si>
  <si>
    <t>This paper discusses the charging of plug-in hybrid electric vehicles (PHEVs) in an existing office building microgrid equipped with a photovoltaic (PV) system and a combined heat and power (CHP) unit. Different charging strategies and charging power ratings for workplace charging are examined for their grid impact and their impact on the self-consumption of the locally generated electricity. The grid impact can be significantly reduced by using strategies that require limited future knowledge of the EV mobility behavior and limited communication infrastructure. These strategies allow a high number of EVs to be charged at an office building, even with a limited number of charging spots, due to the large standstill times.</t>
  </si>
  <si>
    <t>10.1109/TSTE.2014.2314754</t>
  </si>
  <si>
    <t>Geng, LJ; Lu, ZG; He, LC; Zhang, JF; Li, XP; Guo, XQ</t>
  </si>
  <si>
    <t>Geng, Lijun; Lu, Zhigang; He, Liangce; Zhang, Jiangfeng; Li, Xueping; Guo, Xiaoqiang</t>
  </si>
  <si>
    <t>Smart charging management system for electric vehicles in coupled transportation and power distribution systems</t>
  </si>
  <si>
    <t>Distributed coordination pricing method; Electric vehicles; Elastic charging demand; Optimal power flow; Smart charging management system; Traffic equilibrium assignment</t>
  </si>
  <si>
    <t>FREQUENCY REGULATION; NETWORK EQUILIBRIUM; STATIONS; RECONFIGURATION; DEPLOYMENT; DISPATCH; FLOW</t>
  </si>
  <si>
    <t>With the increasing popularity of electric vehicles, the connections between urban transportation and power distribution systems gradually change from independent to tightly coupled. To promote the coordinated operation of the two kind of systems, this paper proposes a smart charging management system considering the elastic response of electric vehicle users to electricity charging price. In this system, a multi-class user traffic equilibrium assignment model with elastic charging demand is formulated to capture link flow distributions of vehicles across the urban transportation network and estimate charging demand of each fast charging station. An alternating current optimal power flow model for power distribution network is also established to calculate optimal charging capacity of each fast charging station and scheduling plan of generators. Combining the above two models, a distributed coordination pricing method is designed based on alternating direction multiplier method, which can obtain a proper electricity charging price signal to better manage electric vehicles. A case study is performed to show the effectiveness of the proposed model and the distributed coordination pricing method. (C) 2019 Elsevier Ltd. All rights reserved.</t>
  </si>
  <si>
    <t>10.1016/j.energy.2019.116275</t>
  </si>
  <si>
    <t>Schultis, DL</t>
  </si>
  <si>
    <t>Schultis, Daniel-Leon</t>
  </si>
  <si>
    <t>Sparse Measurement-Based Coordination of Electric Vehicle Charging Stations to Manage Congestions in Low Voltage Grids</t>
  </si>
  <si>
    <t>SMART CITIES</t>
  </si>
  <si>
    <t>Smart Grid; congestion management; coordination; electric vehicle charging station; photovoltaic; sparse measurements; low voltage grid</t>
  </si>
  <si>
    <t>SMART GRIDS; POWER; SYSTEM; CHALLENGES</t>
  </si>
  <si>
    <t>The increasing use of distributed generation and electric vehicle charging stations provokes violations of the operational limits in low voltage grids. The mitigation of voltage limit violations is addressed by Volt/var control strategies, while thermal overload is avoided by using congestion management. Congestions in low voltage grids can be managed by coordinating the active power contributions of the connected elements. As a prerequisite, the system state must be carefully observed. This study presents and investigates a method for the sparse measurement-based detection of feeder congestions that bypasses the major hurdles of distribution system state estimation. Furthermore, the developed method is used to enable congestion management by the centralized coordination of the distributed electric vehicle charging stations. Different algorithms are presented and tested by conducting load flow simulations on a real urban low voltage grid for several scenarios. Results show that the proposed method reliably detects all congestions, but in some cases, overloads are detected when none are present. A minimal detection accuracy of 73.07% is found across all simulations. The coordination algorithms react to detected congestions by reducing the power consumption of the corresponding charging stations. When properly designed, this strategy avoids congestions reliably but conservatively. Unnecessary reduction of the charging power may occur. In total, the presented solution offers an acceptable performance while requiring low implementation effort; no complex adaptations are required after grid reinforcement and expansion.</t>
  </si>
  <si>
    <t>10.3390/smartcities4010002</t>
  </si>
  <si>
    <t>Sbordone, D; Bertini, I; Di Pietra, B; Falvo, MC; Genovese, A; Martirano, L</t>
  </si>
  <si>
    <t>Sbordone, D.; Bertini, I.; Di Pietra, B.; Falvo, M. C.; Genovese, A.; Martirano, L.</t>
  </si>
  <si>
    <t>EV fast charging stations and energy storage technologies: A real implementation in the smart micro grid paradigm</t>
  </si>
  <si>
    <t>Charging station; Electric vehicle; Energy storage; ICT; Smart grid</t>
  </si>
  <si>
    <t>In the last years, electric vehicles (EVs) are getting significant consideration as an environmental sustainable and cost-effective alternative over conventional vehicles with internal combustion engines (ICEs), for the mitigation of the dependence from fossil fuels and for reduction of Green-House Gasses (GHGs) emission. However, many challenges are still ongoing to their large scale implementation. Among them, the negative impact on the electrical grid operation in case of an uncoordinated contemporary charging of a huge number of EVs. In the recent literature different solutions are proposed for handling the peak demand of EVs and the related problems. One answer is offered by the implementation of EV charging strategies, through aggregation agents, for containing the impact on the grid, guaranteeing the quality of the service. The implementation of a real charging strategy is strictly related to a deployment of smart-grid technologies, such as smart meters, Information and Communication Technologies (ICTs) and energy storage systems (ESSs). In particular ESSs are playing a fundamental role in the general smart grid paradigm, and can become fundamental for the integration in the new power systems of EV fast charging stations of the last generation: in this case the storage can have peak shaving and power quality functions and also to make the charge time shorter. In the present paper, an overview on the different types of EVs charging stations, in reference to the present international European standards, and on the storage technologies for the integration of EV charging stations in smart grid is reported. Then a real implementation of EVs fast charging station equipped with an ESS is deeply described. The system is a prototype, designed, implemented and now available at ENEA (Italian National Agency for New Technologies, Energy and Sustainable Economic Development) labs. A wide experimental activity has been performed on the prototype system in order to test its functionalities in the integration in a smart grid available at the same ENEA lab, including a smart metering system. The integration has been possible thanks to the use of a customized communication protocol, developed by the researchers and here described. The results of the experimental tests show that the system has a good performance in the implementation of peak shaving functions, in respect of the main distribution grid, making the prototype like a network nearly zero-impact system. (C) 2014 Elsevier B.V. All rights reserved.</t>
  </si>
  <si>
    <t>10.1016/j.epsr.2014.07.033</t>
  </si>
  <si>
    <t>Zhang, YM; Cai, L</t>
  </si>
  <si>
    <t>Zhang, Yongmin; Cai, Lin</t>
  </si>
  <si>
    <t>Dynamic Charging Scheduling for EV Parking Lots With Photovoltaic Power System</t>
  </si>
  <si>
    <t>Electric vehicle; charging scheduling; photovoltaic power; model predictive control</t>
  </si>
  <si>
    <t>ELECTRIC VEHICLES; RENEWABLE ENERGY</t>
  </si>
  <si>
    <t>This paper studies the optimal charging scheduling for electric vehicles (EVs) in a workplace parking lot, powered by both the photovoltaic power system and the power grid. Due to the uncertainty and fluctuation of solar energy and the time-varying EV charging requirements, it is challenging to guarantee the economic operation of the parking lot charging station. To address this issue, we formulate the EV charging scheduling in the parking lot as a benefit maximization problem. First, by analyzing the relationship among the EV charging requirements, the charging load, and the harvested solar energy, we derive several necessary conditions for obtaining an optimal decision, such that the primal optimization problem can be simplified. Then, we design a dynamic charging scheduling scheme (DCSS) to manage the EV charging processes, in which the model predictive control method is employed to deal with the real-time information of EV charging requirements and the solar energy. Simulation results demonstrate the effectiveness and efficiency of the designed DCSS.</t>
  </si>
  <si>
    <t>10.1109/ACCESS.2018.2873286</t>
  </si>
  <si>
    <t>Aujla, GS; Kumar, N; Singh, M; Zomaya, AY</t>
  </si>
  <si>
    <t>Aujla, Gagangeet Singh; Kumar, Neeraj; Singh, Mukesh; Zomaya, Albert Y.</t>
  </si>
  <si>
    <t>Energy trading with dynamic pricing for electric vehicles in a smart city environment</t>
  </si>
  <si>
    <t>JOURNAL OF PARALLEL AND DISTRIBUTED COMPUTING</t>
  </si>
  <si>
    <t>Charging stations; Dynamic pricing; Electric vehicles; Stackelberg game; Smart city; Smart grid</t>
  </si>
  <si>
    <t>STACKELBERG GAME; COGNITIVE RADIO; SCHEME; STRATEGY; EFFICIENT; PHEVS</t>
  </si>
  <si>
    <t>Smart cities are equipped with latest technologies to provide sustainable and economical services to their citizens. With an increase in carbon emissions, the popularity of electric vehicles (EVs) is a major step towards environment friendly smart cities. However, energy trading with dynamic pricing is one of the major challenges for EVs in a smart city environment. Most of the existing solutions reported in the literature do not consider energy trading with an aim to maximize benefits to EVs in terms of their demand satisfaction. EVs have to pay higher price as they have limited knowledge about the location and pricing policy of the charging stations (CSs). Moreover, they have to wait for long time till the required amount of energy is met from the CSs. To address these issues, a multi-leader multi-follower Stackelberg game for energy trading is proposed by assuming EVs as the consumers and CSs as energy providers. Using this concept, a dynamic pricing scheme known as multi parameter pricing scheme is designed by taking parameters such as - electricity usage, time-of-use, location, and type of EVs. Two cases of Stackelberg Game are considered in the proposal- (i) EVs as leaders and CSs as followers, and (ii) CSs as leaders and EVs as followers. The proposed scheme is evaluated using three types of vehicles with respect to performance metrics such as (a) price of energy (b) utility function and (c) satisfaction factor. The results obtained clearly depict the superior performance of the proposed scheme in comparison to the existing schemes. (C) 2018 Elsevier Inc. All rights reserved.</t>
  </si>
  <si>
    <t>10.1016/j.jpdc.2018.06.010</t>
  </si>
  <si>
    <t>Cheng, AJ; Tarroja, B; Shaffer, B; Samuelsen, S</t>
  </si>
  <si>
    <t>Cheng, Aaron J.; Tarroja, Brian; Shaffer, Brendan; Samuelsen, Scott</t>
  </si>
  <si>
    <t>Comparing the emissions benefits of centralized vs. decentralized electric vehicle smart charging approaches: A case study of the year 2030 California electric grid</t>
  </si>
  <si>
    <t>Electric vehicle; Smart charging; Centralized; Decentralized; Electric grid; Emissions</t>
  </si>
  <si>
    <t>DISTRIBUTION NETWORKS; ALGORITHMS; DEMAND; LOAD; REQUIREMENTS; TECHNOLOGIES; INTEGRATION; RESOURCES; STANDARDS; SYSTEM</t>
  </si>
  <si>
    <t>Grid communicative smart charging of electric vehicles can provide significant benefits for maximizing the emission reductions provided by the large-scale use of these vehicles. While decentralized approaches to smart charging can be practical to implement in real systems, it is unclear whether these provide the same benefits for the electric grid as those identified by centralized approaches in the literature. This study compares the CO2 and NOx reduction benefits, and cost and grid capacity benefits, achieved by decentralized and centralized electric vehicle smart charging by modeling two different smart charging algorithms in battery electric vehicles and characterizing their effect on the operation and dispatch of electric grid resources and subsequently electric grid CO2 and NOx emissions. Decentralized approaches were found to provide the same CO2 emissions benefits and within 2% of the NOx emissions benefits achieved with centralized approaches, but only if the frequency of communication between vehicles and the electric grid is sufficiently high (less than 60 min). The difference in NOx emission is associated with the increased load variability caused by less frequent communication in decentralized smart charging resulting in higher power plant startup events. Finally, costs and grid capacity needs are increased without frequent grid communication.</t>
  </si>
  <si>
    <t>10.1016/j.jpowsour.2018.08.092</t>
  </si>
  <si>
    <t>Shang, YT; Zheng, YC; Shao, ZY; Jian, LN</t>
  </si>
  <si>
    <t>Shang, Yitong; Zheng, Yanchong; Shao, Ziyun; Jian, Linni</t>
  </si>
  <si>
    <t>Computational performance analysis for centralized coordinated charging methods of plug-in electric vehicles: From the grid operator perspective</t>
  </si>
  <si>
    <t>centralized coordinated charging method; computational performance; convex analysis; plug-in electric vehicles</t>
  </si>
  <si>
    <t>OPTIMIZATION; MANAGEMENT</t>
  </si>
  <si>
    <t>With an ever-increasing number of plug-in electric vehicles (PEVs), there is a fast-growing interest in PEVs' charging impact on the stability and the operating cost of power grid as well as the ecological environment. The centralized coordinated charging method is one of the promising solutions to mitigate such undesired impacts as elevating load peaks, increasing energy losses, and decreasing node voltage. However, the computational complexity is a critical issue to obtain the coordinated charging strategies especially for a large number of PEVs. In this context, it is very essential to analyze the computational performance of the centralized coordinated charging methods. In this paper, a paradigm for analyzing the computational performance is provided. Three centralized methods with different standpoint, viz., to minimize carbon emissions, to minimize load variance, and to minimize generation cost, are investigated to conduct a computational performance analysis from the grid operator perspective. First, the optimization theory is employed to transform the three engineering problems into the mathematical programming models. Then, whether the mathematical programming models are convex or nonconvex is analyzed. The results show that the first two mathematical programming models are convex, and the third mathematical programming model is nonconvex. And it demonstrates that the centralized scheduling model that is convex programming has a better computational performance theoretically. At last, simulations are carried out to verify the theoretical computational performance for different types of centralized coordinated charging methods.</t>
  </si>
  <si>
    <t>e12229</t>
  </si>
  <si>
    <t>10.1002/2050-7038.12229</t>
  </si>
  <si>
    <t>NOV 2019</t>
  </si>
  <si>
    <t>Kasturi, K; Nayak, MR</t>
  </si>
  <si>
    <t>Kasturi, Kumari; Nayak, Manas Ranjan</t>
  </si>
  <si>
    <t>Assessment of techno-economic benefits for smart charging scheme of electric vehicles in residential distribution system</t>
  </si>
  <si>
    <t>Electric vehicle; distribution system; salp swarm algorithm; smart charging</t>
  </si>
  <si>
    <t>STATIONS; MANAGEMENT; DEMAND</t>
  </si>
  <si>
    <t>Connecting multiple electric vehicles (EVs) to a power system network for the purpose of charging has major setbacks like decrease in power quality, instability in voltage profile, and increase in power losses and thus electricity price. This paper focuses on devising an optimal charging scheme to reduce the negative impacts of EVs' presence in the distribution network by limiting the charging process to only off-peak demand periods when the electricity price is comparatively lower. The salp swarm algorithm, an efficient, fast, and reliable optimization technique, is used to obtain the optimal locations for the EVs and their charging schedule in a residential 107-bus radial distribution system (RDS). The proposed optimization technique minimizes the total charging cost of the EVs within the framework of operational constraints of a residential RDS and parking availability. This charging scheme takes care of benefit maximization from both consumer and power supply operators' perspectives by controlling the starting time of EV charging as well as the EV charging rate in order to arrive at the objective.</t>
  </si>
  <si>
    <t>10.3906/elk-1801-34</t>
  </si>
  <si>
    <t>Will, C; Schuller, A</t>
  </si>
  <si>
    <t>Will, Christian; Schuller, Alexander</t>
  </si>
  <si>
    <t>Understanding user acceptance factors of electric vehicle smart charging</t>
  </si>
  <si>
    <t>Electric vehicle; Smart charging; Acceptance; Survey; Structural equation modeling</t>
  </si>
  <si>
    <t>TECHNOLOGY; BEHAVIOR; MODEL</t>
  </si>
  <si>
    <t>Smart charging has been the focus of considerable research efforts but so far there is little notion of users' acceptance of the concept. This work considers potentially influential factors for the acceptance of smart charging from the literature and tests their viability employing a structural equation model, following the partial least squares approach. For a sample of 237 early electric vehicle adopters from Germany our results show that contributing to grid Stability and the integration of renewable energy sources are key motivational factors for acceptance of smart charging. In addition, the individual need for flexibility should not be impaired through charging control. Further well known influential factors like economic incentives do not seem to have a significant impact in the sample group under scrutiny. These and further findings should be taken into account by aggregators when designing attractive business models that incentivize the participation of early adopters and ease market rollout. (C) 2016 Elsevier Ltd. All rights reserved.</t>
  </si>
  <si>
    <t>10.1016/j.trc.2016.07.006</t>
  </si>
  <si>
    <t>Jeon, DH; Cho, JY; Jhun, JP; Ahn, JH; Jeong, S; Jeong, SY; Kumar, A; Ryu, CH; Hwang, W; Park, H; Chang, C; Lee, H; Sung, TH</t>
  </si>
  <si>
    <t>Jeon, Deok Hwan; Cho, Jae Yong; Jhun, Jeong Pil; Ahn, Jung Hwan; Jeong, Sinwoo; Jeong, Se Yeong; Kumar, Anuruddh; Ryu, Chul Hee; Hwang, Wonseop; Park, Hansun; Chang, Cheulho; Lee, Hyoungjin; Sung, Tae Hyun</t>
  </si>
  <si>
    <t>A lever-type piezoelectric energy harvester with deformation-guiding mechanism for electric vehicle charging station on smart road</t>
  </si>
  <si>
    <t>Piezoelectric; Energy harvesting; Smart road; Charging station; Electric vehicle</t>
  </si>
  <si>
    <t>DESIGN; OPTIMIZATION; SYSTEM; TRANSDUCER</t>
  </si>
  <si>
    <t>To meet the increasing demand for electric vehicles, this paper presents a novel concept to enhance the energy generation performance of piezoelectric energy harvesters used as charging stations on roads. A lever-type piezoelectric energy harvester with a deformation-guiding mechanism was designed and fabricated to overcome the existing limitations of low electrical output and low durability of piezoelectricity under extremely low road displacement conditions of 1 mm. The proposed harvester achieved a maximum output power of 60.3 mW at a load resistance of 50 k Omega under an input displacement of 1 mm. Thus, the module's electrical performance was significantly higher than that obtained in previous similar studies. The proposed harvester had 467% higher output power than the previously proposed vibration type road energy harvester. For the energy storage test, a 0.08 F supercapacitor was charged up to 5.09 V (1 J) in 170 min. The results prove that the energy generated by the proposed harvester can be potentially used as a power source for electric vehicles on smart roads beyond the power supply of various sensor systems on the road. (C) 2020 Elsevier Ltd. All rights reserved.</t>
  </si>
  <si>
    <t>MAR 1</t>
  </si>
  <si>
    <t>10.1016/j.energy.2020.119540</t>
  </si>
  <si>
    <t>Lam, AYS; Leung, YW; Chu, XW</t>
  </si>
  <si>
    <t>Lam, Albert Y. S.; Leung, Yiu-Wing; Chu, Xiaowen</t>
  </si>
  <si>
    <t>Electric Vehicle Charging Station Placement: Formulation, Complexity, and Solutions</t>
  </si>
  <si>
    <t>Charging station; electric vehicle (EV); location; smart city planning</t>
  </si>
  <si>
    <t>To enhance environmental sustainability, many countries will electrify their transportation systems in their future smart city plans, so the number of electric vehicles (EVs) running in a city will grow significantly. There are many ways to recharge EVs' batteries and charging stations will be considered as the main source of energy. The locations of charging stations are critical; they should not only be pervasive enough such that an EV anywhere can easily access a charging station within its driving range, but also widely spread so that EVs can cruise around the whole city upon being recharged. Based on these new perspectives, we formulate the EV charging station placement problem (EVCSPP) in this paper. We prove that the problem is nondeterministic polynomial-time hard. We also propose four solution methods to tackle EVCSPP, and evaluate their performance on various artificial and practical cases. As verified by the simulation results, the methods have their own characteristics and they are suitable for different situations depending on the requirements for solution quality, algorithmic efficiency, problem size, nature of the algorithm, and existence of system prerequisite.</t>
  </si>
  <si>
    <t>10.1109/TSG.2014.2344684</t>
  </si>
  <si>
    <t>Guzman, CP; Arias, NB; Franco, JF; Soares, J; Vale, Z; Romero, R</t>
  </si>
  <si>
    <t>Guzman, Cindy P.; Arias, Nataly Banol; Franco, John Fredy; Soares, Joao; Vale, Zita; Romero, Ruben</t>
  </si>
  <si>
    <t>Boosting the Usage of Green Energy for EV Charging in Smart Buildings Managed by an Aggregator Through a Novel Renewable Usage Index</t>
  </si>
  <si>
    <t>Indexes; Electric vehicle charging; Green buildings; Smart buildings; Air pollution; Optimization; Biological system modeling; Aggregator; building integrated photovoltaic; electric vehicles; green energy index; local energy market; smart charging</t>
  </si>
  <si>
    <t>ELECTRIC VEHICLE; SYSTEM; MODEL</t>
  </si>
  <si>
    <t>The growing trend of electric vehicles (EVs) and building integrated photovoltaics (BIPVs) is a promising means to reduce related climate change issues. EV loads can be managed via an aggregator to maximize the usage of green energy produced by photovoltaic units (PV) through smart charging strategies that exploit controllable EV demand connected to BIPV. Previous works have focused on the EV charging coordination in a smart BIPV, although without an optimization that encourages EV charging with the energy produced by the PV units. This paper proposes an aggregation strategy that maximizes a green energy index (GEI) for the smart charging coordination of EVs, which takes advantage of periods with high PV availability to charge the EV batteries; moreover, a post-processing stage for the GEI provides EV owners with information about the percentage of charged energy, period by period, that comes from PV generation. The results for a case study with 510 EVs integrated with 17 smart BIPVs show that the strategy effectively optimizes the usage of the energy produced by the PV units to charge the EVs, contributes to reduce non-renewable energy consumption of the building sector, and satisfies the EV owners' energy requirements for transportation.</t>
  </si>
  <si>
    <t>10.1109/ACCESS.2021.3099426</t>
  </si>
  <si>
    <t>Gil-Gala, FJ; Mencia, C; Sierra, MR; Varela, R</t>
  </si>
  <si>
    <t>Gil-Gala, Francisco J.; Mencia, Carlos; Sierra, Maria R.; Varela, Ramiro</t>
  </si>
  <si>
    <t>Evolving priority rules for on-line scheduling of jobs on a single machine with variable capacity over time</t>
  </si>
  <si>
    <t>Scheduling; One machine scheduling; Priority rules; Genetic programming; Hyperheuristics; Electric Vehicle Charging Scheduling</t>
  </si>
  <si>
    <t>DISPATCHING RULES; SETUP TIMES; SHOP; ALGORITHMS; HEURISTICS; SCHEMES</t>
  </si>
  <si>
    <t>On-line scheduling is often required in a number of real-life settings. This is the case of distributing charging times for a large fleet of electric vehicles arriving stochastically to a charging station working under power constraints. In this paper, we consider a scheduling problem derived from a situation of this type: one machine scheduling with variable capacity and tardiness minimization, denoted (1, Cap(t)parallel to Sigma T-i). The goal is to develop new priority rules to improve the results from some classical ones as Earliest Due Date (EDD) or Apparent Tardiness Cost (ATC). To this end, we developed a Genetic Programming (GP) approach. The efficiency of this algorithm relies on some smart representation of the expression trees. Besides, we restrict the search space to that of dimensionally compliant expressions, which allows GP to reach single and clear solutions. We conducted an experimental study showing that GP is able to evolve new rules that outperform ATC and EDD using the same problem attributes and operations. (C) 2019 Elsevier B.V. All rights reserved.</t>
  </si>
  <si>
    <t>10.1016/j.asoc.2019.105782</t>
  </si>
  <si>
    <t>Kim, JH; Kim, CH</t>
  </si>
  <si>
    <t>Kim, Jun-Hyeok; Kim, Chul-Hwan</t>
  </si>
  <si>
    <t>Smart EVs Charging Scheme for Load Leveling Considering ToU Price and Actual Data</t>
  </si>
  <si>
    <t>JOURNAL OF ELECTRICAL ENGINEERING &amp; TECHNOLOGY</t>
  </si>
  <si>
    <t>Electric vehicle; Charging load; Time-of-Use price; Smart charging; Load leveling</t>
  </si>
  <si>
    <t>ELECTRIC VEHICLES; IMPACT; ELECTRIFICATION</t>
  </si>
  <si>
    <t>With the current global need for eco-friendly energies, the large scale use of Electric Vehicles (EVs) is predicted. However, the need to frequently charge EVs to an electrical power system involves risks such as rapid increase of demand power. Therefore, in this paper, we propose a practical smart EV charging scheme considering a Time-of-Use (ToU) price to prevent the rapid increase of demand power and provide load leveling function. For a more practical analysis, we conduct simulations based on the actual distribution system and driving patterns in the Republic of Korea. Results show that the proposed method provides a proper load leveling function while preventing a rapid increase of demand power of the system.</t>
  </si>
  <si>
    <t>10.5370/JEET.2017.12.1.001</t>
  </si>
  <si>
    <t>Danish, SM; Zhang, KW; Jacobsen, HA; Ashraf, N; Qureshi, HK</t>
  </si>
  <si>
    <t>Danish, Syed Muhammad; Zhang, Kaiwen; Jacobsen, Hans-Arno; Ashraf, Nouman; Qureshi, Hassaan Khaliq</t>
  </si>
  <si>
    <t>BlockEV: Efficient and Secure Charging Station Selection for Electric Vehicles</t>
  </si>
  <si>
    <t>Electric vehicles; blockchain; charging station; security and privacy; smart city</t>
  </si>
  <si>
    <t>PRIVACY; PROTOCOL; LOCATION; SYSTEM</t>
  </si>
  <si>
    <t>The Intelligent Transportation System (ITS) has become essential for the economical and technological development of a country. The maturity of communication technologies (Vehicle to Infrastructure (V2I) and Vehicle to Vehicle (V2V)) and the amalgamation of smart grids, electric vehicles (EVs) and energy trading resulted in a storm of research opportunities for green ITS. In addition, the combination of vehicular communication technologies and ITS enable efficient selection of EV charging stations (CS) and scheduling EVs charging requirements in real-time. However, the untrusted centralized nature of energy markets and EV charging infrastructures result in several privacy and security threats to EV user's private information. These security and privacy threats include targeted advertisements, privacy leakage, selling data to third party, etc. In this work, we propose BlockEV, a blockchain-based efficient CS selection protocol for EVs to ensure the security and privacy of the EV users, availability of the reserved time slots at CSs, high Quality of Service (QoS) and enhanced EV user comfort. First, a blockchain-based framework is introduced to implement secure charging services and trusted reservation for EVs with the execution of smart contract. Second, we focus on the efficient CS selection and propose a mechanism for EVs to select the CS locally without sharing private information to CS, while fulfilling their service requirements. Evaluations show that the proposed BlockEV is scalable with significantly low blockchain transaction and storage overhead.</t>
  </si>
  <si>
    <t>10.1109/TITS.2020.3044890</t>
  </si>
  <si>
    <t>Fernandes, X; Rebelo, J; Gouveia, J; Maia, R; Silva, NB</t>
  </si>
  <si>
    <t>Fernandes, Xavier; Rebelo, Joana; Gouveia, Joao; Maia, Rodrigo; Silva, Nuno Bustorff</t>
  </si>
  <si>
    <t>On-off scheduling schemes for power-constrained electric vehicle charging</t>
  </si>
  <si>
    <t>4OR-A QUARTERLY JOURNAL OF OPERATIONS RESEARCH</t>
  </si>
  <si>
    <t>Electric vehicles; Battery charging; Scheduling; Slack-first heuristics; Linear programming</t>
  </si>
  <si>
    <t>In this paper, we study the problem of establishing a dynamic charging schedule of electric vehicles (EVs) at a charging station, assuming that limited power implies that only a limited number of EVs can charge simultaneously. The only control we assume to be available to the charging station is the ability to (at any given time) turn on or off the power supply to any EV, with this tool we want to develop a charging schedule that will satisfy the energy demands of the EVs in their intended deadlines. We propose two distinct approaches to this problem: a discretized time version, based on a greedy-like algorithm, and a continuous time version, based on linear programming. We compare these two approaches and numerically study the improvement they yield in the efficiency of the charging procedure, when applied to simulated data based on real parking data. Finally, we illustrate the flexibility of the models by sketching several possible extensions.</t>
  </si>
  <si>
    <t>10.1007/s10288-016-0328-9</t>
  </si>
  <si>
    <t>Heredia, WB; Chaudhari, K; Meintz, A; Jun, M; Pless, S</t>
  </si>
  <si>
    <t>Heredia, Willy Bernal; Chaudhari, Kalpesh; Meintz, Andrew; Jun, Myungsoo; Pless, Shanti</t>
  </si>
  <si>
    <t>Evaluation of smart charging for electric vehicle-to-building integration: A case study</t>
  </si>
  <si>
    <t>Electric vehicles; Charge scheduling; Demand response; Peak shaving; Charging stations</t>
  </si>
  <si>
    <t>POWER; COORDINATION</t>
  </si>
  <si>
    <t>Higher electric vehicle (EV) adoption will stress the importance of demand flexibility to achieve more economic, efficient, and reliable grid operation. Charging technologies will be paramount in shifting temporally to better fit the variable generation of wind and solar. Therefore, analysis is warranted on the benefits of EV charge scheduling with respect to installation cost, operation cost, difficulty of implementation, and grid flexibility. We tackle this by analyzing the cost savings of implementing an EV charge scheduling infrastructure to reduce demand charges and installation costs. In this paper, we analyze a case study for operation of 16 level 2 chargers and 1 fast charger for two different building types. We then evaluate various test phases for controlling building and charging loads using an adaptive charging network (ACN) algorithm to characterize the ACN's potential to reduce overall project cost.</t>
  </si>
  <si>
    <t>MAY 15</t>
  </si>
  <si>
    <t>10.1016/j.apenergy.2020.114803</t>
  </si>
  <si>
    <t>Casini, M; Vicino, A; Zanvettor, GG</t>
  </si>
  <si>
    <t>Casini, Marco; Vicino, Antonio; Zanvettor, Giovanni Gino</t>
  </si>
  <si>
    <t>A receding horizon approach to peak power minimization for EV charging stations in the presence of uncertainty</t>
  </si>
  <si>
    <t>Plug-in electric vehicles; Optimization; Smart charging; Peak reduction; Uncertainty</t>
  </si>
  <si>
    <t>ELECTRIC VEHICLES; RENEWABLE ENERGY; REDUCTION; OPERATION; STORAGE; SYSTEM; LOAD</t>
  </si>
  <si>
    <t>The increasing penetration of plug-in electric vehicles in recent years asks for specific solutions concerning the charging policies to be used in parking lots equipped with charging stations. In fact, simple policies based on uncoordinated charge of vehicles lead, in general, to high peak power demand, which may cause high costs to the car park owner. In this paper, the problem of minimizing the daily peak power of a charging station is addressed. Three sources of uncertainty affect the incoming vehicles: the arrival time, the departure time and the demanded energy to be charged. To assess the quality of the charging service under such uncertainties, a suitable customer satisfaction policy is employed. Depending on the information available on the uncertain variables, two algorithms based on a receding horizon approach are designed. Such algorithms require the solution of linear programs and provide the charging power for each plugged-in vehicle. Numerical simulations are provided to assess performance and computational burden of the algorithms, showing the effectiveness and feasibility of the proposed techniques.</t>
  </si>
  <si>
    <t>A</t>
  </si>
  <si>
    <t>10.1016/j.ijepes.2020.106567</t>
  </si>
  <si>
    <t>Alyami, S; Almutairi, A; Alrumayh, O</t>
  </si>
  <si>
    <t>Alyami, Saeed; Almutairi, Abdulaziz; Alrumayh, Omar</t>
  </si>
  <si>
    <t>Novel Flexibility Indices of Controllable Loads in Relation to EV and Rooftop PV</t>
  </si>
  <si>
    <t>Smart homes; Load modeling; Indexes; Costs; Electric vehicle charging; Demand side management; Water heating; Controllable load; electric vehicles; flexibility; machine learning; photovoltaics; smart homes</t>
  </si>
  <si>
    <t>CHARGING STATION</t>
  </si>
  <si>
    <t>In order to analyze the flexibility of controllable loads in smart homes, two flexibility indices are proposed in this study. The first index, the electric vehicle (EV) flexibility index, determines the ability of any particular controllable load to avoid the EV charging intervals during its operation. The second index, the photovoltaic (PV) flexibility index, evaluates the ability of any controllable load to absorb PV power during its operation. Both these indices can be utilized by homeowners or policymakers in installing/updating PVs and controllable home appliances. Higher index values imply more flexibility and thus those devices are more beneficial for the homeowners. In order to capture different consumption patterns in different homes, five home clusters are considered in this study. In each cluster, the controllable loads are grouped into three groups based on their flexibility level and utilization purpose. The performance of the proposed method is analyzed for the two commonly used charging levels in the residential sector, i.e. level 1 and level 2. In addition, sensitivity analysis of different uncertain factors such as PV power, the arrival time of EVs, and daily mileage of EVs is also carried out. Simulation results have shown the effectiveness of the proposed method in determining the flexibility of different controllable loads with respect to EVs and PV.</t>
  </si>
  <si>
    <t>10.1109/TITS.2022.3146237</t>
  </si>
  <si>
    <t>Tor, OB; Teimourzadeh, S; Koc, M; Cebeci, ME; Gemici, O; Bahar, C; Hildermeier, J; Saygin, D; Akinc, H</t>
  </si>
  <si>
    <t>Tor, O. B.; Teimourzadeh, S.; Koc, M.; Cebeci, M. E.; Gemici, O.; Bahar, C.; Hildermeier, J.; Saygin, D.; Akinc, H.</t>
  </si>
  <si>
    <t>Transport sector transformation: integrating electric vehicles in Turkey's distribution grids</t>
  </si>
  <si>
    <t>ENERGY SOURCES PART B-ECONOMICS PLANNING AND POLICY</t>
  </si>
  <si>
    <t>Electric vehicles; demand response; distribution grid; smart charging; stochastic approach</t>
  </si>
  <si>
    <t>This study investigates the impacts of integrating electrical vehicles to pilot distribution grids in Turkey to quantify technical concerns and solutions for the year 2030. Different charging loads that discern home, workplace and public charging are considered under two different cases; home-charging-support and public-charging-support. Random variables describing arrival time of electrical vehicles to the charging stations and associated state of charge at arrival time are modeled with a stochastic approach. Dependencies of electrical vehicle integration capacities of the pilot regions are investigated quantitatively based on several key performance indices. The study also analyzes effects on key performance indicators of demand response by electrical vehicle users, defined as smart charging. Key results show that there is sufficient capacity in the four selected Turkish distribution grids to integrate almost 10% electrical vehicles in the vehicle stock by 2030. Based on the results, priority areas are outlined for stakeholders including energy policymakers.</t>
  </si>
  <si>
    <t>DEC 2</t>
  </si>
  <si>
    <t>11-12</t>
  </si>
  <si>
    <t>10.1080/15567249.2021.1916795</t>
  </si>
  <si>
    <t>Open Source Algorithm for Smart Charging of Electric Vehicle Fleets</t>
  </si>
  <si>
    <t>Algorithm; electric vehicles (EVs); open source; practical validation; smart charging</t>
  </si>
  <si>
    <t>Smart charging assigns charging capacities between vehicles in limited charging infrastructures. Smart charging solutions are becoming widespread with increasing numbers of commercial offerings. However, commercial solutions are intransparent regarding algorithm implementation. In contrast, open source solutions are transparent and open for collaborative development and scientific research. This article presents an open source package with a smart charging algorithm. The algorithm schedules heterogeneous fleets of vehicles for charging while ensuring a fair share for each vehicle. We present implementation aspects of the smart charging algorithm including data structures and representational state transfer application programming interfaces. Additionally, the smart charging algorithm was validated in a one-year field test. Experimental results of the field test show elcetronic vehicles (EVs) at six charging stations can be scheduled for charging when the grid connection only allows two EVs to charge concurrently. Runtime measurements demonstrate the smart charging algorithm is applicable in real-time and scales to large fleet sizes.</t>
  </si>
  <si>
    <t>10.1109/TII.2020.3038144</t>
  </si>
  <si>
    <t>Chen, HM; Hu, ZC; Luo, HC; Qin, JJ; Rajagopal, R; Zhang, HC</t>
  </si>
  <si>
    <t>Chen, Huimiao; Hu, Zechun; Luo, Haocheng; Qin, Junjie; Rajagopal, Rain; Zhang, Hongcai</t>
  </si>
  <si>
    <t>Design and Planning of a Multiple-Charger Multiple-Port Charging System for PEV Charging Station</t>
  </si>
  <si>
    <t>Plug-in electric vehicle; charging facility planning; multiple-charger multiple-port charging system; stochastic programming; coordinated charging</t>
  </si>
  <si>
    <t>Investment of charging facilities is facing deficit problems in many countries at the initial development stage of plug-in electric vehicles (PEVs). In this paper, we study the charging facility planning problem faced by a PEV charging station investor who aims to serve PEV customers with random behaviors and demands (but follow a series of predicted distributions) with lower economic costs of both charging facilities and practical operation. First, we design a multiple-charger multiple-port charging (MCMP) system which provides the capability of scheduling a limited quantity of chargers to serve more PEVs. Second, we further develop a general two-stage stochastic programming model to plan the MCMP system inside a PEV parking lot with consideration of coordinated charging. Third, we classify MCMP stations according to three different connecting patterns between chargers and parking spaces. Fourth, the general planning model is simplified (as a reference) based on the classification. Finally, we complement our analysis through case studies.</t>
  </si>
  <si>
    <t>10.1109/TSG.2017.2735636</t>
  </si>
  <si>
    <t>Akbari, M; Brenna, M; Longo, M</t>
  </si>
  <si>
    <t>Akbari, Milad; Brenna, Morris; Longo, Michela</t>
  </si>
  <si>
    <t>Optimal Locating of Electric Vehicle Charging Stations by Application of Genetic Algorithm</t>
  </si>
  <si>
    <t>electric vehicles; genetic algorithm; charging stations; bass model; smart cities</t>
  </si>
  <si>
    <t>The advent of alternative vehicle technologies such as Electrical Vehicles (EVs) is an efficient effort to reduce the emission of carbon oxides and nitrogen oxides. Ironically, EVs poses concerns related to vehicle recharging and management. Due to the significance of charging station infrastructure, electric vehicles' charging stations deployment is investigated in this work. Its aim is to consider several limitations such as the power of charging station, the average time needed for each recharge, and traveling distance per day. Initially, a mathematical formulation of the problem is framed. Then, this problem is optimized by application of Genetic Algorithm (GA), with the objective to calculate the necessary number of charging stations then finding the best positions to locate them to satisfy the clients demand.</t>
  </si>
  <si>
    <t>10.3390/su10041076</t>
  </si>
  <si>
    <t>Ammous, M; Belakaria, S; Sorour, S; Abdel-Rahim, A</t>
  </si>
  <si>
    <t>Ammous, Mustafa; Belakaria, Syrine; Sorour, Sameh; Abdel-Rahim, Ahmed</t>
  </si>
  <si>
    <t>Joint Delay and Cost Optimization of In-Route Charging for On-Demand Electric Vehicles</t>
  </si>
  <si>
    <t>Electric vehicles; mobility-on-demand (MoD); routing; charging; smart cities</t>
  </si>
  <si>
    <t>On-Demand electric vehicle (EV) systems are expected to play a significantly increasing role in near future urban transportation systems, to cope with the massive increases in urban population and reduce global carbon emissions. One inconvenience in MoD-EV systems is the need of some customers to perform in-routing charging, which may cause delays in the trip time. Moreover, the customer choice of which station to charge at is an operational issue for the MoD-EV service operator due to the different pricing for the charging at different stations. Given a connected system, we propose a routing scheme that aims to reduce these inconveniences for both customers and the operator. By modeling the routing problem between multiple MoD-EV stations as a multi-server queuing system, we formulate the joint problem of minimizing the average trip time for all customers and the average cost of charging as a dual-objective convex optimization problem. Single and multiple servers per charging stations are considered. Optimal routing decisions are derived analytically for any arbitrary weighting of the two problem objectives and simulation results show the significant merits of our proposed solution as compared to shortest time and random routing decisions. They also illustrate the trade-offs between the two objectives.</t>
  </si>
  <si>
    <t>10.1109/TIV.2019.2955374</t>
  </si>
  <si>
    <t>Pournaras, E; Jung, S; Yadhunathan, S; Zhang, HT; Fang, XL</t>
  </si>
  <si>
    <t>Pournaras, Evangelos; Jung, Seoho; Yadhunathan, Srivatsan; Zhang, Huiting; Fang, Xingliang</t>
  </si>
  <si>
    <t>Socio-technical smart grid optimization via decentralized charge control of electric vehicles</t>
  </si>
  <si>
    <t>Electric vehicle; Smart Grid; Decentralized system; Optimization; Learning; Charging control; Planning; Scheduling; Reliability; Discomfort; Fairness</t>
  </si>
  <si>
    <t>MANAGEMENT; DEMAND; IMPACT; HOME; NETWORKS; SYSTEMS</t>
  </si>
  <si>
    <t>The penetration of electric vehicles becomes a catalyst for the sustainability of Smart Cities. However, unregulated battery charging remains a challenge causing high energy costs, power peaks or even blackouts. This paper studies this challenge from a socio-technical perspective: social dynamics such as the participation in demand-response programs, the discomfort experienced by alternative suggested vehicle usage times and even the fairness in terms of how equally discomfort is experienced among the population are highly intertwined with Smart Grid reliability. To address challenges of such a sociotechnical nature, this paper introduces a fully decentralized and participatory learning mechanism for privacy-preserving coordinated charging control of electric vehicles that regulates three Smart Grid socio-technical aspects: (i) reliability, (ii) discomfort and (iii) fairness. In contrast to related work, a novel autonomous software agent exclusively uses local knowledge to generate energy demand plans for its vehicle that encode different battery charging regimes. Agents interact to learn and make collective decisions of which plan to execute so that power peaks and energy cost are reduced systemwide. Evaluation with real-world data confirms the improvement of drivers' comfort and fairness using the proposed planning method, while this improvement is assessed in terms of reliability and cost reduction under a varying number of participating vehicles. These findings have a significant relevance and impact for power utilities and system operator on designing more reliable and socially responsible Smart Grids with high penetration of electric vehicles. (C) 2019 The Author( s ). Published by Elsevier B.V.</t>
  </si>
  <si>
    <t>10.1016/j.asoc.2019.105573</t>
  </si>
  <si>
    <t>Zaher, GK; Shaaban, MF; Mokhtar, M; Zeineldin, HH</t>
  </si>
  <si>
    <t>Zaher, G. K.; Shaaban, M. F.; Mokhtar, Mohamed; Zeineldin, H. H.</t>
  </si>
  <si>
    <t>Optimal operation of battery exchange stations for electric vehicles</t>
  </si>
  <si>
    <t>Battery exchange stations; Charging stations; Electric vehicles; Optimization; Smart Grid</t>
  </si>
  <si>
    <t>DEMAND RESPONSE; MANAGEMENT; SYSTEMS; MODEL</t>
  </si>
  <si>
    <t>Due to environmental and energy security concerns, low emission vehicles present a vital necessity for clean transportation. In particular, electric vehicles (EVs) are the most promising solution due to the fact that the electrical power system is the most ready infrastructure to supply their requirement. Two possible energy delivery solutions to the EVs, namely the charging stations and the battery exchange stations (BESs) are the focus of research nowadays. In this paper, a new optimal operation approach is proposed for the BESs. The proposed new model determines the optimal charging, discharging, and exchange decisions for the battery stock throughout the day taking into consideration the customers' arrivals, the variations in the grid price, the grid connection limitations, and the self-degradation of the batteries. The objective of the proposed approach is to maximize the BES owner profit while satisfying the EV owners' requests. The BES operation optimization problem is formulated as mixed-integer programming (MIP) problem and is solved as a day-ahead scheme. The performance of the BES is compared to conventional EV charging stations, where the BES shows superior customer satisfaction and higher profit.</t>
  </si>
  <si>
    <t>10.1016/j.epsr.2020.106935</t>
  </si>
  <si>
    <t>Erickson, LE</t>
  </si>
  <si>
    <t>Erickson, Larry E.</t>
  </si>
  <si>
    <t>Reducing Greenhouse Gas Emissions and Improving Air Quality: Two Global Challenges</t>
  </si>
  <si>
    <t>ENVIRONMENTAL PROGRESS &amp; SUSTAINABLE ENERGY</t>
  </si>
  <si>
    <t>solar; wind; electric vehicles; charging infrastructure; smart grid; climate change</t>
  </si>
  <si>
    <t>PEROVSKITE SOLAR-CELLS; ELECTRIC VEHICLES; ENERGY; CHARGE; TECHNOLOGY; POLLUTANTS; STATIONS; MODELS; HEALTH; FUTURE</t>
  </si>
  <si>
    <t>There are many good reasons to promote sustainable development and reduce greenhouse gas emissions and other combustion emissions. The air quality in many urban environments is causing many premature deaths because of asthma, cardiovascular disease, chronic obstructive pulmonary disease, lung cancer, and dementia associated with combustion emissions. The global social cost of air pollution is at least $3 trillion/year; particulates, nitrogen oxides and ozone associated with combustion emissions are very costly pollutants. Better air quality in urban environments is one of the reasons for countries to work together to reduce greenhouse gas emissions through the Paris Agreement on Climate Change. There are many potential benefits associated with limiting climate change. In the recent past, the concentrations of greenhouse gases in the atmosphere have been increasing and the number of weather and climate disasters with costs over $1 billion has been increasing. The average global temperature set new record highs in 2014, 2015, and 2016. To reduce greenhouse gas emissions, the transition to electric vehicles and electricity generation using renewable energy must take place in accord with the goals of the Paris Agreement on Climate Change. This work reviews progress and identifies some of the health benefits associated with reducing combustion emissions. (C) 2017 The Authors Environmental Progress &amp; Sustainable Energy published by Wiley Periodicals, Inc. on behalf of American Institute of Chemical Engineers</t>
  </si>
  <si>
    <t>10.1002/ep.12665</t>
  </si>
  <si>
    <t>Schmidt, M; Staudt, P; Weinhardt, C</t>
  </si>
  <si>
    <t>Schmidt, Marc; Staudt, Philipp; Weinhardt, Christof</t>
  </si>
  <si>
    <t>Decision support and strategies for the electrification of commercial fleets</t>
  </si>
  <si>
    <t>Electric vehicles; Decision support; Electrification; Automation; Smart charging; Electric fleets</t>
  </si>
  <si>
    <t>IN ELECTRIC VEHICLES; CHARGING INFRASTRUCTURE; ENERGY-CONSUMPTION; PASSENGER CARS; CO2 EMISSIONS; ADOPTION; IMPACTS; SYSTEM; COSTS; ACCEPTANCE</t>
  </si>
  <si>
    <t>Electric vehicles have proven to be a viable mobility alternative that leads to emissions reductions and hence the decarbonization of the transportation sector. Nevertheless, electric vehicle adoption is progressing slowly. Vehicle fleets are a promising starting point for increased market penetration. With this study, we address the issue of fleet electrification by analyzing a data set of 81 empirical mobility patterns of commercial fleets. We conduct a simulation to design a decision support system for fleet managers evaluating which fleets have a good potential for electrification and how fleets can improve the number of successful electric trips by adapting their charging strategy. We consider both heuristics and optimized scheduling. Our results show that a large share of fleets can score a close to optimal charging schedule using a simple charging heuristic. For all other fleets, we provide a decision mechanism to assess the potential of smart charging mechanisms.</t>
  </si>
  <si>
    <t>10.1016/j.trd.2021.102894</t>
  </si>
  <si>
    <t>Optimal Cloud-Based Routing With In-Route Charging of Mobility-on-Demand Electric Vehicles</t>
  </si>
  <si>
    <t>Electric vehicles; Mobility-on-Demand (MoD); routing; charging; smart cities</t>
  </si>
  <si>
    <t>Mobility-on-Demand (MoD) systems using electric vehicles (EVs) are expected to play a significantly increasing role with urban transportation systems in the near future, to both cope with the massive increases in urban population and reduce carbon emissions. One inconvenience in MoD-EV systems is the need for some customers to perform in-routing charging for almost-out-of-charge EVs. In this paper, we propose a routing scheme that aims to reduce this inconvenience by minimizing the relative excess time spent by MoD-EV systems customers for in-route charging compared to the on-road trip time. By modeling the routing problem between multiple MoD-EV stations with in-route charging as a multi-server queuing system, we formulate our objective as a stochastic convex optimization problem that minimizes the average overall trip time for all customers relatively to their actual trip time without in-route charging. Both single and multiple charging units per charging station are considered in this paper and modeled as M/M/l and M/M/c queues, respectively. For both types of queues, the optimal routing proportions are derived analytically using the Lagrangian analysis and the Karush-Kuhn-Tucker conditions. Simulation results show the merits of our proposed solution in both cases as compared to the shortest time and the random routing decisions. Finally, the proposed method is tested on a real-world scenario, and the computation times are calculated for different settings.</t>
  </si>
  <si>
    <t>10.1109/TITS.2018.2867519</t>
  </si>
  <si>
    <t>Zhu, L; Yu, FR; Ning, B; Tang, T</t>
  </si>
  <si>
    <t>Zhu, Li; Yu, F. Richard; Ning, Bin; Tang, Tao</t>
  </si>
  <si>
    <t>Optimal Charging Control for Plug-in Electric Vehicles in Smart Microgrids Fueled by Renewable Energy Sources</t>
  </si>
  <si>
    <t>INTERNATIONAL JOURNAL OF GREEN ENERGY</t>
  </si>
  <si>
    <t>Plug-in electric vehicles; Smart microgrids; Renewable energy; Charging controls</t>
  </si>
  <si>
    <t>ADMISSION CONTROL; POWER; PERFORMANCE</t>
  </si>
  <si>
    <t>There is a growing interest in plug-in electric vehicles (EVs). Charging EVs from smart microgrids fueled by renewable energy resources is becoming a popular green approach. Although some works have been done on renewable energy sources and EVs in smart microgrids, the stochastic characteristics and the dynamic interplay between these two important green solutions should be carefully considered. Furthermore, one of the important performance metrics, service availability for EVs, is largely ignored in the existing works. In this article, we study the charging policies in smart microgrids with EVs and renewable energy sources. We analyze service availability under different charging policies. Based on the renewable energy sources states, battery states, and the number of charging EVs, an optimal charging policy is obtained to maximize the energy utilization with service availability constraints. We formulate the optimal charging problem as a stochastic decision process. Maximizing the energy utilization with service availability constraints is the objective in our model. Extensive simulation results are presented. It is illustrated that the proposed scheme can significantly improve the service availability for EVs in microgrids fueled by renewable energy sources.</t>
  </si>
  <si>
    <t>OCT 21</t>
  </si>
  <si>
    <t>10.1080/15435075.2012.727364</t>
  </si>
  <si>
    <t>Koufakis, AM; Rigas, ES; Bassiliades, N; Ramchurn, SD</t>
  </si>
  <si>
    <t>Koufakis, Alexandros-Michail; Rigas, Emmanouil S.; Bassiliades, Nick; Ramchurn, Sarvapali D.</t>
  </si>
  <si>
    <t>Offline and Online Electric Vehicle Charging Scheduling With V2V Energy Transfer</t>
  </si>
  <si>
    <t>Vehicle-to-grid; Electric vehicle charging; Energy exchange; Scheduling; Schedules; Real-time systems; Electric vehicles; charging scheduling; vehicle-to-vehicle (V2V); renewable energy source (RES); mixed integer programming (MIP)</t>
  </si>
  <si>
    <t>COST</t>
  </si>
  <si>
    <t>We propose offline and online scheduling algorithms for the charging of electric vehicles (EVs) in a single charging station (CS). The station has available cheaper, but limited, energy from renewable energy sources (RES). The EVs are capable of and willing to participate in vehicle-to-vehicle (V2V) energy transfers that are used to reduce the charging cost and increase the RES utilization. The algorithms are centralized and aim to minimize the total charging cost for the EVs. We formulate the problem as a mixed integer programming (MIP) one and we solve it optimally assuming full knowledge of the EV demand and energy generation. Later, we propose an online algorithm that iteratively calls the offline one and copes with unknown future interruptions by arriving the EVs and with the inability to predict accurately RES production. In addition, a novel technique called virtual demand is developed that increases the demand of already existing EVs, in order to store renewable energy and later transfer it via V2V to EVs that will arrive at the CS in the future. This technique is used for mitigating the inefficiency due to the uncertainty about future actions that real-time scheduling entails. In a setting with up to 150 EVs and using real data regarding the RES production, our algorithms are shown to have low execution times, while the use of virtual demand increases RES utilization by 12% and reduces cost by 3.3%.</t>
  </si>
  <si>
    <t>10.1109/TITS.2019.2914087</t>
  </si>
  <si>
    <t>Shuaib, K; Barka, E; Abdella, JA; Sallabi, F; Abdel-Hafez, M; Al-Fuqaha, A</t>
  </si>
  <si>
    <t>Shuaib, Khaled; Barka, Ezedin; Abdella, Juhar Ahmed; Sallabi, Farag; Abdel-Hafez, Mohammed; Al-Fuqaha, Ala</t>
  </si>
  <si>
    <t>Secure Plug-in Electric Vehicle PEV Charging in a Smart Grid Network</t>
  </si>
  <si>
    <t>electric vehicles; information security protocols; smart grid; privacy; energy charging</t>
  </si>
  <si>
    <t>V2G NETWORKS; AUTHENTICATION SCHEME; PRIVACY PRESERVATION; INTEGRATION</t>
  </si>
  <si>
    <t>Charging of plug-in electric vehicles (PEVs) exposes smart grid systems and their users to different kinds of security and privacy attacks. Hence, a secure charging protocol is required for PEV charging. Existing PEV charging protocols are usually based on insufficiently represented and simplified charging models that do not consider the user's charging modes (charging at a private location, charging as a guest user, roaming within one's own supplier network or roaming within other suppliers' networks). However, the requirement for charging protocols depends greatly on the user's charging mode. Consequently, available solutions do not provide complete protocol specifications. Moreover, existing protocols do not support anonymous user authentication and payment simultaneously. In this paper, we propose a comprehensive end-to-end charging protocol that addresses the security and privacy issues in PEV charging. The proposed protocol uses nested signatures to protect users' privacy from external suppliers, their own suppliers and third parties. Our approach supports anonymous user authentication, anonymous payment, as well as anonymous message exchange between suppliers within a hierarchical smart grid architecture. We have verified our protocol using the AVISPA software verification tool and the results showed that our protocol is secure and works as desired.</t>
  </si>
  <si>
    <t>10.3390/en10071024</t>
  </si>
  <si>
    <t>Reduction of Control Signal Overhead for Electric Vehicle Charging Operation in Smart Grid System</t>
  </si>
  <si>
    <t>INTERNATIONAL JOURNAL OF PRECISION ENGINEERING AND MANUFACTURING-GREEN TECHNOLOGY</t>
  </si>
  <si>
    <t>Electric vehicles; Operation management; Charging system; Smart grid; Overhead reduction</t>
  </si>
  <si>
    <t>OPTIMIZATION; LOAD</t>
  </si>
  <si>
    <t>Smart grid systems have been proposed to replace the conventional power distribution system in order to accommodate future market penetration of electric vehicles (EVs). Nevertheless, there are many factors to consider when large numbers of EVs require simultaneous charging in the smart grid. Among various optimization schemes, the most updated schemes proposed charging with coordination to optimize EV charging performance. In this case, huge amount of control signals are involved in the coordinated charging, therefore the charging performance is retarded. In this paper, a new threshold-based charging operation with historical average data of the EV charging system to improve the EV charging performance is proposed by minimizing control signal overhead, instead of maximum power delivery to all EVs. The moving average of historical data for BSOC levels of the EVs can properly approximate the charging profile of the EVs over time thus enabling the development of an optimization algorithm based on the threshold method. Up to 33% of the reduction in the control signal overhead is achieved with slight trade off in the power delivery to the EVs.</t>
  </si>
  <si>
    <t>10.1007/s40684-017-0024-z</t>
  </si>
  <si>
    <t>Momtazpour, M; Butler, P; Ramakrishnan, N; Hossain, MS; Bozchalui, MC; Sharma, R</t>
  </si>
  <si>
    <t>Momtazpour, Marjan; Butler, Patrick; Ramakrishnan, Naren; Hossain, M. Shahriar; Bozchalui, Mohammad C.; Sharma, Ratnesh</t>
  </si>
  <si>
    <t>Charging and Storage Infrastructure Design for Electric Vehicles</t>
  </si>
  <si>
    <t>ACM TRANSACTIONS ON INTELLIGENT SYSTEMS AND TECHNOLOGY</t>
  </si>
  <si>
    <t>Experimentation; Algorithms; Design; Measurement; Clustering; coordinated clustering; data mining; electric vehicles; smart grids; storage; charging stations; synthetic populations</t>
  </si>
  <si>
    <t>Ushered by recent developments in various areas of science and technology, modern energy systems are going to be an inevitable part of our societies. Smart grids are one of these modern systems that have attracted many research activities in recent years. Before utilizing the next generation of smart grids, we should have a comprehensive understanding of the interdependent energy networks and processes. Next-generation energy systems networks cannot be effectively designed, analyzed, and controlled in isolation from the social, economic, sensing, and control contexts in which they operate. In this article, we present a novel framework to support charging and storage infrastructure design for electric vehicles. We develop coordinated clustering techniques to work with network models of urban environments to aid in placement of charging stations for an electrical vehicle deployment scenario. Furthermore, we evaluate the network before and after the deployment of charging stations, to recommend the installation of appropriate storage units to overcome the extra load imposed on the network by the charging stations. We demonstrate the multiple factors that can be simultaneously leveraged in our framework to achieve practical urban deployment. Our ultimate goal is to help realize sustainable energy system management in urban electrical infrastructure by modeling and analyzing networks of interactions between electric systems and urban populations.</t>
  </si>
  <si>
    <t>10.1145/2513567</t>
  </si>
  <si>
    <t>Weng, SX; Li, YM; Ding, XH</t>
  </si>
  <si>
    <t>Weng, Shengxuan; Li, Yanman; Ding, Xiaohua</t>
  </si>
  <si>
    <t>Resilient Distributed Coordination of Plug-In Electric Vehicles Charging under Cyber-Attack</t>
  </si>
  <si>
    <t>plug-in electric vehicle; distributed charging coordination; resilience; cyber-attack</t>
  </si>
  <si>
    <t>CONSENSUS-BASED COORDINATION; OPTIMIZATION</t>
  </si>
  <si>
    <t>The coordinated scheduling of plug-in electric vehicle (PEV) charging should be constructed in distributed architecture due to the growing population of PEVs. Since the information and communication technology makes the adversary more permeable, the distributed PEV charging coordination is vulnerable to cyber-attack which may degrade the performance of scheduling and even cause the failure of scheduler task. Considering the tradeoff between system-wide economic efficiency, distribution level limitations and PEV battery degration, this paper investigates the resilient distributed coordination of PEV charging to resist cyber-attack, where the steps of detection, isolation, updating and recovery are designed synthetically. Under the proposed scheduling scheme, the misbehaving PEVs suffering from cyber-attack are gradually marginalized and finally isolated, and the remaining well-behaving PEVs obtain their own optimal charging strategy to minimize the total system cost in distributed architecture. The simulation results verify the effectiveness of theoretical method.</t>
  </si>
  <si>
    <t>10.3390/electronics9050770</t>
  </si>
  <si>
    <t>Wang, ZH; Fan, SX; Liu, BZ; Liu, XW; Wei, ZC</t>
  </si>
  <si>
    <t>Wang, Zhi-hui; Fan, Shi-xiong; Liu, Bao-zhu; Liu, Xing-wei; Wei, Ze-chen</t>
  </si>
  <si>
    <t>A COORDINATED CHARGING STRATEGY OF PEVS FOR MAXIMIZING THE DISTRIBUTED ENERGY BASED ON TIME AND LOCATION</t>
  </si>
  <si>
    <t>the coordinated charging strategy; plug-in electric vehicles; peak-valley price difference; charging load distribution scheme</t>
  </si>
  <si>
    <t>The rapid expansion of distributed generations (DGs) in the distributed network creates a new challenge that it is hard to make use of DG output efficiently. This paper investigates the coordinated charging strategy of plug-in electric vehicles (PEVs) to optimize the distributed energy accommodation capacity. Based on the demand-side management (DSM), the time interval of peak-valley charging demand are found. In order to determining the suitable transferred charging load to the valley period, the optimal function of transferred charging load is established. Furthermore, the load allocation function is established which can guide users to charging at appropriate location. The method is applied to the IEEE 33-node distributed network to verify that transferring charging load to valley period and the load allocation scheme are both important to enhance the consumption of distributed energy.</t>
  </si>
  <si>
    <t>Liu, T; Ceder, A</t>
  </si>
  <si>
    <t>Liu, Tao; Ceder, Avishai (Avi)</t>
  </si>
  <si>
    <t>Battery-electric transit vehicle scheduling with optimal number of stationary chargers</t>
  </si>
  <si>
    <t>Public transit; Vehicle scheduling; Electric vehicle; Charging scheduling; Deficit function; Integer programming</t>
  </si>
  <si>
    <t>CHARGING INFRASTRUCTURE; FLEET SIZE; DEPLOYMENT; BUSES; OPTIMIZATION; SIMULATION; TRANSPORT; FRAMEWORK; NETWORK; SYSTEMS</t>
  </si>
  <si>
    <t>Because of zero emissions and other social and economic benefits, electric vehicles (EVs) are currently being introduced in more and more transit agencies around the world. One of the most challenging tasks involves efficiently scheduling a set of EVs considering the limited driving range and charging requirement constraints. This study examines the battery-electric transit vehicle scheduling problem (BET-VSP) with stationary battery chargers installed at transit terminal stations. Two equivalent versions of mathematical formulations of the problem are provided. The first formulation is based on the deficit function theory, and the second formulation is an equivalent bi-objective integer programming model. The first objective of the math-programming optimization is to minimize the total number of EVs required, while the second objective is to minimize the total number of battery chargers required. To solve this bi-objective BET-VSP, two solution methods are developed. First, a lexicographic method-based two-stage construction-and-optimization solution procedure is proposed. Second, an adjusted max-flow solution method is developed. Three numerical examples are used as an expository device to illustrate the solution methods, together with a real-life case study in Singapore. The results demonstrate that the proposed math-programming models and solution methods are effective and have the potential to be applied in solving large-scale real-world BET-VSPs.</t>
  </si>
  <si>
    <t>10.1016/j.trc.2020.02.009</t>
  </si>
  <si>
    <t>Welzel, F; Klinck, CF; Pohlmann, Y; Bednarczyk, M</t>
  </si>
  <si>
    <t>Welzel, Fynn; Klinck, Carl-Friedrich; Pohlmann, Yannick; Bednarczyk, Mats</t>
  </si>
  <si>
    <t>Grid and user-optimized planning of charging processes of an electric vehicle fleet using a quantitative optimization model</t>
  </si>
  <si>
    <t>Non-linear optimization; Dynamic charging management; Electric vehicle; Photovoltaic; Workplace charging; Real-time charging scheduling</t>
  </si>
  <si>
    <t>ENERGY; GENERATION; OPERATION; SYSTEM</t>
  </si>
  <si>
    <t>The promotion of electric mobility is considered a counterreaction to climate change and is therefore subsidized by various countries. The possibility of charging individual electric vehicles at employer?s premises enables the use of an electric vehicle for a large part of the population. In addition, solar radiation peaks during common working hours, resulting in economic and ecological advantages of locally installed photovoltaic systems at the workplace. As business-as-usual charging management is based on rudimentary rules, this power is not optimally used. Furthermore, high charging utilization may lead to high loads and thereby exceed the limitations of the respective building?s grid connection capacity. Hence, an optimization approach for improved charging management is required. A non-linear optimization model for coordinated charging of electric vehicles within a local energy system, which consists of a building, a photovoltaic system and a variety of different electric vehicles, is developed in this work. Respective charging profiles take the maximum charging power as a function of the state of charge into account. The objective is to minimize the costs of the charging station operator, incorporating customer satisfaction via penalty costs. The optimization model results in increased consumption of locally provided photovoltaic power and lower electricity costs in most cases. For companies with limited grid connection, the implementation also allows for more vehicles to be charged simultaneously without extending the grid connection capacity. The developed charging management is therefore suitable for real-time charging scheduling.</t>
  </si>
  <si>
    <t>10.1016/j.apenergy.2021.116717</t>
  </si>
  <si>
    <t>MAR 2021</t>
  </si>
  <si>
    <t>Fachrizal, R; Shepero, M; Aberg, M; Munkhammar, J</t>
  </si>
  <si>
    <t>Fachrizal, Reza; Shepero, Mahmoud; aberg, Magnus; Munkhammar, Joakim</t>
  </si>
  <si>
    <t>Optimal PV-EV sizing at solar powered workplace charging stations with smart charging schemes considering self-consumption and self-sufficiency balance</t>
  </si>
  <si>
    <t>Photovoltaic systems; Electric vehicle charging; Workplace charging station; Optimal sizing; Smart charging; PV self-consumption</t>
  </si>
  <si>
    <t>PHOTOVOLTAIC POWER; ENERGY; MANAGEMENT; BUILDINGS; SYSTEM; INTEGRATION; STORAGE; GENERATION; VEHICLES</t>
  </si>
  <si>
    <t>The integration of photovoltaic (PV) systems and electric vehicles (EVs) in the built environment, including at workplaces, has increased significantly in the recent decade and has posed new technical challenges for the power system, such as increased peak loads and component overloading. Several studies show that improved matching between PV generation and EV load through both optimal sizing and operation of PV-EV systems can minimize these challenges. This paper presents an optimal PV-EV sizing framework for workplace solar powered charging stations considering load matching performances. The proposed optimal sizing framework in this study uses a novel score, called self-consumption-sufficiency balance (SCSB), which conveys the balance between self-consumption (SC) and self-sufficiency (SS), based on a similar principle as the F1-score in machine learning. A high SCSB score implies that the system is close to being self-sufficient without exporting or curtailing a large share of local production. The results show that the SCSB performance tends to be higher with a larger combined PV-EV size. In addition to presenting PV-EV optimal sizing at the workplace charging station, this study also assesses a potential SC and SS enhancement with optimal operation through smart charging schemes. The results show that smart charging schemes can significantly improve the load matching performances by up to 42.6 and 40.8 percentage points for SC and SS, respectively. The smart charging scheme will also shift the combined optimal PV-EV sizes. Due to its simplicity and universality, the optimal sizing based on SCSB score proposed in this study can be a benchmark for future studies on optimal sizing of PV-EV system, or distributed generation-load in general.</t>
  </si>
  <si>
    <t>FEB 1</t>
  </si>
  <si>
    <t>10.1016/j.apenergy.2021.118139</t>
  </si>
  <si>
    <t>Yin, WJ; Qin, X; Huang, ZZ</t>
  </si>
  <si>
    <t>Yin, WanJun; Qin, Xuan; Huang, ZhiZhong</t>
  </si>
  <si>
    <t>Optimal dispatching of large-scale electric vehicles into grid based on improved second-order cone</t>
  </si>
  <si>
    <t>Electric vehicle; Second-order cone; Charging and discharging; Optimized scheduling</t>
  </si>
  <si>
    <t>OPTIMIZATION</t>
  </si>
  <si>
    <t>The disordered charging behavior of large-scale electric vehicles will have an immeasurable impact on the distribution grid. How to simultaneously solve the demand for charging and discharging of largescale electric vehicles and the safe operation of the distribution grid has been a research hotspot in recent years. In response to this problem, firstly, we mathematically model the problem; secondly, according to the nonlinear characteristics of the optimization model, in order to find the optimal solution accurately and quickly, using the improved second-order cone method to transform it, which solves the problem well:(1) ???Where??? problem, that is, to find the best nodes to charge and discharge electric vehicles in the distribution grid, (2) ???When??? problem, that is, when is the best time to charge and discharge electric vehicles, (3) ???How??? problem, that is, how many electric vehicles are connected to the distribution grid at the right location and the right time. Finally, using the Matlab-based Yalmip modeling tool to call the Cplex mathematical solver to verify the IEEE-33 nodes power distribution system, the results show that the proposed method not only solves the charging and discharging requirements of large-scale electric vehicles, but also ensures the stability of the power grid run. ?? 2022 Elsevier Ltd. All rights reserved.</t>
  </si>
  <si>
    <t>SEP 1</t>
  </si>
  <si>
    <t>B</t>
  </si>
  <si>
    <t>10.1016/j.energy.2022.124346</t>
  </si>
  <si>
    <t>Kasani, VS; Tiwari, D; Khalghani, MR; Solanki, SK; Solanki, J</t>
  </si>
  <si>
    <t>Kasani, Venkata Satish; Tiwari, Deepak; Khalghani, Mohammad Reza; Solanki, Sarika Khushalani; Solanki, Jignesh</t>
  </si>
  <si>
    <t>Optimal Coordinated Charging and Routing Scheme of Electric Vehicles in Distribution Grids: Real Grid Cases</t>
  </si>
  <si>
    <t>Electric vehicle coordinated charging; Vehicular behavior model; Demand response; Optimal routing method</t>
  </si>
  <si>
    <t>PLUG-IN HYBRID; VOLTAGE UNBALANCE; RENEWABLE ENERGY; PENETRATION; IMPACTS; SYSTEMS; LOSSES</t>
  </si>
  <si>
    <t>The government policies and benefits led to the surge in penetration of Plug-in Hybrid Electric Vehicles (PHEVs) and Battery Electric Vehicles (BEVs) into both public and private sectors. Power Grids are dynamic with load and generation varying, and wide spread adoption of PHEVs can jeopardize and endanger the operation and security of the distribution grids due to overloading and congestion. This paper develops two optimization models, one is for the routing algorithm of Battery Electric Vehicles (BEVs) to find the minimum energy consumption for Personal Rapid Transit (PRT) system in a collegiate environment. The other optimization model is for charging a maximum number of PHEVs interfaced with American Electric Power (AEP) utility system. Mixed Integer Linear Programming (MILP) is used to determine the charging schedules of PHEVs to minimize the power system overloading. MILP is also used to find the optimum charging schedule of BEVs to satisfy the passenger demand of the transit system. Different charging strategies have been developed, and their effects on distribution system voltage profile and losses have been illustrated. We used the real-time data for the PRT routing algorithm. PHEV customers are categorized into different real-world Demand Response (DR) participants capable of flattening the load curve. A time series simulation of a distribution feeder test system is performed to show the feasibility of the proposed methods. Case studies on AEP system and West Virginia University transportation system were carried out. The simulation results demonstrate the effectiveness of our proposed optimization framework in reducing system peak load and satisfying the demand while utilizing minimum number of BEVs.</t>
  </si>
  <si>
    <t>10.1016/j.scs.2021.103081</t>
  </si>
  <si>
    <t>Aravena, I; Chapin, SJ; Ponce, C</t>
  </si>
  <si>
    <t>Aravena, Ignacio; Chapin, Steve J.; Ponce, Colin</t>
  </si>
  <si>
    <t>Decentralized Failure-Tolerant Optimization of Electric Vehicle Charging</t>
  </si>
  <si>
    <t>Electric vehicle charging; Processor scheduling; Games; Real-time systems; Job shop scheduling; Optimization; Couplings; Electric vehicle charging; ADMM; decentralized algorithm; fail-proof algorithm</t>
  </si>
  <si>
    <t>ALGORITHM</t>
  </si>
  <si>
    <t>We present a decentralized failure-tolerant algorithm for optimizing electric vehicle (EV) charging, using charging stations as computing agents. The algorithm is based on the alternating direction method of multipliers (ADMM) and it has the following features: (i) It handles coupling constraints for capacity, peak demand, and ancillary services. (ii) It does not require a central agent collecting information and performing coordination (e.g., an aggregator), instead all agents exchange information and computations are carried out in a fully decentralized fashion. (iii) It can withstand the failure of any number of computing agents, as long as the remaining computing agents are in a connected communications network. We construct this algorithm by reformulating the optimal EV charging problem in a decomposable form, amenable to ADMM, and then developing efficient decentralized solution methods for the subproblems dealing with coupling constraints. We conduct numerical experiments on industry-scale synthetic EV charging datasets, with up to 1 152 charging stations, using a high-performance computing cluster. The experiments demonstrate that the proposed algorithm can solve the optimal EV charging problem fast enough to permit the integration of EV charging with real-time electricity markets, even in the presence of failures.</t>
  </si>
  <si>
    <t>10.1109/TSG.2021.3080583</t>
  </si>
  <si>
    <t>Qi, W; Xu, ZW; Shen, ZJM; Hu, ZC; Song, YH</t>
  </si>
  <si>
    <t>Qi, Wei; Xu, Zhiwei; Shen, Zuo-Jun Max; Hu, Zechun; Song, Yonghua</t>
  </si>
  <si>
    <t>Hierarchical Coordinated Control of Plug-in Electric Vehicles Charging in Multifamily Dwellings</t>
  </si>
  <si>
    <t>Charging coordination; distributed control; Lagrangian relaxation; plug-in electric vehicles (PEVs)</t>
  </si>
  <si>
    <t>SIDE</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</si>
  <si>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t>
  </si>
  <si>
    <t>10.1109/TSG.2014.2308217</t>
  </si>
  <si>
    <t>Tang, Q; Xie, MZ; Yang, K; Luo, YS; Zhou, DD; Song, Y</t>
  </si>
  <si>
    <t>Tang, Qiang; Xie, Mingzhong; Yang, Kun; Luo, Yuansheng; Zhou, Dongdai; Song, Yun</t>
  </si>
  <si>
    <t>A Decision Function Based Smart Charging and Discharging Strategy for Electric Vehicle in Smart Grid</t>
  </si>
  <si>
    <t>MOBILE NETWORKS &amp; APPLICATIONS</t>
  </si>
  <si>
    <t>Electric vehicle; Charging decision function; Discharging decision function; Charging demand balance; Smart grid</t>
  </si>
  <si>
    <t>PRICE</t>
  </si>
  <si>
    <t>As the number of Electric Vehicle (EV) increases, the uncontrolled EV charging behaviors may cause the grid load fluctuations and other passive effects. In order to balance the EV charging load in the smart grid, an Electric Vehicle Charging and Discharging Strategy (EVCDS) which is based on a Charging Decision Function (CDF) as well as a Discharging Decision Function (DDF) is proposed. In the CDF and DDF, there are three sub-functions related to the residual energy of battery, EV's charging habits, and the charging efficiency of charging station respectively. The residual energy of battery is used to calculate the excepted probability that satisfies the user's mileage requirement, which is an important factor. The charging habits are used to calculate the second sub-function value, which stands for the user's comfort. The charging efficiency and distance are combined together to calculate the third sub-function. All the sub-functions are weighted and combined into the CDF and DDF to decide whether to charge, discharge or do nothing. In the numerical results, we set up a scenario for the commercial vehicles and private vehicles. After compared with other strategies, EVCDS performs well in terms of reducing the charging demand fluctuations and improving the charging demand balance among charging stations.</t>
  </si>
  <si>
    <t>10.1007/s11036-018-1049-4</t>
  </si>
  <si>
    <t>Li, CT; Ahn, C; Peng, H; Sun, J</t>
  </si>
  <si>
    <t>Li, Chiao-Ting; Ahn, Changsun; Peng, Huei; Sun, Jing</t>
  </si>
  <si>
    <t>Synergistic Control of Plug-In Vehicle Charging and Wind Power Scheduling</t>
  </si>
  <si>
    <t>Charging of electric vehicles; electricity grid; grid integration; plug-in electric vehicles; smart grid; wind energy</t>
  </si>
  <si>
    <t>ECONOMIC-DISPATCH MODEL; RESOURCE-ALLOCATION; DEMAND</t>
  </si>
  <si>
    <t>Significant synergy exists between plug-in electric vehicles (PEVs) and wind energy: PEVs can be the demand response to mitigate the intermittent wind power outputs, and wind energy can provide low-carbon electricity to PEVs. This paper presents a hierarchical control algorithm to realize this synergy by integrating the PEV charging and wind power scheduling. The control algorithm consists of three levels: the top-level controller optimizes the scheduling for the conventional power plants and wind power; the middle-level controller plans PEV charging to achieve load following based on the battery state of charge and plug-off time of each vehicle; the bottom-level controller uses grid electricity frequency as the feedback cue to control PEV charging and serves as the ancillary service to the grid. Numerical simulations show that the integrated controller can improve the grid frequency regulation and overall electricity generation cost without sacrificing the PEVs charging completion.</t>
  </si>
  <si>
    <t>10.1109/TPWRS.2012.2211900</t>
  </si>
  <si>
    <t>Garcia-Alvarez, J; Gonzalez-Rodriguez, I; Vela, CR; Gonzalez, MA; Afsar, S</t>
  </si>
  <si>
    <t>Garcia-Alvarez, Jorge; Gonzalez-Rodriguez, Ines; Vela, Camino R.; Gonzalez, Miguel A.; Afsar, Sezin</t>
  </si>
  <si>
    <t>Genetic fuzzy schedules for charging electric vehicles</t>
  </si>
  <si>
    <t>COMPUTERS &amp; INDUSTRIAL ENGINEERING</t>
  </si>
  <si>
    <t>Electric vehicle; Charging station; Scheduling; Genetic algorithm; Fuzzy number; Heuristic</t>
  </si>
  <si>
    <t>PROCESSING TIMES; RANKING METHODS; HYBRID; OPTIMIZATION; CONSTRAINTS; ALGORITHM</t>
  </si>
  <si>
    <t>This work tackles the problem of scheduling the charging of electric vehicles in a real-world charging station subject to a set of physical constraints, with the goal of minimising the total tardiness with respect to a desired departure date given for each vehicle. We model a variant of the problem that incorporates uncertainty in the charging times using fuzzy numbers. As solving method, we propose a genetic algorithm with tailor-made operators, in particular, a new chromosome evaluation method based on generating schedules from a priority vector. Finally, an experimental study avails the proposed genetic algorithm both in terms of algorithm convergence and quality of the obtained solutions.</t>
  </si>
  <si>
    <t>10.1016/j.cie.2018.05.019</t>
  </si>
  <si>
    <t>Alvarez, JG; Gonzalez, MA; Vela, CR; Varela, R</t>
  </si>
  <si>
    <t>Garcia Alvarez, Jorge; Angel Gonzalez, Miguel; Rodriguez Vela, Camino; Varela, Ramiro</t>
  </si>
  <si>
    <t>Electric Vehicle Charging Scheduling by an Enhanced Artificial Bee Colony Algorithm</t>
  </si>
  <si>
    <t>electric vehicle charging; scheduling; artificial bee colony; local search; metaheuristics</t>
  </si>
  <si>
    <t>PLUG-IN HYBRID; OPTIMIZATION; SYSTEM; STRATEGY; DESIGN</t>
  </si>
  <si>
    <t>Scheduling the charging times of a large fleet of Electric Vehicles (EVs) may be a hard problem due to the physical structure and conditions of the charging station. In this paper, we tackle an EV's charging scheduling problem derived from a charging station designed to be installed in community parking where each EV has its own parking lot. The main goals are to satisfy the user demands and at the same time to make the best use of the available power. To solve the problem, we propose an artificial bee colony (ABC) algorithm enhanced with local search and some mating strategies borrowed from genetic algorithms. The proposal is analyzed experimentally by simulation and compared with other methods previously proposed for the same problem. The results of the experimental study provided interesting insights about the problem and showed that the proposed algorithm is quite competitive with previous methods.</t>
  </si>
  <si>
    <t>10.3390/en11102752</t>
  </si>
  <si>
    <t>Mukherjee, JC; Gupta, A</t>
  </si>
  <si>
    <t>Mukherjee, Joy Chandra; Gupta, Arobinda</t>
  </si>
  <si>
    <t>Distributed Charge Scheduling of Plug-In Electric Vehicles Using Inter-Aggregator Collaboration</t>
  </si>
  <si>
    <t>Plug-in electric vehicle; charging; inter-aggregator collaboration; distributed scheduling</t>
  </si>
  <si>
    <t>DEMAND RESPONSE; COORDINATION; ALGORITHM</t>
  </si>
  <si>
    <t>Plug-in electric vehicles (PEVs) are emerging as an eco-friendly and cost-effective alternative to conventional vehicles driven by internal combustion engines. However, uncoordinated charging of a large number of PEVs may cause grid failure. Therefore, charge scheduling of PEVs is an important problem. However, the charge scheduling by a single aggregator does not scale well as the PEV population grows. We propose a distributed framework for efficient PEV charging with multiple aggregators in a city where a PEV raises its charging request to a specific aggregator, and each aggregator has partial information about others. The aggregators collaborate among themselves for scheduling PEVs for charging in different charging stations owned by it or others. In this paper, we formulate a bi-objective charge scheduling optimization problem that attempts to maximize the total profit of the aggregators while maximizing the total number of PEVs charged. We first prove that the problem is NP-complete. We then propose distributed offline and online algorithms to solve the problem, and present simulation results for some realistic traffic scenarios.</t>
  </si>
  <si>
    <t>10.1109/TSG.2016.2515849</t>
  </si>
  <si>
    <t>Zhang, ZL; Wan, YN; Qin, JH; Fu, WM; Kang, Y</t>
  </si>
  <si>
    <t>Zhang, Zilin; Wan, Yanni; Qin, Jiahu; Fu, Weiming; Kang, Yu</t>
  </si>
  <si>
    <t>A Deep RL-Based Algorithm for Coordinated Charging of Electric Vehicles</t>
  </si>
  <si>
    <t>Transformers; Electric vehicle charging; Costs; Batteries; Power grids; Load modeling; Scalability; Electric vehicle (EV); multi-agent system (MAS); deep reinforcement learning (DRL); coordinated charging scheduling; multi-objective; price prediction</t>
  </si>
  <si>
    <t>REINFORCEMENT; STRATEGY</t>
  </si>
  <si>
    <t>The development of electric vehicle (EV) industry is facing a series of issues, among which the efficient charging of multiple EVs needs solving desperately. This paper investigates the coordinated charging of multiple EVs with the aim of reducing the charging cost, ensuring a high battery state of charge (SoC), and avoiding the transformer overload. To this end, we first formulate the EV coordinated charging problem with the above multiple objectives as a Markov Decision Process (MDP) and then propose a multi-agent deep reinforcement learning (DRL)-based algorithm. In the proposed algorithm, a novel interaction model, i.e., communication neural network (CommNet) model, is adopted to realize the distributed computation of global information (namely the electricity price, the transformer load, and the total charging cost of multiple EVs). Moreover, different from the most existing works which make specific constraints on the size, the location, or the topology of the distribution network, what we need in the proposed method is only the transformer load. Besides, due to the use of long and short-term memory (LSTM) for price prediction, the proposed algorithm can flexibly deal with various uncertain price mechanisms. Finally, simulations are presented to verify the effectiveness and practicability of the proposed algorithm in a residential charging area.</t>
  </si>
  <si>
    <t>10.1109/TITS.2022.3170000</t>
  </si>
  <si>
    <t>MAY 2022</t>
  </si>
  <si>
    <t>Schuller, A; Flath, CM; Gottwalt, S</t>
  </si>
  <si>
    <t>Schuller, Alexander; Flath, Christoph M.; Gottwalt, Sebastian</t>
  </si>
  <si>
    <t>Quantifying load flexibility of electric vehicles for renewable energy integration</t>
  </si>
  <si>
    <t>Renewable energy; Electric vehicles; Load flexibility; Charging coordination; Mixed-integer optimization</t>
  </si>
  <si>
    <t>Electric vehicles (EVs) are a new load type with considerable temporal flexibility. This work evaluates to what extent EV fleets (based on empirical driving profiles from two distinct sociodemographic groups) can cover their charging requirements by means of variable renewable generation (wind or solar-PV). For this purpose we formulate a mixed-integer optimization problem minimizing the amount of conventional generation employed. The results indicate that the usage of variable renewable generation can be more than doubled as compared to uncoordinated charging. Furthermore, we analyze how the utilization of renewable generation by EV fleets is affected through different portfolios of renewable generation sources, charging infrastructure specifications as well as a reduced optimization horizon. (C) 2015 Elsevier Ltd. All rights reserved.</t>
  </si>
  <si>
    <t>AUG 1</t>
  </si>
  <si>
    <t>10.1016/j.apenergy.2015.04.004</t>
  </si>
  <si>
    <t>Gong, D; Tang, M; Liu, S; Xue, G; Wang, L</t>
  </si>
  <si>
    <t>Gong, D.; Tang, M.; Liu, S.; Xue, G.; Wang, L.</t>
  </si>
  <si>
    <t>Achieving sustainable transport through resource scheduling: A case study for electric vehicle charging stations</t>
  </si>
  <si>
    <t>ADVANCES IN PRODUCTION ENGINEERING &amp; MANAGEMENT</t>
  </si>
  <si>
    <t>Sustainable transport; Resource scheduling; Electric vehicle; Charging station; Simulation; Profit</t>
  </si>
  <si>
    <t>PARTICLE SWARM OPTIMIZATION; SITE SELECTION; SIMULATION; LOCATION; MODEL; ALGORITHM</t>
  </si>
  <si>
    <t>Electric vehicles support low-carbon emissions to revitalize sustainable transportation, and more charging stations are being built to meet the daily charging demand. Charging piles and service workers are the most important resources for electric vehicle charging stations, and the scheduling of these resources is an important factor affecting the charging stations' profits and sustainable industrial development. In this paper, we simulate the charging piles and service workers in charging station resource scheduling and analyze the impacts of the number of service workers, the charging pile replacement policy and the charging pile maintenance times on an electric vehicle charging station's profits. An orthogonal test can achieve the following optimal resource scheduling results when their range is known: (1) In the lifetime of the charging pile, seven maintenance times are needed; (2) Even if the charging pile is still in normal condition, it needs to be replaced in order to achieve the maximum profits for the charging station; (3) a comprehensive analysis of service efficiency and service costs indicates that 8 service workers are needed to achieve the optimal profits for the charging station. Therefore, the scientific contribution of this research is to establish one resource scheduling simulation model that can assess the effects of the number of service workers, the charging pile replacement policy and the charging pile maintenance times on charging station revenues and to obtain the optimal results. In addition, if the model parameters change, we can still obtain the optimal results. (C) 2019 CPE, University of Maribor. All rights reserved.</t>
  </si>
  <si>
    <t>10.14743/apem2019.1.312</t>
  </si>
  <si>
    <t>Wang, ZZ; Li, XY; Yu, PP; Cao, N; Higgs, R</t>
  </si>
  <si>
    <t>Wang, Zhenzhou; Li, Xinyuan; Yu, Pingping; Cao, Ning; Higgs, Russell</t>
  </si>
  <si>
    <t>Research on electric vehicle charging scheduling algorithms based on a 'fractional knapsack'</t>
  </si>
  <si>
    <t>INTERNATIONAL JOURNAL OF EMBEDDED SYSTEMS</t>
  </si>
  <si>
    <t>fractional knapsack; electric vehicle; charging scheduling; peak-valley load difference</t>
  </si>
  <si>
    <t>STRATEGY</t>
  </si>
  <si>
    <t>The large-scale disorderly charging of electric vehicles creates challenges for the security of power systems, especially power distribution systems. To avoid peak power consumption during the day and improve the utilisation rate of the power grid at night, a charging scheduling algorithm for electric vehicles based on a 'fractional knapsack' is proposed. Considering the constraints of the user's charging demand and charging system capacity, a charging model based on a fractional knapsack is established to optimise the peak-valley load difference and reduce load fluctuation and charging cost, which is the objective function. To verify the effectiveness of the proposed algorithm, the Monte Carlo method is used to simulate the charging demand of electric vehicles, and the disorderly charging and orderly charging scheduling are simulated and compared under a time-sharing tariff mode. The results show that the proposed scheduling algorithm improves the peak-valley difference of the power grid, reduces fluctuation in the power grid load, and improves the utilisation rate of the power grid.</t>
  </si>
  <si>
    <t>10.1504/IJES.2021.111972</t>
  </si>
  <si>
    <t>Li, QW; Soleimaniamiri, S; Li, XP</t>
  </si>
  <si>
    <t>Li, Qianwen; Soleimaniamiri, Saeid; Li, Xiaopeng</t>
  </si>
  <si>
    <t>Optimal mass evacuation planning for electric vehicles before natural disasters</t>
  </si>
  <si>
    <t>Emergency evacuation; Vehicle routing; Vehicle scheduling; Electric vehicle; Charging station</t>
  </si>
  <si>
    <t>SIMULATION-MODEL; SYSTEM</t>
  </si>
  <si>
    <t>The electric vehicle (EV) market has significantly expanded because EVs have lower operational costs while leaving less environmental footprint than internal combustion engine vehicles. However, EVs also come with drawbacks, including long charging time and short operational ranges. With these drawbacks and limited charging facilities, efficient long-distance EV evacuation management is challenging and has not been properly addressed. Without an efficient evacuation plan, serious congestion could happen at charging facilities, the evacuation process would be excessively long, and thus human lives may be put at risk. This study is motivated to investigate the optimal mass evacuation planning for EVs considering limited charging facilities. A three-stage method is proposed to efficiently approach this problem. A case study of Florida hurricane evacuation is conducted. The method's effectiveness is verified by comparing it with a benchmark. Management insights and policy indications are drawn through sensitivity analysis of key parameters.</t>
  </si>
  <si>
    <t>10.1016/j.trd.2022.103292</t>
  </si>
  <si>
    <t>Esmaili, M; Goldoust, A</t>
  </si>
  <si>
    <t>Esmaili, Masoud; Goldoust, Ali</t>
  </si>
  <si>
    <t>Multi-objective optimal charging of plug-in electric vehicles in unbalanced distribution networks</t>
  </si>
  <si>
    <t>Optimal coordinated charging; Single-phase plug-in electric vehicle; Energy losses; Smart grid; Unbalanced three-phase power system</t>
  </si>
  <si>
    <t>GENERATION UNITS; POWER LOSSES; SMART GRIDS; MANAGEMENT</t>
  </si>
  <si>
    <t>Plug-in electric vehicles (PEVs) as new generations of transportation systems have recently become a promising solution to mitigate emissions of greenhouse gases produced by petroleum-based vehicles. Existing power systems may face serious reliability and power quality problems in supplying emerging PEV charging loads unless the charging task is coordinated. In addition, in real world applications, most PEVs are single-phase loads supposed to be charged from residential or commercial outlets. In this paper, a multi-objective optimization framework is proposed to optimally coordinate the charging of single-phase PEVs with dynamic behavior in unbalanced three-phase distribution systems employing smart grid facilities. Objective functions include total cost of purchasing energy in a multi-tariff pricing environment as well as grid total energy losses over charging span. The objective functions are optimized subject to network security, power quality, and PEV constraints. Fuzzy memberships are used to transform differently-scaled objective functions into a same range in order to ensure the Pareto optimality of the multi-objective solution. The proposed method is tested on an unbalanced three-phase distribution system and obtained results, which are discussed in detail, confirm its efficiency in getting a solution satisfying both objective functions as well as in the speed. (C) 2015 Elsevier Ltd. All rights reserved.</t>
  </si>
  <si>
    <t>10.1016/j.ijepes.2015.06.001</t>
  </si>
  <si>
    <t>Staudt, P; Schmidt, M; Garttner, J; Weinhardt, C</t>
  </si>
  <si>
    <t>Staudt, Philipp; Schmidt, Marc; Gaerttner, Johannes; Weinhardt, Christof</t>
  </si>
  <si>
    <t>A decentralized approach towards resolving transmission grid congestion in Germany using vehicle-to-grid technology</t>
  </si>
  <si>
    <t>Electric vehicles; Demand flexibility; Power transmission system; Local markets; Charging coordination</t>
  </si>
  <si>
    <t>RENEWABLE ENERGY INTEGRATION; BATTERY ELECTRIC VEHICLES; DEMAND RESPONSE; POWER-SYSTEMS; IMPACTS; MARKET; MODEL; BENEFITS; CHALLENGES; MANAGEMENT</t>
  </si>
  <si>
    <t>The increasing penetration of renewable generation in electricity markets as well as the rising number of electric vehicles pose new challenges for transmission grids. Additional demand and regionally clustered generation force system operators to consider costly expansion plans and employ expensive redispatch measures in the meantime. In this paper, we assess the ability of the expanded German transmission grid to cope with the additional demand of uncoordinated electric vehicle charging using a transportation problem formulation. We then propose local flexibility markets for electric vehicle owners to relieve the grid of congestion and to provide a heuristic that finds feasible solutions. We test our models on empirical data from the German electricity system of 2016. We find that the currently proposed expansion of the German electricity grid will not suffice to cope with increased electricity demand from uncoordinated electric vehicle charging. However, with coordination, electric vehicles can support transmission grid balancing and local flexibility markets can provide reasonable remuneration for electric vehicle owners.</t>
  </si>
  <si>
    <t>10.1016/j.apenergy.2018.09.045</t>
  </si>
  <si>
    <t>Zhang, XY; Ma, G; Lyu, J; Wu, XH; Zheng, M</t>
  </si>
  <si>
    <t>Zhang, Xinyuan; Ma, Gang; Lyu, Jie; Wu, Xuehong; Zheng, Mei</t>
  </si>
  <si>
    <t>Research on Household Charging Optimization of Electric Vehicles Based on Smart Load</t>
  </si>
  <si>
    <t>RECENT ADVANCES IN ELECTRICAL &amp; ELECTRONIC ENGINEERING</t>
  </si>
  <si>
    <t>Electric vehicle charging; electric spring; smart load; particle swarm optimization</t>
  </si>
  <si>
    <t>STEADY-STATE ANALYSIS; SPRINGS</t>
  </si>
  <si>
    <t>Background: With the tremendous changes in the world's fuel structure, the Electric Vehicle (EV) has become a powerful means of mitigating energy and environmental issues. Objective: However, when an electric vehicle is connected to home, it will cause load fluctuation, which threatens the safe and smooth operation of the user's electricity. Method: Therefore, in order to solve the problem of power instability when the electric vehicle is connected to home, this paper proposes an optimization strategy for household charging based on Smart Load (SL). Results: After the daily load fluctuation model of electric vehicle family charging is constructed, the Particle Swarm Optimization (PSO) algorithm is combined to establish the electric vehicle family charging optimization model. Conclusion: The analysis of the example shows that the proposed method can stabilize the household power, which can effectively solve the adverse effects caused by excessive fluctuation of daily load in the family</t>
  </si>
  <si>
    <t>10.2174/2352096513666200309105139</t>
  </si>
  <si>
    <t>Rigas, ES; Karapostolakis, S; Bassiliades, N; Ramchurn, SD</t>
  </si>
  <si>
    <t>Rigas, Emmanouil S.; Karapostolakis, Sotiris; Bassiliades, Nick; Ramchurn, Sarvapali D.</t>
  </si>
  <si>
    <t>EVLibSim: A tool for the simulation of electric vehicles' charging stations using the EVLib library</t>
  </si>
  <si>
    <t>Electric vehicle; Java library; Simulation; Charging; Dis-charging; Battery swap; Parking; Smart grid</t>
  </si>
  <si>
    <t>MATSIM</t>
  </si>
  <si>
    <t>Electric Vehicles (EVs) are considered an efficient alternative to internal combustion engined ones, aiming to reduce global CO2 emissions. In the last years, EVs are entering the market in an increasing pace. In contrast to conventional cars, EVs have a more complicated recharging procedure. Thus, the development of tools for the efficient simulation of the charging of large numbers of EVs is critical. In this vein, EVLibSim is a tool for the simulation of EV activities at a charging station level. EVLibSim unifies EVLib's primary functions such as the charging and discharging of batteries, battery swapping, as well as parking/inductive charging. EVLib is a Java library that provides a simple, yet efficient framework for the management of a number of Electric Vehicle (EV) activities, at a charging station level, within a Smart Grid. EVLibSim provides a great variety of configuration options such as the types and number of chargers, the available energy, the waiting queues, etc. Furthermore, through plots and overview dashboards each user can supervise the operation of the tool in real time. Both EVLib's and EVLibSim's efficiency and scalability have been tested in realistic scenarios, while the correctness and safety of the code have been verified using state of the art tools. Finally, the user experience of the EVLibSim has been evaluated and improved through a detailed user evaluation.</t>
  </si>
  <si>
    <t>10.1016/j.simpat.2018.06.007</t>
  </si>
  <si>
    <t>Jin, Y; Xu, J; Wu, SX; Xu, LJ; Yang, DJ</t>
  </si>
  <si>
    <t>Jin, Yong; Xu, Jia; Wu, Sixu; Xu, Lijie; Yang, Dejun</t>
  </si>
  <si>
    <t>Enabling the Wireless Charging via Bus Network: Route Scheduling for Electric Vehicles</t>
  </si>
  <si>
    <t>Inductive charging; Scheduling; Charging stations; Routing; Roads; Electric vehicle charging; Intelligent transportation system; wireless charging; electric vehicle; bus network; restricted shortest path; maximum weighted matching</t>
  </si>
  <si>
    <t>MOBILITY; SYSTEMS</t>
  </si>
  <si>
    <t>The development of Electric Vehicle (EV) helps to ease energy crises and deduce vehicle exhaust emissions. However, it also brings a great impact on both transportation networks and power grids. There are some serious impediments in terms of energy charging to the popularization of EV, such as high deployment cost of charging stations, low charging efficiency, and voltage deviation of power grid. To address these issues, we design a new EV charging system, which levers the bus network in urban areas through the integration of OnLine Electric Vehicle (OLEV) system and Microwave Power Transfer (MPT) system. We formulate the EV route scheduling problem based on this new charging system to maximize the total residual energy subject to all EVs can arrive to their destinations before deadlines. Then, we propose an approximation algorithm, RSA, to solve the route scheduling problem. To relieve the traffic congestion, we further formulate the conflict-free EV route scheduling problem, and use the matching based algorithm, FRSA, to find the EV route schedules with the maximal residual energy. Through the extensive simulations, we demonstrate that RSA and FRSA can increase the average residual energy by 67.66% and 50.36% compared with the solution without the designed wireless charging system, respectively. Moreover, RSA reduces 22.22% of travel time and outputs 77.23% of residual energy, and FRSA can obtain 83.51% residual energy with 3.62% of extra travel time of the corresponding optimal solutions on average, respectively.</t>
  </si>
  <si>
    <t>10.1109/TITS.2020.3023695</t>
  </si>
  <si>
    <t>Munoz, ER; Jabbari, F</t>
  </si>
  <si>
    <t>Munoz, Edgar Ramos; Jabbari, Faryar</t>
  </si>
  <si>
    <t>A decentralized, non-iterative smart protocol for workplace charging of battery electric vehicles</t>
  </si>
  <si>
    <t>Battery electric vehicle; Plug-in electric vehicle; Smart charging; Utility cost; Demand charge; Octopus charger</t>
  </si>
  <si>
    <t>OPTIMIZATION; ENERGY; POLICY; COSTS</t>
  </si>
  <si>
    <t>Battery electric vehicles can help reduce fossil fuel consumption and greenhouse gas emissions. Specifically, workplace charging can alleviate the curtailment of renewable resources, while providing charging opportunities to long-range commuters. In this work, a comprehensive smart-charging protocol for workplace charging is proposed. The protocol first uses an ordering strategy, based on each vehicle's load shifting flexibility, to develop a queue. Next, a decentralized smart-charging strategy is used that allows battery electric vehicles to generate their own charging profile via linear programming. By using an appropriate cost signal, the proposed smart-charging strategy can generate a parking structure demand load with desirable characteristics. Finally, an assignment algorithm is proposed to assign battery electric vehicles to octopus chargers. Driving patterns from the National Household Travel Survey are used to simulate workplace charging for parking structures under various charging scenarios. The proposed ordering strategy resulted in improved peak reductions for all simulated charging scenarios, when compared with chronological ordering. Furthermore, monthly electricity costs and the number of required chargers were both reduced in all cases where smart charging was combined with the proposed ordering strategy, compared to uncontrolled charging. Thus, the proposed protocol can reduce electricity and charging infrastructure costs associated with workplace charging.</t>
  </si>
  <si>
    <t>10.1016/j.apenergy.2020.115187</t>
  </si>
  <si>
    <t>Kong, Q; Fowler, M; Entchev, E; Ribberink, H; McCallum, R</t>
  </si>
  <si>
    <t>Kong, Qing; Fowler, Michael; Entchev, Evgueniy; Ribberink, Hajo; McCallum, Robert</t>
  </si>
  <si>
    <t>The Role of Charging Infrastructure in Electric Vehicle Implementation within Smart Grids</t>
  </si>
  <si>
    <t>electric vehicle; smart grid; vehicle-to-grid; controlled charging; optimization</t>
  </si>
  <si>
    <t>RENEWABLE ENERGY-SOURCES; DEMAND RESPONSE; STORAGE; CAPACITY; IMPACTS; NETWORK; WIND; OPTIMIZATION; INTEGRATION; GENERATION</t>
  </si>
  <si>
    <t>In the integration of electric vehicle (EV) fleets into the smart grid context, charging infrastructure serves as the interlinkage between EV fleets and the power grid and, as such, affects the impacts of EV operation on the smart grid. In this study, the impacts of charging infrastructure on the effectiveness of different EV operational modes were simulated using a multi-component modelling approach, which accounts for both stochastic EV fleet charging behaviors as well as optimal energy vector dispatch operation. Moreover, a campus microgrid case study was presented to demonstrate the various design factors and impacts of charging infrastructure implementation affecting EV fleet adoption and operation. Based on results from the study, it was shown that charging infrastructure should be adopted in excess of the minimum required to satisfy EV charging for driving needs. In addressing uncontrolled charging behaviors, additional charging infrastructure improves EV owner convenience and reduces queuing duration. Meanwhile, controlled charging strategies benefit from increased resilience against uncertain charging behavior and operate more optimally in systems subject to time-of-use (TOU) electricity pricing. Lastly, it was demonstrated that successful vehicle-to-grid (V2G) implementation requires charging infrastructure to emulate the availability and fast response characteristics of stationary energy storage systems, which translates to excess charging port availability, long EV plug-in durations, and bi-directional power flow capabilities well beyond the level 2 charging standard.</t>
  </si>
  <si>
    <t>10.3390/en11123362</t>
  </si>
  <si>
    <t>Chen, J; Li, FY; Yang, RR; Ma, DW</t>
  </si>
  <si>
    <t>Chen, Jian; Li, Fangyi; Yang, Ranran; Ma, Dawei</t>
  </si>
  <si>
    <t>Impacts of Increasing Private Charging Piles on Electric Vehicles' Charging Profiles: A Case Study in Hefei City, China</t>
  </si>
  <si>
    <t>electric vehicles; load profile; private charging piles; scenario analysis; smart charging; peak-load shifting</t>
  </si>
  <si>
    <t>OPTIMAL ENERGY MANAGEMENT; MARKOV-CHAIN; MODEL; DEMAND; SYSTEM; LOAD; TIME</t>
  </si>
  <si>
    <t>Electric vehicles (EVs) and charging piles have been growing rapidly in China in the last five years. Private charging piles are widely adopted in major cities and have partly changed the charging behaviors of EV users. Based on the charging data of EVs in Hefei, China, this study aims to assess the impacts of increasing private charging piles and smart charging application on EVs' charging load profiles. The charging load profiles of three types of charging piles which are public, employee-shared, and private ones, are simulated in three different scenarios. The results of scenario simulation indicate that the increase in EVs will reinforce the peak value of the total power load, while increasing private charging piles and the participation rate of smart charging piles will have peak-load shifting effects on the power load on weekdays. Specifically, 12% of the charging load will be shifted from public piles to private ones if the ratio of EVs and private piles increases from 5:3 to 5:4. The adoption of smart charging in private piles will transfer 18% of the charging load from the daytime to the night to achieve peak-load shifting. In summary, promoting the adoption of private piles and smart charging technology will reshape the charging load profile of the city, but the change will possibly reduce the utilization rate of public charging piles. The results suggest that urban governments should consider the growth potential of private piles and promote smart charging in charging infrastructure planning.</t>
  </si>
  <si>
    <t>10.3390/en13174387</t>
  </si>
  <si>
    <t>Kahlen, MT; Ketter, W; van Dalen, J</t>
  </si>
  <si>
    <t>Kahlen, Micha T.; Ketter, Wolfgang; van Dalen, Jan</t>
  </si>
  <si>
    <t>Electric Vehicle Virtual Power Plant Dilemma: Grid Balancing Versus Customer Mobility</t>
  </si>
  <si>
    <t>PRODUCTION AND OPERATIONS MANAGEMENT</t>
  </si>
  <si>
    <t>electric vehicles; energy informatics; smart electricity markets; sustainability; virtual power plant; smart charging</t>
  </si>
  <si>
    <t>ASYMMETRIC LOSS; MANAGEMENT; MARKETS; RATIONALITY; AUCTIONS; BEHAVIOR</t>
  </si>
  <si>
    <t>Virtual power plants (VPP) play a crucial role in balancing the electricity smart grid. VPPs aggregate energy from decentralized sources, for example, biogas, solar panels, or hydropower, to generate and consume electricity on demand. We study the management of electric vehicle (EV) fleets organized in VPPs as a way to address the challenges posed by the inflexible energy supply of renewable sources. In particular, we analyze the potential of parked EVs to absorb electricity from the grid, and provide electricity back to the grid when needed. A fleet owner can either charge, discharge for renting, discharge to the grid, or keep an EV idle. A unique property of our mixed rental-trading strategy is that decisions are made between making an EV available for rental, where the location within the city matters (drivers want a car to be close to their place of departure or arrival) and for discharging it to the grid, where location does not matter (vehicles can discharge to the grid from any capable charging point). We study the feasibility of VPPs for a fleet of 1500 real EVs on the Nord Pool Spot, a North European electricity spot market. A Fourier series approach captures the demand patterns of carsharing vehicles accurately, especially when our weighted objective function with asymmetric payoffs is applied. We show that the VPP can be profitable to fleet owners, ecologically advantageous through reductions in wind power curtailment, and beneficial to consumers by reducing energy expenses.</t>
  </si>
  <si>
    <t>10.1111/poms.12876</t>
  </si>
  <si>
    <t>Farahani, HF</t>
  </si>
  <si>
    <t>Farahani, Hassan Feshki</t>
  </si>
  <si>
    <t>Improving voltage unbalance of low-voltage distribution networks using plug-in electric vehicles</t>
  </si>
  <si>
    <t>Voltage unbalance factor; Plug-in electric vehicles; Coordinated/uncoordinated charging; Unbalance load flow</t>
  </si>
  <si>
    <t>DISTRIBUTION-SYSTEMS; CONTROL STRATEGY; PARTICLE SWARM; OPTIMIZATION</t>
  </si>
  <si>
    <t>Plug-in electric vehicles are one of the clean technologies that have many advantages to overcome the problems of power systems for instance voltage unbalance in distribution networks. Considering coordinated or uncoordinated charging method, voltage unbalance factor can be improved or worsened. In real applications, most PEVs are connected to residential or commercial networks in the form of single-phase and they can be charged or discharged that leads to voltage unbalance. In this paper, the effect of PEVs on network voltage unbalance is investigated in the form of optimization problem. VUF is minimized as an objective function in different conditions, subject to network security and PEVs constraints, using PSO algorithm. VUF is minimized by optimally selecting the state of PEVs (charging or discharging), PEV point of connection (phase a, b or c) and charging/discharging rating power. Also, the impact of Uncoordinated and coordinated charging of PEVs on VUF is evaluated. Besides, the effectiveness of the proposed framework is studied based on an unbalanced three-phase distribution network. Finally, the obtained results show that coordinated charging/discharging of PEVs can significantly improve VUF value. (C) 2017 Published by Elsevier Ltd.</t>
  </si>
  <si>
    <t>10.1016/j.jclepro.2017.01.178</t>
  </si>
  <si>
    <t>Ghotge, R; Snow, Y; Farahani, S; Lukszo, Z; van Wijk, A</t>
  </si>
  <si>
    <t>Ghotge, Rishabh; Snow, Yitzhak; Farahani, Samira; Lukszo, Zofia; van Wijk, Ad</t>
  </si>
  <si>
    <t>Optimized Scheduling of EV Charging in Solar Parking Lots for Local Peak Reduction under EV Demand Uncertainty</t>
  </si>
  <si>
    <t>electric vehicle; demand forecasting; peak shaving; smart charging; robust optimization</t>
  </si>
  <si>
    <t>ELECTRIC VEHICLES; IMPACTS</t>
  </si>
  <si>
    <t>Scheduled charging offers the potential for electric vehicles (EVs) to use renewable energy more efficiently, lowering costs and improving the stability of the electricity grid. Many studies related to EV charge scheduling found in the literature assume perfect or highly accurate knowledge of energy demand for EVs expected to arrive after the scheduling is performed. However, in practice, there is always a degree of uncertainty related to future EV charging demands. In this work, a Model Predictive Control (MPC) based smart charging strategy is developed, which takes this uncertainty into account, both in terms of the timing of the EV arrival as well as the magnitude of energy demand. The objective of the strategy is to reduce the peak electricity demand at an EV parking lot with PVarrays. The developed strategy is compared with both conventional EV charging as well as smart charging with an assumption of perfect knowledge of uncertain future events. The comparison reveals that the inclusion of a 24 h forecast of EV demand has a considerable effect on the improvement of the performance of the system. Further, strategies that are able to robustly consider uncertainty across many possible forecasts can reduce the peak electricity demand by as much as 39% at an office parking space. The reduction of peak electricity demand can lead to increased flexibility for system design, planning for EV charging facilities, deferral or avoidance of the upgrade of grid capacity as well as its better utilization.</t>
  </si>
  <si>
    <t>10.3390/en13051275</t>
  </si>
  <si>
    <t>Tanguy, K; Dubois, MR; Lopez, KL; Gagne, C</t>
  </si>
  <si>
    <t>Tanguy, Kevin; Dubois, Maxime R.; Lopez, Karol Lina; Gagne, Christian</t>
  </si>
  <si>
    <t>Optimization model and economic assessment of collaborative charging using Vehicle-to-Building</t>
  </si>
  <si>
    <t>Cooperative charging; Smart charging; Vehicles-to-Building; Vehicles-to-Grid; Electric vehicles; Linear programming</t>
  </si>
  <si>
    <t>IN ELECTRIC VEHICLES; MANAGEMENT; PROFILE; LOAD</t>
  </si>
  <si>
    <t>Electric vehicles and plug-in hybrids are gaining popularity on the personal transportation market. These vehicles store energy that is unused when parked. This distributed energy source can therefore be used to provide ancillary services such as grid regulation or spinning reserves, but also for demand-side management. In this paper, we are proposing the concept of collaborative charging in the context of Vehicle-to-Building, where the vehicle and building operators engage themselves into a synergistic relation, with vehicles freely charged in exchange for shaving power peaks of buildings. For that purpose, simulations of vehicle fleets are conducted, with the charging schedule optimized by a linear programming model that is applied to manage the electric demand of a suburban university campus. These simulations, made in the context of a regulated electric market, demonstrate that collaborative charging can be financially viable for both the institution hosting the system and the participants. (C) 2016 Elsevier Ltd. All rights reserved.</t>
  </si>
  <si>
    <t>10.1016/j.scs.2016.03.012</t>
  </si>
  <si>
    <t>Fu, ZT; Dong, PW; Ju, YB</t>
  </si>
  <si>
    <t>Fu, Zhengtang; Dong, Peiwu; Ju, Yanbing</t>
  </si>
  <si>
    <t>An intelligent electric vehicle charging system for new energy companies based on consortium blockchain</t>
  </si>
  <si>
    <t>Electric vehicle; Charging system; Company cooperation; Consortium blockchain; Smart contracts</t>
  </si>
  <si>
    <t>PROFIT ALLOCATION; ENVIRONMENTAL IMPACTS; NEIGHBORHOOD SEARCH; COST ALLOCATION; SMART CONTRACT; STATIONS; INFRASTRUCTURE; COOPERATION; SCHEME; TRANSPORTATION</t>
  </si>
  <si>
    <t>With the concerns of environment protection, electric vehicle (EV) is regarded as a promising transportation tool for green cities project. Since the amount of EV is rising shapely, the EV charging demands is also rapidly generated. However, seeking suitable charging facilities is not easy for EV users, new energy companies run charging station separately for self-interests, and charging pile information is not transparent for drivers. This dilemma is not solved until the merging of blockchain technology. In this paper, a novel EV charging system is proposed for the cooperation of new energy companies and providing convenient charging services for users. In this system, charging information is managed and recorded by the company alliance based on consortium blockchain, which is tamper-resistant and multi-centralized. Meanwhile, a new smart contract is designed to balance the allocation of company' charging users, so that the profits of different new energy companies could be fairer. To equilibrate the interest of companies and EV users, a Bio-Objective Mixed-Integer Programming model (BOMILP) is proposed as the mathematical logic of smart contracts. Furthermore, we proposed a new algorithm named Limited Neighborhood Search with Memory (LNSM) to support the implementation of smart contracts, which could make the smart contract running faster and has a better performance. At last, the proposed EV charging system and the smart contract are validated through a real case study with the EV charging data in Beijing, China. (C) 2020 Elsevier Ltd. All rights reserved.</t>
  </si>
  <si>
    <t>JUL 10</t>
  </si>
  <si>
    <t>10.1016/j.jclepro.2020.121219</t>
  </si>
  <si>
    <t>Yang, SN; Wang, HW; Gan, CH; Lin, YB</t>
  </si>
  <si>
    <t>Yang, Shun-Neng; Wang, Hsiao-Wei; Gan, Chai-Hien; Lin, Yi-Bing</t>
  </si>
  <si>
    <t>Mobile charging information management for smart grid networks</t>
  </si>
  <si>
    <t>INTERNATIONAL JOURNAL OF INFORMATION MANAGEMENT</t>
  </si>
  <si>
    <t>Smart grid network; Mobile charging station; Electric vehicle; Mobile charging information management system</t>
  </si>
  <si>
    <t>With today's electric charging technology, charging time of an electric vehicle (EV) is much longer than that for a gasoline vehicle, and therefore the queueing effect at an EV charging station (CS) may be serious. That is, when an EV arrives at an overloaded CS, it is likely that the EV will wait for a long time before it is charged. This paper investigates the waiting problem for EV charging. We propose a Mobile CS (MCS) management system to dynamically distribute charging pole support that reduces the waiting times of EVs incurred in a fixed CS. A Mobile Charging Information Management System (MC-IMS) is presented to describe the execution flow of the MCS service. Simulation experiments are conducted to investigate the waiting time performance for the proposed mechanism. Our study indicates that the MCS-based MC-IMS provides effective EV charging with short waiting times. (C) 2012 Elsevier Ltd. All rights reserved.</t>
  </si>
  <si>
    <t>10.1016/j.ijinfomgt.2012.11.007</t>
  </si>
  <si>
    <t>Abdullah, HM; Gastli, A; Ben-Brahim, L</t>
  </si>
  <si>
    <t>Abdullah, Heba M.; Gastli, Adel; Ben-Brahim, Lazhar</t>
  </si>
  <si>
    <t>Reinforcement Learning Based EV Charging Management Systems-A Review</t>
  </si>
  <si>
    <t>Electric vehicle charging; Uncertainty; Batteries; Reinforcement learning; Vehicle-to-grid; Optimization; Load modeling; Artificial intelligence; electric vehicles; machine learning; management; smart grids</t>
  </si>
  <si>
    <t>IN ELECTRIC VEHICLES; NETWORKS; TRANSPORTATION; IMPACT; POWER; COORDINATION; TECHNOLOGIES; OPERATIONS; ALGORITHM; BEHAVIOR</t>
  </si>
  <si>
    <t>To mitigate global warming and energy shortage, integration of renewable energy generation sources, energy storage systems, and plug-in electric vehicles (PEVs) have been introduced in recent years. The application of electric vehicles (EV) in the smart grid has shown a significant option to reduce carbon emission. However, due to the limited battery capacity, managing the charging and discharging process of EV as a distributed power supply is a challenging task. Moreover, the unpredictable nature of renewable energy generation, uncertainties of plug-in electric vehicles associated parameters, energy prices, and the time-varying load create new challenges for the researchers and industries to maintain a stable operation of the power system. The EV battery charging management system plays a main role in coordinating the charging and discharging mechanism to efficiently realize a secure, efficient, and reliable power system. More recently, there has been an increasing interest in data-driven approaches in EV charging modeling. Consequently, researchers are looking to deploy model-free approaches for solving the EV charging management with uncertainties. Among many existing model-free approaches, Reinforcement Learning (RL) has been widely used for EV charging management. Unlike other machine learning approaches, the RL technique is based on maximizing the cumulative reward. This article reviews the existing literature related to the RL-based framework, objectives, and architecture for the charging coordination strategies of electric vehicles in the power systems. In addition, the review paper presents a detailed comparative analysis of the techniques used for achieving different charging coordination objectives while satisfying multiple constraints. This article also focuses on the application of RL in EV coordination for research and development of the cutting-edge optimized energy management system (EMS), which are applicable for EV charging.</t>
  </si>
  <si>
    <t>10.1109/ACCESS.2021.3064354</t>
  </si>
  <si>
    <t>Sharma, I; Canizares, C; Bhattacharya, K</t>
  </si>
  <si>
    <t>Sharma, Isha; Canizares, Claudio; Bhattacharya, Kankar</t>
  </si>
  <si>
    <t>Smart Charging of PEVs Penetrating Into Residential Distribution Systems</t>
  </si>
  <si>
    <t>Optimal feeder operation; plug-in electric vehicles; smart charging; unbalanced distribution system; uncontrolled charging</t>
  </si>
  <si>
    <t>PLUG; DEMAND; OPERATION</t>
  </si>
  <si>
    <t>This paper presents a novel modeling framework for the analysis of Plug-in Electric Vehicle (PEV) charging in unbalanced, residential, distribution systems. A Smart Distribution Power Flow (SDPF) framework is proposed to determine the controlled or smart charging schedules and hence address the shortcomings of uncontrolled charging. The effect of peak-demand constraint imposed by the Local Distribution Company (LDC) is also studied within the SDPF framework for the smart charging scenarios. Uncontrolled versus smart charging schemes are compared for various scenarios, from both the customer's and the LDC's perspective. Various objective functions, such as energy drawn by the LDC, total feeder losses, total cost of energy drawn by LDC and total cost of PEV charging are considered. Studies are carried out considering two sample systems i.e., the IEEE 13-node test feeder and a real distribution feeder. Analyses are also presented considering a probabilistic representation of the initial state of charge (SOC) and start time of charging for various scenarios to take into account the difference in customers' driving patterns. The results show that uncontrolled charging of PEVs results in increased peak demand, low node voltage levels, and increased feeder current magnitudes. On the other hand, the SDPF framework provides very satisfactory operating schedules for the overall system including smart PEV charging.</t>
  </si>
  <si>
    <t>10.1109/TSG.2014.2303173</t>
  </si>
  <si>
    <t>Shin, M; Choi, DH; Kim, J</t>
  </si>
  <si>
    <t>Shin, MyungJae; Choi, Dae-Hyun; Kim, Joongheon</t>
  </si>
  <si>
    <t>Cooperative Management for PV/ESS-Enabled Electric Vehicle Charging Stations: A Multiagent Deep Reinforcement Learning Approach</t>
  </si>
  <si>
    <t>Electric vehicle charging; Optimization; Reinforcement learning; Companies; Energy management; Multi-agent systems; Planning; Electric vehicles; multi-agent systems; neural networks; scheduling algorithms</t>
  </si>
  <si>
    <t>This article proposes a novel multiagent deep reinforcement learning method for the energy management of distributed electric vehicle charging stations with a solar photovoltaic system and energy storage system. In the literature, the conventional method is to calculate the optimal electric vehicle charging schedule in a centralized manner. However, in general, the centralized approach is not realistic under certain environments where the system operators for multiple electric vehicle charging stations handle dynamically varying data, such as the status of the energy storage system and electric vehicle-related information. Therefore, this article proposes a method that can compute the scheduling solutions of multiple electric vehicle charging stations in a distributed manner while handling run-time time-varying dynamic data. As shown in the data-intensive performance evaluation, it can be observed that the proposed method achieves a desirable performance in terms of reducing the operation costs of electric vehicle charging stations.</t>
  </si>
  <si>
    <t>10.1109/TII.2019.2944183</t>
  </si>
  <si>
    <t>Marino, CA; Marufuzzaman, M</t>
  </si>
  <si>
    <t>Antonio Marino, Carlos; Marufuzzaman, Mohammad</t>
  </si>
  <si>
    <t>Unsupervised learning for deploying smart charging public infrastructure for electric vehicles in sprawling cities</t>
  </si>
  <si>
    <t>Electric vehicle; Charging stations; Stochastic optimization; Clustering; Sprawling; Smart cities</t>
  </si>
  <si>
    <t>STOCHASTIC-PROGRAMMING APPROACH; SAMPLE AVERAGE APPROXIMATION; ENERGY-CONSUMPTION; OPTIMAL LOCATIONS; MODEL; OPTIMIZATION; STATIONS; PERSPECTIVE; SYSTEMS; DESIGN</t>
  </si>
  <si>
    <t>This paper presents a novel methodology to study the deployment of public smart charging stations (CS) of electric vehicles (EV) in a sprawling Latin American city. A relevant difference between developed and emerging economies is the reduced access to home charging in emerging economies, which is the case in Latin American cities. Thus, developing public charging stations represents a crucial factor in the mass adoption of EVs by road commuters. We develop herein a methodology for optimizing the deployment of smart charging stations under the sprawling phenomenon perspective. Our method comprises two steps. In step one, we applied principal component analysis (PCA) to facilitate the analysis of a sprawling city, and then we define candidates for potential locations from 'demand clusters' within an urbanized area, by K-means clustering analysis. In the second step, a stochastic programming model was employed to optimize the integration of infrastructural facilities with distributed energy resources (DERs) and EV charging stations using a collaborative strategy to minimize its energy consumption cost under demand uncertainty. We demonstrate the capabilities of this approach through a case study in the city of Lima. Experimental results reveal managerial insights for different stakeholders (i.e., government, industry, academia, and civil society) to promote policies, investment, and incentives. (C) 2020 Elsevier Ltd. All rights reserved.</t>
  </si>
  <si>
    <t>10.1016/j.jclepro.2020.121926</t>
  </si>
  <si>
    <t>Jovanovic, R; Bayhan, S; Bayram, IS</t>
  </si>
  <si>
    <t>Jovanovic, Raka; Bayhan, Sertac; Bayram, Islam Safak</t>
  </si>
  <si>
    <t>A multiobjective analysis of the potential of scheduling electrical vehicle charging for flattening the duck curve</t>
  </si>
  <si>
    <t>JOURNAL OF COMPUTATIONAL SCIENCE</t>
  </si>
  <si>
    <t>Duck curve; Scheduling of charging demand; Electric vehicles; Multiobjective; Quadratic programming</t>
  </si>
  <si>
    <t>PLUG-IN HYBRID; RENEWABLE ENERGY; SYSTEMS; TRENDS</t>
  </si>
  <si>
    <t>In this paper, we investigate the demand-flexibility of large-collections of electric vehicles (EVs) by scheduling their demand to flatten the electricity duck curve that emerge as a result of growing solar power production. The scheduling problem is investigated in a bi-objective setting and an additional objective function related to the amount of charge provided to EVs is also analyzed. The first objective is the minimization of the ramp-up requirements of the system. The second objective reflects the quality of service and the potential level of charging station's profit margins. An important characteristics of the proposed model is the effect of total charging capacity on the two objective functions. The analysis is carried out based on a quadratic programming model which is used to calculate the Pareto Front of the two objective functions. This is done through a case study based on real-world data for EV driver behavior, solar generation, and energy consumption. The computational experiments show that there is a high level of competition between these two objectives. Moreover, the effect of different maximal charging capacities on these objectives is observed.</t>
  </si>
  <si>
    <t>10.1016/j.jocs.2020.101262</t>
  </si>
  <si>
    <t>Chen, QF; Liu, N; Hu, CG; Wang, LF; Zhang, JH</t>
  </si>
  <si>
    <t>Chen, Qifang; Liu, Nian; Hu, Cungang; Wang, Lingfeng; Zhang, Jianhua</t>
  </si>
  <si>
    <t>Autonomous Energy Management Strategy for Solid-State Transformer to Integrate PV-Assisted EV Charging Station Participating in Ancillary Service</t>
  </si>
  <si>
    <t>Ancillary service; charging station; electric vehicle; energy management; smart transformer</t>
  </si>
  <si>
    <t>POWER MANAGEMENT</t>
  </si>
  <si>
    <t>Photovoltaic-assisted charging station (PVCS) is expected to be one of the important charging facilities for serving electric vehicles (EVs). In this paper, a type of solid-state transformer (SST) is introduced to the PVCS design and an autonomous energy management strategy (EMS) for SST is proposed. This study aims to develop an effective real-time EMS for PVCS participating in ancillary service of smart grid, and the rule-based decision-making method is utilized. Considering the dynamic classification of EVs, an energy-bound calculation (EBC) model is proposed to find the upper and lower bounds of flexible resources. Moreover, considering the EBC results and power command from the aggregator, a charging power allocation algorithm is designed for power distribution of flexible EVs. By case study and experiment analysis, the proposed EMS is effective in real-time energy management and suitable for practical applications.</t>
  </si>
  <si>
    <t>10.1109/TII.2016.2626302</t>
  </si>
  <si>
    <t>Al-Saif, N; Ahmad, RW; Salah, K; Yaqoob, I; Jayaraman, R; Omar, M</t>
  </si>
  <si>
    <t>Al-Saif, Nasser; Ahmad, Raja Wasim; Salah, Khaled; Yaqoob, Ibrar; Jayaraman, Raja; Omar, Mohammed</t>
  </si>
  <si>
    <t>Blockchain for Electric Vehicles Energy Trading: Requirements, Opportunities, and Challenges</t>
  </si>
  <si>
    <t>Blockchains; Electric vehicles; Electric potential; Data privacy; Charging stations; Batteries; Smart contracts; Blockchain; electric vehicles; security; smart contracts; energy trading</t>
  </si>
  <si>
    <t>AUCTION MECHANISM; SYSTEMS</t>
  </si>
  <si>
    <t>Today's technologies, techniques, and systems leveraged for managing energy trading operations in electric vehicles fall short in providing operational transparency, immutability, fault tolerance, traceability, and trusted data provenance features. They are centralized and vulnerable to the single point of failure problem, and less trustworthy as they are prone to the data modifications and deletion by adversaries. In this paper, we present the potential advantages of blockchain technology to manage energy trading operations between electric vehicles as it can offer data traceability, immutability, transparency, audit, security, and confidentiality in a fully decentralized manner. We identify and discuss the essential requirements for the successful implementation of blockchain technology to secure energy trading operations among electric vehicles. We present a detailed discussion on the potential opportunities offered by blockchain technology to secure the energy trading operations of electric vehicles. We discuss several blockchain-based research projects and case studies to highlight the practicability of blockchain technology in electric vehicles energy trading. Finally, we identify and discuss open challenges in fulfilling the requirements of electric vehicles energy trading applications.</t>
  </si>
  <si>
    <t>10.1109/ACCESS.2021.3130095</t>
  </si>
  <si>
    <t>Maalej, K; Kelouwani, S; Agbossou, K; Dube, Y; Henao, N</t>
  </si>
  <si>
    <t>Maalej, Khalil; Kelouwani, Sousso; Agbossou, Kodjo; Dube, Yves; Henao, Nilson</t>
  </si>
  <si>
    <t>Long-Trip Optimal Energy Planning With Online Mass Estimation for Battery Electric Vehicles</t>
  </si>
  <si>
    <t>Battery degradation; charging schedule; electric vehicles (EVs); energy efficiency; energy management; vehicle dynamics</t>
  </si>
  <si>
    <t>RECURSIVE LEAST-SQUARES; ROAD GRADE; FUEL-CELL; HYBRID; TRANSPORTATION; MANAGEMENT; STRATEGY; SYSTEMS; MODELS</t>
  </si>
  <si>
    <t>This paper addresses the optimal battery charging schedule for a long trip. Starting with a fully charged battery, the electric vehicle (EV) must stop at least once for battery charging before reaching its destination. Since the battery lifespan is thoroughly related to its depth-of-discharge and since the charging time can be long, it is therefore useful to provide a feasible battery charging schedule during the long trip. Minimizing a cost function, which includes the charging energy cost, battery degradation, and the charging duration, an optimal charging schedule is proposed and successfully validated with small-pickup EV data. In addition, this method takes into account the possible mass change, as well as wind effect on the predicted energy consumption. A comparative study with the commonly used maximum depleting and charging schedule suggests that the proposed approach is efficient, and it contributes to reducing the overall trip duration while reducing, at the same time, the battery degradation.</t>
  </si>
  <si>
    <t>10.1109/TVT.2014.2376700</t>
  </si>
  <si>
    <t>Gong, QM; Midlam-Mohler, S; Serra, E; Marano, V; Rizzoni, G</t>
  </si>
  <si>
    <t>Gong, Qiuming; Midlam-Mohler, Shawn; Serra, Emmanuele; Marano, Vincenzo; Rizzoni, Giorgio</t>
  </si>
  <si>
    <t>PEV Charging Control Considering Transformer Life and Experimental Validation of a 25 kVA Distribution Transformer</t>
  </si>
  <si>
    <t>Distribution transformer; grid interaction; plug-in electric vehicles (PEVs); smart charging</t>
  </si>
  <si>
    <t>ELECTRIC VEHICLES; 2ND USE; INTEGRATION; IMPACT</t>
  </si>
  <si>
    <t>When considering the characteristics of electric power systems in the U.S., the local distribution is the most likely part to be adversely affected by the unregulated plug-in electric vehicle (PEV) charging. The increased load that can result from unregulated charging of PEVs could dramatically accelerate the aging of electrical transformers. In this paper, the control strategies that can mitigate or eliminate the accelerated aging that could result from load peaks caused by PEV charging is developed. The aging model makes it possible to develop charging control strategies that protect the transformer system while maximizing overall PEV charging quality. The charging control policy makes use of load prediction algorithms using data-driven models that are based on actual electricity consumption data. The experimental tests are done to calibrate the thermal model of a 25 kVA distribution transformer and validate the effectiveness of the control strategy.</t>
  </si>
  <si>
    <t>10.1109/TSG.2014.2365452</t>
  </si>
  <si>
    <t>Manriquez, F; Sauma, E; Aguado, J; de la Torre, S; Contreras, J</t>
  </si>
  <si>
    <t>Manriquez, Francisco; Sauma, Enzo; Aguado, Jose; de la Torre, Sebastian; Contreras, Javier</t>
  </si>
  <si>
    <t>The impact of electric vehicle charging schemes in power system expansion planning</t>
  </si>
  <si>
    <t>Power system expansion planning; Electric vehicles; Smart charging; Solar power; Flexibility</t>
  </si>
  <si>
    <t>TRANSMISSION-SYSTEM; SOLAR ELECTRICITY; INFRASTRUCTURE; GENERATION; MARKET; TECHNOLOGY; ADOPTION; MODEL; RETHINKING; INVESTMENT</t>
  </si>
  <si>
    <t>This study analyzes the impacts of the massive electrification of vehicles on the power system expansion planning and operation for the year 2030. For this purpose, a long-term generation and transmission expansion co-optimization model is used, which captures the hourly operational dynamics of the system by means of the use of representative days. This is relevant since smart charging schemes for Electric Vehicles (EVs) are available, and their benefits are intertwined with the hourly available generation (especially solar), the level of demand, and the transmission capacity. Private and public EVs' demand is considered through five main scenarios, which differ in the number of EVs and the charging strategies used (i.e., upon-arrival charging or smart charging). The analysis is illustrated using the Chilean power grid. The numerical results show that a massive penetration of EVs in the Chilean power generation system will heavily encourage solar power capacity investments. Furthermore, smart charging allows for an additional increase in the solar power installed, leading (in the Chilean case) to an extra 2.4% increase in solar power generation and an additional 2.5% decrease in fossil fuel-based generation, which was commonly used to offer flexibility to the system. These effects are diminished if a high-enough level of solar power is not feasible. In addition, some sensitivity analyses are made in order to identify the specific influences of some of the model parameters.</t>
  </si>
  <si>
    <t>10.1016/j.apenergy.2020.114527</t>
  </si>
  <si>
    <t>Mangipinto, A; Lombardi, F; Sanvito, FD; Pavicevic, M; Quoilin, S; Colombo, E</t>
  </si>
  <si>
    <t>Mangipinto, Andrea; Lombardi, Francesco; Sanvito, Francesco Davide; Pavicevic, Matija; Quoilin, Sylvain; Colombo, Emanuela</t>
  </si>
  <si>
    <t>Impact of mass-scale deployment of electric vehicles and benefits of smart charging across all European countries</t>
  </si>
  <si>
    <t>Electric vehicles; Smart charging; Time series; Sector coupling; stochastic demand simulation</t>
  </si>
  <si>
    <t>REAL-WORLD; PROFILES</t>
  </si>
  <si>
    <t>The mass-scale integration of electric vehicles into the power system is a key pillar of the European energy transition agenda. Yet, the extent to which such integration would represent a burden for the power system of each member country is still an unanswered question. This is mainly due to a lack of accurate and context specific representations of aggregate mobility and charging patterns for large electric vehicle fleets. Here, we develop and validate against empirical data an open-source model that simulates such patterns at high (1-min) temporal resolution, based on easy-to-gather, openly accessible data. We hence apply the model - which we name RAMP-mobility - to 28 European countries, showing for the first time the existence of marked differences in mobility and charging patterns across those, due to a combination of weather and socio-economic factors. We hence quantify the impact that fully-electric car fleets would have on the demand to be met by each country's power system: an uncontrolled deployment of electric vehicles would increase peak demand in the range 35-51%, whilst a plausible share of adoption of smart charging strategies could limit the increase to 30- 41%. On the contrary, plausible technology (battery density) and infrastructure (charging power) developments would not provide substantial benefits. Efforts for electric vehicles integration should hence primarily focus on mechanisms to support smart vehicle-to-grid interaction. The approach is applicable generally beyond Europe and can provide policy makers with quantitatively reliable insights about electric vehicles impact on the power system.</t>
  </si>
  <si>
    <t>APR 15</t>
  </si>
  <si>
    <t>10.1016/j.apenergy.2022.118676</t>
  </si>
  <si>
    <t>Strobel, L; Schlund, J; Pruckner, M</t>
  </si>
  <si>
    <t>Strobel, Leo; Schlund, Jonas; Pruckner, Marco</t>
  </si>
  <si>
    <t>Joint analysis of regional and national power system impacts of electric vehicles-A case study for Germany on the county level in 2030</t>
  </si>
  <si>
    <t>Electric vehicles; Smart charging; Optimization; Multi node model; Renewable energy integration</t>
  </si>
  <si>
    <t>RENEWABLE ENERGY; INTEGRATION; SIMULATION</t>
  </si>
  <si>
    <t>In recent years, electric vehicles have consolidated their position as the primary decarbonization tool in the transport sector. In several countries, registration numbers approach or have already exceeded the one million mark. This development brings with it new opportunities and problems for regional as well as national power systems. Current research analyzes these two spatial levels separately. However, this practice has its limitations when we are interested in controlled charging. Optimal behavior with regards to objectives on one spatial level often comes with ramifications on another. This study quantifies this effect on a case study of Germany 2030. We optimize unidirectional electric vehicle charging on both the national and county level. The resulting peak load and renewable integration amount are evaluated. We find that national optimization can completely avoid national peak loads and integrate an additional 10.8 TW h of renewables. However, we have to accept average peak load increases of 23% at transmission grid substations, exceeding even our results for uncontrolled charging. These regional peaks are avoided if optimization is conducted county by county. In this case, the national peak load increase is also minor, but the renewable integration potential is reduced by 3.6 TW h.</t>
  </si>
  <si>
    <t>JUN 1</t>
  </si>
  <si>
    <t>10.1016/j.apenergy.2022.118945</t>
  </si>
  <si>
    <t>de Hoog, J; Alpcan, T; Brazil, M; Thomas, DA; Mareels, I</t>
  </si>
  <si>
    <t>de Hoog, Julian; Alpcan, Tansu; Brazil, Marcus; Thomas, Doreen Anne; Mareels, Iven</t>
  </si>
  <si>
    <t>Optimal Charging of Electric Vehicles Taking Distribution Network Constraints Into Account</t>
  </si>
  <si>
    <t>Distribution networks; electric vehicles; grid impacts; optimization; receding horizon; smart charging</t>
  </si>
  <si>
    <t>The increasing uptake of electric vehicles suggests that vehicle charging will have a significant impact on the electricity grid. Finding ways to shift this charging to off-peak periods has been recognized as a key challenge for integration of electric vehicles into the electricity grid on a large scale. In this paper, electric vehicle charging is formulated as a receding horizon optimization problem that takes into account the present and anticipated constraints of the distribution network over a finite charging horizon. The constraint set includes transformer and line limitations, phase unbalance, and voltage stability within the network. By using a linear approximation of voltage drop within the network, the problem solution may be computed repeatedly in near real time, and thereby take into account the dynamic nature of changing demand and vehicle arrival and departure. It is shown that this linear approximation of the network constraints is quick to compute, while still ensuring that network constraints are respected. The approach is demonstrated on a validated model of a real network via simulations that use real vehicle travel profiles and real demand data. Using the optimal charging method, high percentages of vehicle uptake can be sustained in existing networks without requiring any further network upgrades, leading to more efficient use of existing assets and savings for the consumer.</t>
  </si>
  <si>
    <t>10.1109/TPWRS.2014.2318293</t>
  </si>
  <si>
    <t>Jozi, F; Abdali, A; Mazlumi, K; Hosseini, SH</t>
  </si>
  <si>
    <t>Jozi, Fatemeh; Abdali, Ali; Mazlumi, Kazem; Hosseini, Seyed Hadi</t>
  </si>
  <si>
    <t>Reliability Improvement of the Smart Distribution Grid Incorporating EVs and BESS via Optimal Charging and Discharging Process Scheduling</t>
  </si>
  <si>
    <t>electric vehicles; vehicle-to-grid technology; electricity market; charging and discharging process scheduling; reliability; smart distribution grid</t>
  </si>
  <si>
    <t>VEHICLE; SYSTEMS; MANAGEMENT</t>
  </si>
  <si>
    <t>The use of large-scale electric vehicles (EVs), along with technological advances in battery energy storage systems (BESS), offers numerous technical and economic benefits to the smart distribution system. Parking lots not only provide EV owners with the opportunity to charge their BESS but also contribute power to the grid via vehicle-to-grid (V2G) technology, which significantly improves the reliability of distribution systems. In addition, parking lots equipped with V2G capability can participate in the electricity market as a producer. In this study, the reliability of a smart radial distribution system in the presence of EVs is investigated. It should always be borne in mind that parking lots can improve system reliability if the charging and discharging strategies are optimally and correctly scheduled. On the contrary, the parking lot participates in sending power to the grid in a situation where the profit is appropriate. Accordingly, in this study, first, five optimal strategies for scheduling the process of EV charging and discharging in a parking lot equipped with V2G capability are proposed to maximize parking profits. The proposed strategies include constraints on the amount of power exchange between the parking lot and the distribution system and the random and stochastic nature of quantities, such as when EVs enter and exit the parking lot and their BESS charge amounts when entering the parking lot. The results demonstrate that using the proposed optimal charging and discharging strategies scheduling increases the parking profit by 31% and also improves the reliability of the understudy distribution system by 9%.</t>
  </si>
  <si>
    <t>JUN 16</t>
  </si>
  <si>
    <t>10.3389/fenrg.2022.920343</t>
  </si>
  <si>
    <t>Schmalfuss, F; Mair, C; Dobelt, S; Kampfe, B; Wustemann, R; Krems, JF; Keinath, A</t>
  </si>
  <si>
    <t>Schmalfuss, Franziska; Mair, Claudia; Doebelt, Susen; Kaempfe, Bettina; Wuestemann, Ramona; Krems, Josef F.; Keinath, Andreas</t>
  </si>
  <si>
    <t>User responses to a smart charging system in Germany: Battery electric vehicle driver motivation, attitudes and acceptance</t>
  </si>
  <si>
    <t>Smart charging system for electric vehicles; Acceptance; Usage behavior; Field study</t>
  </si>
  <si>
    <t>Smart charging systems for battery electric vehicles (BEVs) are one promising smart grid technology that has the potential to help balance energy supply and demand. In the present study, we aimed to investigate users' real-life experiences with a smart charging system and their evaluation of it. In a 5-month field trial, 10 BEV drivers compared conventional BEV charging with smart charging. Via smartphone application, users could modify settings which determined the charging process (e.g., departure times). Before and after experiencing the prototype system, users' motivation, attitudes, willingness to use smart charging and charging behavior were assessed via interviews and questionnaires. Furthermore, participants reported how they experienced and integrated the smart charging system. Results showed that users were motivated and positive about the system at both points of data collection. On average, users agreed that the system is suitable for daily life, reliable and trustworthy. They were willing to use smart charging before and after testing it, but some participants stated that reliability of the system should be improved. In sum, results indicate that a smart charging system like the one implemented in this study is assimilable in everyday life and provide valuable indications for further development of smart charging systems. (C) 2015 Elsevier Ltd. All rights reserved.</t>
  </si>
  <si>
    <t>10.1016/j.erss.2015.08.019</t>
  </si>
  <si>
    <t>Luo, YG; Zhu, T; Wan, S; Zhang, SW; Li, KQ</t>
  </si>
  <si>
    <t>Luo, Yugong; Zhu, Tao; Wan, Shuang; Zhang, Shuwei; Li, Keqiang</t>
  </si>
  <si>
    <t>Optimal charging scheduling for large-scale EV (electric vehicle) deployment based on the interaction of the smart-grid and intelligent-transport systems</t>
  </si>
  <si>
    <t>Battery-switch EV; Electric vehicles; Fast-charging EV; Intelligent-transport system; Optimal scheduling strategy; Smart-grid system</t>
  </si>
  <si>
    <t>100-PERCENT RENEWABLE ENERGY; INTEGRATION; MANAGEMENT; OPERATION; POWER; MODEL</t>
  </si>
  <si>
    <t>The widespread use of electric vehicles (EVs) is becoming an imminent trend. Research has been done on the scheduling of EVs from the perspective of the charging characteristic, improvement in the safety and economy of the power grid, or the traffic jams in the transport system caused by a large number of EVs driven to charging stations. There is a lack of systematic studies considering EVs, the power grid, and the transport system all together. In this paper, a novel optimal charging scheduling strategy for different types of EVs is proposed based on not only transport system information, such as road length, vehicle velocity and waiting time, but also grid system information, such as load deviation and node voltage. In addition, a charging scheduling simulation platform suitable for large-scale EV deployment is developed based on actual charging scenarios. The simulation results show that the improvements in both the transport system efficiency and the grid system operation can be obtained by using the optimal strategy, such as the node voltage drop is decreased, the power loss is reduced, and the load curve is optimized. (C) 2016 Elsevier Ltd. All rights reserved.</t>
  </si>
  <si>
    <t>10.1016/j.energy.2015.12.140</t>
  </si>
  <si>
    <t>Skouras, TA; Gkonis, PK; Ilias, CN; Trakadas, PT; Tsampasis, EG; Zahariadis, TV</t>
  </si>
  <si>
    <t>Skouras, Theodoros A.; Gkonis, Panagiotis K.; Ilias, Charalampos N.; Trakadas, Panagiotis T.; Tsampasis, Eleftherios G.; Zahariadis, Theodore V.</t>
  </si>
  <si>
    <t>Electrical Vehicles: Current State of the Art, Future Challenges, and Perspectives</t>
  </si>
  <si>
    <t>CLEAN TECHNOLOGIES</t>
  </si>
  <si>
    <t>electric vehicles; charging stations; wireless power transfer; V2G technology; smart grids</t>
  </si>
  <si>
    <t>TECHNOLOGIES; IMPACTS</t>
  </si>
  <si>
    <t>The goal of the study presented in this article is to provide a general overview of the various aspects related to electric vehicles (EVs), along with all associated emerging challenges and perspectives. In this context, the basic types of EVs and the corresponding charging technologies are analyzed. Since EVs are expected to be a key component of future smart electrical grids (SEG), connection to the grid issues, along with advanced charging techniques (i.e., wireless power transfer), are analyzed as well. To this end, the main features, the requirements of vehicle to grid (V2G) communications, as well as future developments and scenarios of electrification, are also presented and analyzed. Moreover, integration issues with currently deployed fifth generation (5G) mobile wireless networks are also outlined, in order to ensure optimum transmission and reception quality in V2G communications and improved user experience. This integration is also expanded in autonomous vehicles (AVs) technology (self-driving objects), since optimized information processing from various diverse sources is required in order to ensure advanced traffic management aspects.</t>
  </si>
  <si>
    <t>10.3390/cleantechnol2010001</t>
  </si>
  <si>
    <t>Olivella-Rosell, P; Villafafila-Robles, R; Sumper, A; Bergas-Jane, J</t>
  </si>
  <si>
    <t>Olivella-Rosell, Pol; Villafafila-Robles, Roberto; Sumper, Andreas; Bergas-Jane, Joan</t>
  </si>
  <si>
    <t>Probabilistic Agent-Based Model of Electric Vehicle Charging Demand to Analyse the Impact on Distribution Networks</t>
  </si>
  <si>
    <t>electric vehicles charging; agent-based modelling and simulation; distribution network; coordinated charging; load flow analysis; stochastic modelling</t>
  </si>
  <si>
    <t>POWER-SYSTEMS; LOAD; MANAGEMENT; SIMULATION; CHALLENGES; DEPLOYMENT; TRANSPORT</t>
  </si>
  <si>
    <t>Electric Vehicles (EVs) have seen significant growth in sales recently and it is not clear how power systems will support the charging of a great number of vehicles. This paper proposes a methodology which allows the aggregated EV charging demand to be determined. The methodology applied to obtain the model is based on an agent-based approach to calculate the EV charging demand in a certain area. This model simulates each EV driver to consider its EV model characteristics, mobility needs, and charging processes required to reach its destination. This methodology also permits to consider social and economic variables. Furthermore, the model is stochastic, in order to consider the random pattern of some variables. The model is applied to Barcelona's (Spain) mobility pattern and uses the 37-node IEEE test feeder adapted to common distribution grid characteristics from Barcelona. The corresponding grid impact is analyzed in terms of voltage drop and four charging strategies are compared. The case study indicates that the variability in scenarios without control is relevant, but not in scenarios with control. Moreover, the voltages do not reach the minimum voltage allowed, but the MV/LV substations could exceed their capacities. Finally, it is determined that all EVs can charge during the valley without any negative effect on the distribution grid. In conclusion, it is determined that the methodology presented allows the EV charging demand to be calculated, considering different variables, to obtain better accuracy in the results.</t>
  </si>
  <si>
    <t>10.3390/en8054160</t>
  </si>
  <si>
    <t>Feasibility assessment of utilizing electric vehicles for energy arbitrage in smart grids considering battery degradation cost</t>
  </si>
  <si>
    <t>Electric vehicles; smart charging; V2G; energy arbitrage; battery degradation; distribution network</t>
  </si>
  <si>
    <t>IMPACTS; VOLTAGE; INTEGRATION; PENETRATION; MANAGEMENT; UNBALANCE; LOSSES; PRICE</t>
  </si>
  <si>
    <t>A smart grid environment can enable the participation of electric vehicle (EV) owners in energy arbitrage, provided that the utility employs a dynamic tariff structure and the EV chargers support the vehicle-to-grid (V2G) mode of operation. The EV owners can trade electricity with the utility profitably by exporting the energy stored in their vehicle batteries during the high-priced periods and compensating for the sold energy during the cheaper intervals. However, the additional charge-discharge cycles involved in this venture lead to faster degradation of EV batteries. This paper analyzes the economics behind the arbitrage business in terms of the returns from energy transactions and the cost of battery deterioration, and compares it with a scenario in which the EV users stay away from the V2G market. In addition to the financial analysis, it is also important to monitor the impact on the distribution network in terms of operational parameters such as peak demand, energy loss and voltage fluctuations. The study presented in this paper assesses the feasibility of engaging EVs in electricity arbitrage from the perspective of the owners' economic welfare as well as the grid's technical specifications. Results indicate that although the battery degradation cost increases due to energy trading, the revenue generated is substantial enough to give a net saving of 5% for the vehicle owners. With respect to grid impact, all the monitored parameters remain within the prescribed limits, and the peak demand reduces by nearly 15%.</t>
  </si>
  <si>
    <t>10.1080/15567036.2022.2078443</t>
  </si>
  <si>
    <t>Wang, MY; Craig, MT</t>
  </si>
  <si>
    <t>Wang, Meiye; Craig, Michael T.</t>
  </si>
  <si>
    <t>The value of vehicle-to-grid in a decarbonizing California grid</t>
  </si>
  <si>
    <t>Vehicle-to-grid; Smart charging; California electric vehicles; Vehicle-grid integration</t>
  </si>
  <si>
    <t>ELECTRIC VEHICLES; CHARGING STRATEGIES; V2G; TECHNOLOGY; BENEFITS; SYSTEM</t>
  </si>
  <si>
    <t>Vehicle-to-grid (V2G) technology could increase electric vehicle (EV) revenues and grid flexibility. Prior analyses have quantified potential V2G revenues, but each has ignored at least one of four factors that could drive future V2G revenues: future grid changes, large EV numbers, V2G interactions with electricity prices, and V2G operational responses to shifts in electricity prices. Our innovation is the capture of all four factors to quantify net revenues of a fleet of V2G-enabled EVs in California through 2030 by co-simulating optimization models for V2G and power system operations. We find V2G-enabled EVs generate an average of $32-$48 more annual net revenues than smart-charging EVs. Declining electricity prices through 2030 due to decarbonization and V2G participation decreases V2G revenues, and ignoring fleet-wide V2G participation significantly overestimates V2G annual net revenues. Overall, these results indicate V2G revenues could be modest and decrease in the future, underscoring the value of our co-optimization framework.</t>
  </si>
  <si>
    <t>NOV 30</t>
  </si>
  <si>
    <t>10.1016/j.jpowsour.2021.230472</t>
  </si>
  <si>
    <t>Khalkhali, H; Hosseinian, SH</t>
  </si>
  <si>
    <t>Khalkhali, Hassan; Hosseinian, Seyed Hossein</t>
  </si>
  <si>
    <t>Multi-stage stochastic framework for simultaneous energy management of slow and fast charge electric vehicles in a restructured smart parking lot</t>
  </si>
  <si>
    <t>Electric vehicles; Energy storage system; Fast charging stations; Load scheduling; Power market; Smart parking lots; Stochastic programming</t>
  </si>
  <si>
    <t>DEMAND MANAGEMENT; STATIONS</t>
  </si>
  <si>
    <t>A widespread appeal of electric vehicles entails, among other elements, the provision of fast charging stations to reduce the range anxiety. We present a novel structure and operating mechanism for EV parking lots where, traditionally, parked vehicles were charged in level-1 or level-2 charging modes. Due to ubiquitous presence of these parking lots in all urban and residential areas, the proposed approach actually leads to creation of just as many fast charging stations each accommodating a modest number of fast charging vehicles in proportion to the base capacity of the parking lot. A three-stage scheduling framework based on stochastic programming and MPC is introduced, consisting of day-ahead, periodic real-time and intra-period real-time planning for joint scheduling task of inflexible loads, slow- and fast-charged vehicles. The comprehensive fast charge allocation algorithm incorporates V2V concept, M/G/infinity queuing theory and a resource priority stack based on Most Laxity First concept. By providing energy to EVs of different charging classes, the proposed model can be considered a unified approach to prevent or at least reduce the need for separate fast charging stations in urban areas. Comprehensive examples demonstrate the effectiveness of the proposed approach in handling charging load of different EV classes.</t>
  </si>
  <si>
    <t>10.1016/j.ijepes.2019.105540</t>
  </si>
  <si>
    <t>Vagropoulos, SI; Kyriazidis, DK; Bakirtzis, AG</t>
  </si>
  <si>
    <t>Vagropoulos, Stylianos I.; Kyriazidis, Dimitrios K.; Bakirtzis, Anastasios G.</t>
  </si>
  <si>
    <t>Real-Time Charging Management Framework for Electric Vehicle Aggregators in a Market Environment</t>
  </si>
  <si>
    <t>Ancillary services; automatic generation control (AGC); battery charging; dynamic regulation signal; electric vehicle (EV); electric vehicle aggregator (EVA); electricity market; smart charging; smart grid</t>
  </si>
  <si>
    <t>OPTIMIZATION; ALGORITHM</t>
  </si>
  <si>
    <t>A framework for real-time (RT) charging management of an electric vehicle aggregator (EVA) participating in electric energy and regulation markets is proposed. The developed models, which assign charging set points to the electric vehicles (EVs) based on evolving EV charging priorities, are formulated as linear programs that can be solved very fast. A model of the most common (constant current-constant voltage) battery charging method is also presented. A case study is examined, where an EVA representing 1000 EVs participates in the day-ahead and RT energy and regulation markets, and manages the RT charging of the EVs in his fleet based on the developed framework. Through this approach, conclusions on the impact of the charging priority parameterization for the RT EV charging management, the value of the dynamic regulation signal on the reliable EV participation in the regulation market, and the impact of the detailed battery modelling are derived.</t>
  </si>
  <si>
    <t>10.1109/TSG.2015.2421299</t>
  </si>
  <si>
    <t>Wang, SY; Du, L; Ye, J; Zhao, DB</t>
  </si>
  <si>
    <t>Wang, Shengyi; Du, Liang; Ye, Jin; Zhao, Dongbo</t>
  </si>
  <si>
    <t>A Deep Generative Model for Non-Intrusive Identification of EV Charging Profiles</t>
  </si>
  <si>
    <t>Electric vehicle charging; Hidden Markov models; Power demand; Smart meters; Probability distribution; Load modeling; Data models; Electric vehicles charging; energy disaggregation; load modeling; deep learning; statistical inference</t>
  </si>
  <si>
    <t>ELECTRIC VEHICLES; DEMAND</t>
  </si>
  <si>
    <t>The proliferation of electric vehicles (EVs) brings environmental benefits and technical challenges to power grids. An identification algorithm which can accurately extract individual EV charging profiles out of widely available smart meter measurements has attracted great interests. This paper proposes a non-intrusive identification framework for EV charging profile extraction, which is driven by deep generative models (DGM). First, the proposed DGM is designed as a representation layer embedded into the Markov process and used to model the joint probability distribution of available time-series data. A novel contribution is to approximate posterior distributions by neural networks whose parameters are obtained by variational inference and supervised learning. Second, the EV charging status is inferred from the DGM via dynamic programming. Lastly, the desired EV charging profile can be reconstructed by the rated power of EV models and inferred status. Compared with the benchmark Hidden Markov Models, the proposed framework can better handle noise in data with less computational complexity and better overall accuracy performances with smaller recall. The proposed framework is validated by numerical experiments on the Pecan Street dataset.</t>
  </si>
  <si>
    <t>10.1109/TSG.2020.2998080</t>
  </si>
  <si>
    <t>di Noia, LP; Mottola, F; Proto, D; Rizzo, R</t>
  </si>
  <si>
    <t>di Noia, Luigi Pio; Mottola, Fabio; Proto, Daniela; Rizzo, Renato</t>
  </si>
  <si>
    <t>Real Time Scheduling of a Microgrid Equipped with Ultra-Fast Charging Stations</t>
  </si>
  <si>
    <t>ultra-fast charging station; extreme fast charging; plug-in electric vehicle; microgrid; real-time scheduling; optimal scheduling</t>
  </si>
  <si>
    <t>IN ELECTRIC VEHICLES; COORDINATION</t>
  </si>
  <si>
    <t>Ultra-fast charging infrastructures are gaining increasing interest thanks to their ability to reduce the charging-time of plug-in electric vehicles to values comparable to those of the refueling of traditional vehicles in gas stations. This is a consequence of the increasing rated power of both on-board batteries and charging equipment. On the other hand, the increased values of charging power have led to an increased impact on the power distribution networks, particularly in terms of line currents and bus voltages. In presence of large penetration of ultra-fast charging devices, in fact, both currents and voltages are affected by larger variations whose values can exceed the admissible limits imposed by the technical constraints and by the levels of quality of service. In order to reduce the impact of this typology of vehicles' charging on the electrical infrastructure, in this paper a methodology is presented which allows managing a microgrid in presence of ultra-fast charging stations by satisfying the constraints of the grid, while preserving the expected short charging-time for electric vehicles. To this end, a proper optimal strategy is proposed which coordinates the demands of electric vehicles and of the other loads of the microgrid with the power provided by the renewable energy generation resources. The proposed approach aims to optimally control the active and reactive power of charging stations and renewable generation units and to minimize the charging time of a fleet of plug-in electric vehicles while satisfying the constraints on the technical aspects and on the quality of service. The proposed approach has been tested on a test system and the results, proposed in the last part of the paper, demonstrate the feasibility of the proposed approach.</t>
  </si>
  <si>
    <t>10.3390/en15030816</t>
  </si>
  <si>
    <t>Ahmed, MA; El-Sharkawy, MR; Kim, YC</t>
  </si>
  <si>
    <t>Ahmed, Mohamed A.; El-Sharkawy, Mohamed R.; Kim, Young-Chon</t>
  </si>
  <si>
    <t>Remote Monitoring of Electric Vehicle Charging Stations in Smart Campus Parking Lot</t>
  </si>
  <si>
    <t>Communication network; electric vehicle (EV); electric vehicle charging station (EVCS); IEC 61850; OPNET; smart parking lot</t>
  </si>
  <si>
    <t>SYSTEMS</t>
  </si>
  <si>
    <t>Smart parking lots are smart places capable of supporting both parking and charging services for electric vehicles (EVs). In order to manage EV charging, the parking lot local controller (PLLC) requires data exchange with EV charging stations (EVCSs) through communication infrastructures. However, data losses and communication delays are unavoidable and may significantly degrade the system performance. This work aims to investigate the underlying communication networks for remote monitoring of EVCSs in a smart campus parking lot. The communication network consists of two subnetworks: parking area network (PAN) and campus area network (CAN). PAN covers communication among EVs, charging stations and PLLC, while CAN enables dedicated communication between PLLCs and a global controller of the university. As one of the major obstacles in EV system is the lack of unified communication architecture to integrate EVCS in the power grid, we develope communication models for the in-vehicle system and EVCSs based on logical node concept of IEC 61850 standard. Furthermore, we implement network models for EVCSs using OPNET modeler. Different communication technologies and configurations are considered in modeling and simulations, and end-to-end delay is evaluated and discussed.</t>
  </si>
  <si>
    <t>10.35833/MPCE.2018.000502</t>
  </si>
  <si>
    <t>Bhattarai, BP; Myers, KS; Bak-Jensen, B; Paudyal, S</t>
  </si>
  <si>
    <t>Bhattarai, Bishnu P.; Myers, Kurt S.; Bak-Jensen, Birgitte; Paudyal, Sumit</t>
  </si>
  <si>
    <t>Multi-Time Scale Control of Demand Flexibility in Smart Distribution Networks</t>
  </si>
  <si>
    <t>congestion management; demand response; electric vehicle; hierarchical control; microgrid; smart charging; smart grid</t>
  </si>
  <si>
    <t>LOAD FREQUENCY CONTROL; ELECTRIC VEHICLES; MANAGEMENT; IMPACT</t>
  </si>
  <si>
    <t>This paper presents a multi-timescale control strategy to deploy electric vehicle (EV) demand flexibility for simultaneously providing power balancing, grid congestion management, and economic benefits to participating actors. First, an EV charging problem is investigated from consumer, aggregator, and distribution system operator's perspectives. A hierarchical control architecture (HCA) comprising scheduling, coordinative, and adaptive layers is then designed to realize their coordinative goal. This is realized by integrating multi-time scale controls that work from a day-ahead scheduling up to real-time adaptive control. The performance of the developed method is investigated with high EV penetration in a typical residential distribution grid. The simulation results demonstrate that HCA efficiently utilizes demand flexibility stemming from EVs to solve grid unbalancing and congestions with simultaneous maximization of economic benefits to the participating actors. This is ensured by enabling EV participation in day-ahead, balancing, and regulation markets. For the given network configuration and pricing structure, HCA ensures the EV owners to get paid up to five times the cost they were paying without control.</t>
  </si>
  <si>
    <t>10.3390/en10010037</t>
  </si>
  <si>
    <t>Falahati, S; Taher, SA; Shahidehpour, M</t>
  </si>
  <si>
    <t>Falahati, Saber; Taher, Seyed Abbas; Shahidehpour, Mohammad</t>
  </si>
  <si>
    <t>A new smart charging method for EVs for frequency control of smart grid</t>
  </si>
  <si>
    <t>Smart grid; Smart charging; Fuzzy control; Frequency control; Electric vehicle; Renewable energy resources</t>
  </si>
  <si>
    <t>DEMAND-SIDE CONTRIBUTION; ELECTRIC VEHICLES; ALGORITHM</t>
  </si>
  <si>
    <t>Nowadays, due to the shortage of fossil fuels on the one hand and their high prices on the other hand, using electric vehicles (EVs) has been increased. Charging of EVs has imposed new loads on power systems. These new and major loads have faced the frequency control and stability of power systems with new challenges. One way to deal with this new challenge is smart charging of EVs. In this method, grid condition is a key parameter that affects the charging of EV. In other words, in smart charging method, charging is performed with respect to power system parameters such as frequency. In this paper, a smart charging method based on fuzzy controller is proposed, in which charging process is performed with respect to the frequency deviation of grid and state of charge (SOC) of EV battery. To evaluate the performance of the proposed controller in control of grid frequency, IEEE 39-bus system in the presence of renewable energy sources is considered as test system. In order to the frequency analysis, this system is converted into a three-area system and, for each area, several EV categories with different numbers of EVs, battery capacity, start time of charging, and initial SOC are supposed. Moreover performance of proposed method is compared with an optimized PI controller in terms of frequency control. To investigate performance of proposed method in charging of EVs, a two area system is assumed and charging of EVs is verified by applying step loads to both areas. Simulations are carried out in MATLAB/SIMULINK environment. Results of the simulations reveal the good performance of the proposed controller in terms of frequency control of grid and charging of EVs. (C) 2016 Elsevier Ltd. All rights reserved.</t>
  </si>
  <si>
    <t>10.1016/j.ijepes.2016.04.039</t>
  </si>
  <si>
    <t>Suyono, H; Rahman, MT; Mokhlis, H; Othman, M; Illias, HA; Mohamad, H</t>
  </si>
  <si>
    <t>Suyono, Hadi; Rahman, Mir Toufikur; Mokhlis, Hazlie; Othman, Mohamadariff; Illias, Hazlee Azil; Mohamad, Hasmaini</t>
  </si>
  <si>
    <t>Optimal Scheduling of Plug-in Electric Vehicle Charging Including Time-of-Use Tariff to Minimize Cost and System Stress</t>
  </si>
  <si>
    <t>plug-in electric vehicle; charging coordination; optimization; time-of-use tariff</t>
  </si>
  <si>
    <t>SMART GRIDS; VOLT/VAR CONTROL; COORDINATION; CAPACITOR; NETWORKS</t>
  </si>
  <si>
    <t>Technological advancement, environmental concerns, and social factors have made plug-in electric vehicles (PEVs) popular and attractive vehicles. Such a trend has caused major impacts to electrical distribution systems in terms of efficiency, stability, and reliability. Moreover, excessive power loss, severe voltage deviation, transformer overload, and system blackouts will happen if PEV charging activities are not coordinated well. This paper presents an optimal charging coordination method for a random arrival of PEVs in a residential distribution network with minimum power loss and voltage deviation. The method also incorporates capacitor switching and on-load tap changer adjustment for further improvement of the voltage profile. The meta-heuristic methods, binary particle swarm optimization (BPSO) and binary grey wolf optimization (BGWO), are employed in this paper. The proposed method considers a time-of-use (ToU) electricity tariff such that PEV users will get more benefits. The random PEV arrival is considered based on the driving pattern of four different regions. To demonstrate the effectiveness of the proposed method, comprehensive analysis is conducted using a modified of IEEE 31 bus system with three different PEV penetrations. The results indicate a promising outcome in terms of cost and the distribution system stress minimization.</t>
  </si>
  <si>
    <t>APR 2</t>
  </si>
  <si>
    <t>10.3390/en12081500</t>
  </si>
  <si>
    <t>Anthopoulos, L; Kolovou, P</t>
  </si>
  <si>
    <t>Anthopoulos, Leonidas; Kolovou, Polytimi</t>
  </si>
  <si>
    <t>A Multi-Criteria Decision Process for EV Charging Stations' Deployment: Findings from Greece</t>
  </si>
  <si>
    <t>electric vehicle; EV; charging stations; MCDM; AHP; business model; smart city; smart mobility</t>
  </si>
  <si>
    <t>ANALYTIC HIERARCHY PROCESS; INFRASTRUCTURE; IMPACT; MODEL</t>
  </si>
  <si>
    <t>Electro-mobility (EV) is an emerging transportation method, whose charging infrastructure development concerns a key-factor for its growth. EV charging infrastructure has not grown yet in Greece, regardless of the ambitious national targets that have been grounded for 2030 towards a climate-neutral mobility. This study introduces a multi-criteria decision-making (MCDM) framework for EV charging infrastructure deployment and operation, which respects both the economic and the technical aspects for public charging stations. The analytic hierarchy process (AHP) was followed for the MCDM framework's definition, which used criteria that were in the corresponding literature and performed with interviews by experts from the EV growing market in Greece. The results show that the installation and operation of public EV charging stations, located in private spaces to ensure their protection against vandalism, within the urban areas is the preferred deployment approach. Moreover, this article tests a market model for the EV charging infrastructure ownership and operation. Findings show that the incentive for investment in EV charging infrastructure market in Greece, is driven by the direct investments of limited vendors, while it is not economically oriented, but it focuses on sustainability and environmental protection.</t>
  </si>
  <si>
    <t>10.3390/en14175441</t>
  </si>
  <si>
    <t>Mutarraf, MU; Guan, YJ; Xu, LN; Su, CL; Vasquez, JC; Guerrero, JM</t>
  </si>
  <si>
    <t>Mutarraf, Muhammad Umair; Guan, Yajuan; Xu, Luona; Su, Chun-Lien; Vasquez, Juan C.; Guerrero, Josep M.</t>
  </si>
  <si>
    <t>Electric cars, ships, and their charging infrastructure - A comprehensive review</t>
  </si>
  <si>
    <t>SUSTAINABLE ENERGY TECHNOLOGIES AND ASSESSMENTS</t>
  </si>
  <si>
    <t>Electric vehicles; Electric ships; Charger &amp; charging station; Charging station topologies; V2G; Ultra-fast charging station; Smart cities</t>
  </si>
  <si>
    <t>PLUG-IN HYBRID; BATTERY MANAGEMENT-SYSTEM; POWER TRANSFER SYSTEM; LI-ION BATTERIES; DESIGN CONSIDERATIONS; CYCLE LIFE; VEHICLE; ENERGY; EFFICIENCY; CONVERTER</t>
  </si>
  <si>
    <t>The environmental concerns and reduction in fossil fuels have become a major concern due to which a large number of electric and hybrid vehicles are being built to minimize the contribution of greenhouse gas emissions from the transportation sector and to increase the efficiency of the overall vehicles. Electric vehicles (EVs) play an important role in today's development of smarter cities and hence, there is a rapid growth of EVs all around the globe. Although they are found to be environmentally friendly and energy-efficient in comparison with internal combustion engine vehicles but lack of availability of a large number of charging stations at present time limits the use of EVs in the wider perspective. The broader use of EVs would require a huge amount of power from the existing power grids that may hit the prevailing distribution system. Further, charging such EVs equipped with huge battery packs, high power charging stations are essential to charge them at a speed comparable to the conventional oil/gas refueling system. The EVs considered in this study restricts to electric ships and electric cars being two major contributors towards greenhouse gas emissions. In order to address the aforementioned concerns, this study, therefore, presents state-of-the-art based on conventional and current technologies relating to EVs and their charging infrastructure. Further, possible configurations based on the integration of renewable energy sources and stationary energy storage systems are presented to aid the existing power grids. Lastly, challenges along with possible solutions and the future perspective are part of this study.</t>
  </si>
  <si>
    <t>10.1016/j.seta.2022.102177</t>
  </si>
  <si>
    <t>Jawad, M; Qureshi, MB; Ali, SM; Shabbir, N; Khan, MUS; Aloraini, A; Nawaz, R</t>
  </si>
  <si>
    <t>Jawad, Muhammad; Qureshi, Muhammad Bilal; Ali, Sahibzada Muhammad; Shabbir, Noman; Khan, Muhammad Usman Shahid; Aloraini, Afnan; Nawaz, Raheel</t>
  </si>
  <si>
    <t>A Cost-Effective Electric Vehicle Intelligent Charge Scheduling Method for Commercial Smart Parking Lots Using a Simplified Convex Relaxation Technique</t>
  </si>
  <si>
    <t>intelligent charging; demand response; electric vehicle; linear programming; optimization; smart parking; smart grid</t>
  </si>
  <si>
    <t>HOME ENERGY MANAGEMENT; DEMAND RESPONSE; STRATEGY; BEHAVIOR; SYSTEM</t>
  </si>
  <si>
    <t>Deployment of efficient and cost-effective parking lots is a known bottleneck for the electric vehicles (EVs) sector. A comprehensive solution incorporating the requirements of all key stakeholders is required. Taking up the challenge, we propose a real-time EV smart parking lot model to attain the following objectives: (a) maximize the smart parking lot revenue by accommodating maximum number of EVs and (b) minimize the cost of power consumption by participating in a demand response (DR) program offered by the utility since it is a tool to answer and handle the electric power usage requirements for charging the EV in the smart parking lot. With a view to achieving these objectives, a linear programming-based binary/cyclic (0/1) optimization technique is developed for the EV charge scheduling process. It is difficult to solve the problems of binary optimization in real-time given that the complexity of the problem increases with the increase in number of EV. We deploy a simplified convex relaxation technique integrated with the linear programming solution to overcome this problem. The algorithm achieves: minimum power consumption cost of the EV smart parking lot; efficient utilization of available power; maximization of the number of the EV to be charged; and minimum impact on the EV battery lifecycle. DR participation provide benefits by offering time-based and incentive-based hourly intelligent charging schedules for the EV. A thorough comparison is drawn with existing variable charging rate-based techniques in order to demonstrate the comparative validity of our proposed technique. The simulation results show that even under no DR event, the proposed scheme results in 2.9% decrease in overall power consumption cost for a 500 EV scenario when compared to variable charging rate method. Moreover, in similar conditions, such as no DR event and for 500 EV arrived per day, there is a 2.8% increase in number of EV charged per day, 3.2% improvement in the average state-of-charge (SoC) of the EV, 12.47% reduction in the average time intervals required to achieve final SoC.</t>
  </si>
  <si>
    <t>10.3390/s20174842</t>
  </si>
  <si>
    <t>Active integration of electric vehicles into distribution grids: Barriers and frameworks for flexibility services</t>
  </si>
  <si>
    <t>Electric vehicles; Electricity distribution systems; Smart grids; Flexibility markets; Vehicle-to-grid; Smart Charging</t>
  </si>
  <si>
    <t>DISTRIBUTION NETWORKS; CONGESTION MANAGEMENT; RENEWABLE ENERGY; CHARGING DEMAND; VOLTAGE SUPPORT; REACTIVE POWER; IMPACT; OPTIMIZATION; STRATEGIES; OPERATIONS</t>
  </si>
  <si>
    <t>Distribution system operators face a challenging environment marked by increased decentralization, digitalization, and the decarbonization of transport and heating sectors. In particular, the integration of large numbers of electric vehicles (EVs) will pose challenges for distribution grid operation and planning. However, EVs also open the opportunity to offer flexibility services to different actors in the electricity system using smart charging and vehicle-to-grid (V2G) technology. This work reviewed the scientific literature and key European demonstrator projects on the proactive integration of EVs into distribution grids. The main technical, economic, regulatory, and user-related aspects were analyzed and the associated barriers identified. There is a broad scientific literature on the technical feasibility of EV flexibility provision and coordination schemes, which has as well been proved in demonstrator projects, even though the required technologies for V2G (bidirectional chargers, communication protocols) are not yet widespread. On the other hand, main barriers are economic and institutional, largely due to a lack of regulatory frameworks to value flexibility at distribution level and thus uncertainty on the value of these flexibility services. In particular, this work analyzed four possible value frameworks (grid codes, connection agreements, tariffs and market platforms) to use flexibility at the distribution level, and their implementations with EV fleets in demonstrator projects.</t>
  </si>
  <si>
    <t>10.1016/j.rser.2021.111060</t>
  </si>
  <si>
    <t>Schaden, B; Jatschka, T; Limmer, S; Raidl, GR</t>
  </si>
  <si>
    <t>Schaden, Benjamin; Jatschka, Thomas; Limmer, Steffen; Raidl, Guenther Robert</t>
  </si>
  <si>
    <t>Smart Charging of Electric Vehicles Considering SOC-Dependent Maximum Charging Powers</t>
  </si>
  <si>
    <t>electric vehicles; charging scheduling; state-of-charge dependent maximum charging power; mixed integer linear programming</t>
  </si>
  <si>
    <t>The aim of this work is to schedule the charging of electric vehicles (EVs) at a single charging station such that the temporal availability of each EV as well as the maximum available power at the station are considered. The total costs for charging the vehicles should be minimized w.r.t. time-dependent electricity costs. A particular challenge investigated in this work is that the maximum power at which a vehicle can be charged is dependent on the current state of charge (SOC) of the vehicle. Such a consideration is particularly relevant in the case of fast charging. Considering this aspect for a discretized time horizon is not trivial, as the maximum charging power of an EV may also change in between time steps. To deal with this issue, we instead consider the energy by which an EV can be charged within a time step. For this purpose, we show how to derive the maximum charging energy in an exact as well as an approximate way. Moreover, we propose two methods for solving the scheduling problem. The first is a cutting plane method utilizing a convex hull of the, in general, nonconcave SOC-power curves. The second method is based on a piecewise linearization of the SOC-energy curve and is effectively solved by branch-and-cut. The proposed approaches are evaluated on benchmark instances, which are partly based on real-world data. To deal with EVs arriving at different times as well as charging costs changing over time, a model-based predictive control strategy is usually applied in such cases. Hence, we also experimentally evaluate the performance of our approaches for such a strategy. The results show that optimally solving problems with general piecewise linear maximum power functions requires high computation times. However, problems with concave, piecewise linear maximum charging power functions can efficiently be dealt with by means of linear programming. Approximating an EV's maximum charging power with a concave function may result in practically infeasible solutions, due to vehicles potentially not reaching their specified target SOC. However, our results show that this error is negligible in practice.</t>
  </si>
  <si>
    <t>10.3390/en14227755</t>
  </si>
  <si>
    <t>van der Kam, M; van Sark, W; Alkemade, F</t>
  </si>
  <si>
    <t>van der Kam, Mart; van Sark, Wilfried; Alkemade, Floor</t>
  </si>
  <si>
    <t>Multiple roads ahead: How charging behavior can guide charging infrastructure roll-out policy</t>
  </si>
  <si>
    <t>Electric vehicle; Charging infrastructure; Policy mix; Charge point hogging; Smart charging; Vehicle-to-grid</t>
  </si>
  <si>
    <t>ELECTRIC VEHICLE ADOPTION; PLUG-IN; SMART GRIDS; RENEWABLE ENERGY; IMPACT; RANGE; INTEGRATION; INCENTIVES; DEMAND; POWER</t>
  </si>
  <si>
    <t>A key challenge for the roll-out of public charging infrastructure is that electric vehicles are needed to function both as a clean mode of transportation and as part of a sustainable electricity system, while being cost-effective. Translating these high-level policy goals to a coherent roll-out strategy is not trivial. We address this by analyzing local charging behavior and linking behavior indicators to specific policy measures through a decision tree. We analyze how policy measures for: (1) increasing the number of charge points, (2) reducing hogging, (3) vehicle-to-grid, (4) overnight charging, and (5) solar charging align with overall goals and characteristics of specific neighborhoods. More specifically, we analyze a dataset containing one million charging sessions in the Netherlands, and (1) link this data to neighborhood characteristics and (2) evaluate the coherency of policy mixes. Our analysis shows great spatial variation in charging behavior and consequently in the suitable policy mixes.</t>
  </si>
  <si>
    <t>10.1016/j.trd.2020.102452</t>
  </si>
  <si>
    <t>Chen, X; Zhang, TY; Ye, WX; Wang, ZW; Iu, HHC</t>
  </si>
  <si>
    <t>Chen, Xi; Zhang, Tianyang; Ye, Wenxing; Wang, Zhiwei; Iu, Herbert Ho-Ching</t>
  </si>
  <si>
    <t>Blockchain-Based Electric Vehicle Incentive System for Renewable Energy Consumption</t>
  </si>
  <si>
    <t>IEEE TRANSACTIONS ON CIRCUITS AND SYSTEMS II-EXPRESS BRIEFS</t>
  </si>
  <si>
    <t>Electric vehicle charging; Microgrids; Pricing; Renewable energy sources; Indexes; Electric vehicle; blockchain; renewable energy; smart grids</t>
  </si>
  <si>
    <t>The rising proportion of renewable energy (RE) penetration with high variability introduces immense pressure on the stability of power grids. At the same time, a rapid increase in electric vehicle (EV) penetration level leads to uncoordinated charging loads, which poses significant challenges to operators. By properly guiding and scheduling the charging behaviors, EV may no longer be a burden, but a valuable asset to mitigate the RE integration problem. In this brief, we first propose a prioritization ranking algorithm of EV drivers based on their driving and charging behaviors, and then we propose a blockchain-based EV incentive system to maximize the utilization of RE. The proposed system is secure, anonymous, and decentralized. By incorporating the utilities, EV drivers, EV charging service providers, and RE providers into the proposed incentive system, this brief provides a plan to guide the EV users to charge at the desired time frames with higher RE generation. The market mechanism of the incentive system is discussed. The effectiveness of the system is verified by simulation.</t>
  </si>
  <si>
    <t>10.1109/TCSII.2020.2996161</t>
  </si>
  <si>
    <t>Pan, XT; Wang, LP; Qiu, QC; Qiu, FY; Zhang, GD</t>
  </si>
  <si>
    <t>Pan, Xiaotian; Wang, Liping; Qiu, Qicang; Qiu, Feiyue; Zhang, Guodao</t>
  </si>
  <si>
    <t>Many-objective optimization for large-scale EVs charging and discharging schedules considering travel convenience</t>
  </si>
  <si>
    <t>APPLIED INTELLIGENCE</t>
  </si>
  <si>
    <t>V2G technology; Electric vehicle; Charging and discharging schedule; Travel convenience; Many-objective optimization</t>
  </si>
  <si>
    <t>MULTIOBJECTIVE OPTIMIZATION; OPTIMAL OPERATION; ALGORITHM; V2G; SYSTEM; SCHEME</t>
  </si>
  <si>
    <t>The uncontrolled charging behaviors of large-scale electric vehicles (EVs) increase the security risk of the power grid and bring a new challenge for the computing ability of the power system. Using vehicle to grid (V2G) technology, most control systems coordinate the power interaction between EVs and power grid by minimizing the load fluctuation and user cost, but their optimization results are often achieved at the expense of reducing personal travel time. EVs should first meet basic travel needs and then obey the scheduling arrangement. Based on this idea, a four-objective optimal control method for EV charging and discharging schedules considering travel convenience is proposed, including minimization of the load fluctuation and user cost and maximization of the flexible travel time and state of charge (SOC). To solve this large-scale many-objective problem, a resource allocation-based preference-inspired coevolutionary algorithm (PICEAg-EV) is presented. Taking the IEEE 33-node system as an example, the simulation and analysis verify the effectiveness of the proposed control strategy and optimization algorithm. The experimental results show that PICEAg-EV outperforms seven popular intelligence algorithms under EV participation rate setting of 10%, 25%, 50%, 100%. Compared with 2- and 3-objective optimization models, the 4-objective optimization model can provide sufficient flexible travel time and a higher SOC for traveling, which is a better match for the user needs.</t>
  </si>
  <si>
    <t>10.1007/s10489-021-02494-0</t>
  </si>
  <si>
    <t>ElGhanam, E; Sharf, H; Odeh, Y; Hassan, MS; Osman, AH</t>
  </si>
  <si>
    <t>ElGhanam, Eiman; Sharf, Hazem; Odeh, Yazan; Hassan, Mohamed S.; Osman, Ahmed H.</t>
  </si>
  <si>
    <t>On the Coordination of Charging Demand of Electric Vehicles in a Network of Dynamic Wireless Charging Systems</t>
  </si>
  <si>
    <t>Electric vehicle charging network; dynamic wireless charging system; charging coordination; spatial allocation; peak-to-average-energy ratio</t>
  </si>
  <si>
    <t>SMART; INTERNET; ENERGY; POWER; CHALLENGES; PROSPECTS; STRATEGY</t>
  </si>
  <si>
    <t>The utilization of dynamic wireless charging (DWC) systems to charge on-the-move EVs is currently gaining an increasing popularity, as it addresses range and charging downtime issues of EV users. To ensure optimal utilization of this charging infrastructure, coordination of EV charging demand is essential to achieve grid load balancing and prevent grid overload. In contrast to offline, day-ahead charging scheduling, this work proposes an online, mobility-aware, spatial EV allocation algorithm within a DWC coordination strategy. This strategy allocates EVs requesting charge to the most optimal DWC lanes within an EV charging network (ECN) in an Internet of EVs (IoEVs). A detailed charging request scenario is presented to highlight the required communication for authentication between the EVs and the charging infrastructure, to achieve the desired coordination. Description of the proposed EV allocation algorithm is then presented and the performance of the algorithm is evaluated using a hypothetical case study of predicted EV traffic trips in the cities of Dubai and Sharjah, UAE. Upon parameter optimization, results of the conducted analysis reveal that the proposed EV allocation algorithm achieves an almost flattened load profile across the DWC lanes that reduces the PAER by more than 44% in comparison with a shortest distance allocation algorithm, for a maximum 2x increase in trip length, and sufficient received energy to compensate for the energy consumed during the trip. This acknowledges grid supply limitations, EV traveling velocities and the maximum service capacity per DWC lane.</t>
  </si>
  <si>
    <t>10.1109/ACCESS.2022.3182700</t>
  </si>
  <si>
    <t>Antunez, CS; Franco, JF; Rider, MJ; Romero, R</t>
  </si>
  <si>
    <t>Antunez, Carlos Sabillon; Franco, John F.; Rider, Marcos J.; Romero, Ruben</t>
  </si>
  <si>
    <t>A New Methodology for the Optimal Charging Coordination of Electric Vehicles Considering Vehicle-to-Grid Technology</t>
  </si>
  <si>
    <t>Charging coordination problem; electric vehicles; mixed integer linear programming; vehicle-to-grid</t>
  </si>
  <si>
    <t>LOAD DEMAND; SIMULATION; CAPACITY; MODEL</t>
  </si>
  <si>
    <t>In this work, a new methodology based on a mixed integer linear programming formulation is proposed to solve the optimal charging coordination of electric vehicles (EVs) in unbalanced electrical distribution systems (EDS) considering vehicle-to-grid (V2G) technology. The steady-state operation of the EDS is represented using the real and imaginary parts of voltages and currents at nodes and circuits respectively. Distributed generation (DG) and the imbalance of the system circuits and loads are taken into account. The developed method defines an optimal charging schedule for the EVs. This charging schedule considers the EVs' arrival and departure times and their arrival state of charge, along with the energy contribution of EVs equipped with V2G technology. The presented formulation was tested in a 123-node distribution system. The charging schedule obtained was compared in terms of V2G and DG scenarios, demonstrating the efficiency of the proposed method.</t>
  </si>
  <si>
    <t>10.1109/TSTE.2015.2505502</t>
  </si>
  <si>
    <t>Li, YZ; Cai, YH; Zhao, TY; Liu, Y; Wang, J; Wu, L; Zhao, Y</t>
  </si>
  <si>
    <t>Li, Yuanzheng; Cai, Yihan; Zhao, Tianyang; Liu, Yun; Wang, Jian; Wu, Lei; Zhao, Yong</t>
  </si>
  <si>
    <t>Multi-objective Optimal Operation of Centralized Battery Swap Charging System with Photovoltaic</t>
  </si>
  <si>
    <t>Multi-objective optimization; electric vehicle; battery swap charging system; scheduling; photovoltaic</t>
  </si>
  <si>
    <t>2-STAGE STOCHASTIC OPTIMIZATION; ELECTRIC VEHICLES; STATIONS; ALGORITHM; QUALITY; STRATEGY; DISPATCH; BEHAVIOR</t>
  </si>
  <si>
    <t>Electric vehicles (EVs) are widely deployed throughout the world, and photovoltaic (PV) charging stations have emerged for satisfying the charging demands of EV users. This paper proposes a multi-objective optimal operation method for the centralized battery swap charging system (CBSCS), in order to enhance the economic efficiency while reducing its adverse effects on power grid. The proposed method involves a multi-objective optimization scheduling model, which minimizes the total operation cost and smoothes load fluctuations, simultaneously. Afterwards, we modify a recently proposed multi-objective optimization algorithm of non-sorting genetic algorithm III (NSGA-III) for solving this scheduling problem. Finally, simulation studies verify the effectiveness of the proposed multi-objective operation method.</t>
  </si>
  <si>
    <t>10.35833/MPCE.2020.000109</t>
  </si>
  <si>
    <t>He, YF; Venkatesh, B; Guan, L</t>
  </si>
  <si>
    <t>He, Yifeng; Venkatesh, Bala; Guan, Ling</t>
  </si>
  <si>
    <t>Optimal Scheduling for Charging and Discharging of Electric Vehicles</t>
  </si>
  <si>
    <t>Charging and discharging; convex optimization; distributed solution; electric vehicle; optimal scheduling; smart grid; vehicle-to-grid (V2G)</t>
  </si>
  <si>
    <t>The vehicle electrification will have a significant impact on the power grid due to the increase in electricity consumption. It is important to perform intelligent scheduling for charging and discharging of electric vehicles (EVs). However, there are two major challenges in the scheduling problem. First, it is challenging to find the globally optimal scheduling solution which can minimize the total cost. Second, it is difficult to find a distributed scheduling scheme which can handle a large population and the random arrivals of the EVs. In this paper, we propose a globally optimal scheduling scheme and a locally optimal scheduling scheme for EV charging and discharging. We first formulate a global scheduling optimization problem, in which the charging powers are optimized to minimize the total cost of all EVs which perform charging and discharging during the day. The globally optimal solution provides the globally minimal total cost. However, the globally optimal scheduling scheme is impractical since it requires the information on the future base loads and the arrival times and the charging periods of the EVs that will arrive in the future time of the day. To develop a practical scheduling scheme, we then formulate a local scheduling optimization problem, which aims tominimize the total cost of the EVs in the current ongoing EV set in the local group. The locally optimal scheduling scheme is not only scalable to a large EV population but also resilient to the dynamic EV arrivals. Through simulations, we demonstrate that the locally optimal scheduling scheme can achieve a close performance compared to the globally optimal scheduling scheme.</t>
  </si>
  <si>
    <t>10.1109/TSG.2011.2173507</t>
  </si>
  <si>
    <t>Korolko, N; Sahinoglu, Z</t>
  </si>
  <si>
    <t>Korolko, Nikita; Sahinoglu, Zafer</t>
  </si>
  <si>
    <t>Robust Optimization of EV Charging Schedules in Unregulated Electricity Markets</t>
  </si>
  <si>
    <t>Charging schedule; electric vehicle (EV); robust optimization (RO); state-of-charge (SoC) curve</t>
  </si>
  <si>
    <t>In this paper, we address the problem of optimal electric vehicle (EV) charging in an unregulated electricity market. This problem is known to be highly nonlinear even in the case of fixed electricity prices due to a nonlinear state-of-charge curve representing physical battery limitations. We design tractable formulations for single and multiple EV charging frameworks. In the first part of this paper, we develop a new efficient cutting plane method, that can be used for solving charging optimization problem for both scenarios of known and uncertain electricity prices. The latter scenario with real-time electricity rates is considered in the second part of this paper. We obtain robust optimization counterparts of the nominal charging problems that are particularly important from an economic perspective when budget constraints are strictly enforced. New robust formulations are proven to be tractable. Moreover, computational experiments illustrate that a decision maker can find solutions that are close to optimal in terms of the corresponding objective values, and robust with respect to uncertain electricity prices.</t>
  </si>
  <si>
    <t>10.1109/TSG.2015.2472597</t>
  </si>
  <si>
    <t>Jiang, YX; Ye, Q; Sun, B; Wu, Y; Tsang, DHK</t>
  </si>
  <si>
    <t>Jiang, Yuxuan; Ye, Qiang; Sun, Bo; Wu, Yuan; Tsang, Danny H. K.</t>
  </si>
  <si>
    <t>Data-Driven Coordinated Charging for Electric Vehicles With Continuous Charging Rates: A Deep Policy Gradient Approach</t>
  </si>
  <si>
    <t>Electric vehicle charging; Internet of Things; Reinforcement learning; Analytical models; Training; Vehicle-to-grid; Numerical models; Coordinated charging; deep policy gradient; electric vehicle (EV)</t>
  </si>
  <si>
    <t>In this article, we consider a parking lot that manages the charging processes of its parked electric vehicles (EVs). Upon arrival, each EV requests a certain amount of energy. This request should be fulfilled before the EV's departure. It is of critical importance to coordinate the EVs' charging rates to smooth out the load profile of the parking lot because inappropriate charging rates can lead to sharp spikes and fluctuations on the load profile, imposing negative effects on the power grid. Meanwhile, empirical studies show that many parking lots exhibit statistical patterns on EV dynamics. For example, the bulk of EVs arrives during rush hours. Therefore, in this article, we incorporate such patterns into charging rate coordination. Although the statistical patterns can be summarized from historical data, they are difficult to be analytically modeled. As a result, we adopt a model-free deep reinforcement learning approach. We also take the latest continuous charging rate control technology into consideration. The decision variables are thus continuous and a policy gradient algorithm is needed to perform reinforcement learning. Technically, we first formulate the problem as a Markov decision process (MDP) with unknown state transition probabilities. To further derive a deep policy gradient algorithm, the challenge lies in the inconsistent and state-dependent action space of the MDP model, due to the constraint to satisfy EVs' energy demands before their scheduled departure. To tackle the challenge, we design a customized model for neural network training by extending the action space to be consistent and state independent, and revise the reward function to penalize the neural network output if it is beyond the action space of the original MDP model. With this customized model, we then develop a deep policy gradient algorithm based on the proximal policy gradient framework. Numerical results show that our algorithm outperforms the benchmarks.</t>
  </si>
  <si>
    <t>DEC 16</t>
  </si>
  <si>
    <t>10.1109/JIOT.2021.3135977</t>
  </si>
  <si>
    <t>Gumrukcu, E; Ponci, F; Monti, A; Guidi, G; D'Arco, S; Suul, JA</t>
  </si>
  <si>
    <t>Guemruekcue, Erdem; Ponci, Ferdinanda; Monti, Antonello; Guidi, Giuseppe; D'Arco, Salvatore; Suul, Jon Are</t>
  </si>
  <si>
    <t>Optimal load management strategy for large electric vehicle charging stations with undersized charger clusters</t>
  </si>
  <si>
    <t>IET ELECTRICAL SYSTEMS IN TRANSPORTATION</t>
  </si>
  <si>
    <t>demand side management; electric vehicle charging; energy management systems; optimisation; scheduling</t>
  </si>
  <si>
    <t>ENERGY-STORAGE SYSTEM</t>
  </si>
  <si>
    <t>This study proposes a load management strategy for parking and charging facilities with the capacity to serve several hundreds of electric vehicles. The strategy is built upon two assumptions on power distribution systems of large charging stations: i) they are configured as clusters, each comprising a number of charging units for reduced cabling complexity, ii) the power delivery components (such as feeders and circuit breakers) of individual clusters are sized for load factors smaller than 100% to reduce the capital costs. Unless controlled, the load demand can concentrate into particular cluster(s) whereas other clusters can still tolerate additional demand. This may lead to avoidable load interruptions and, thus, reduced energy provision. To address this issue, a load management strategy that optimises the distribution of vehicles across the clusters and their charging profiles is proposed. The strategy is compared in simulation with a benchmark strategy in different commercial parking lot scenarios. The results demonstrate that the optimal management achieves identical demand fulfilment rates despite more pronounced load factor limitations as compared to the benchmark strategy. This can enable further reduction in system component sizing. In the tested scenarios, the proposed strategy leads to increased long term profits ranging between 12% and 43%.</t>
  </si>
  <si>
    <t>10.1049/els2.12037</t>
  </si>
  <si>
    <t>Fu, QB; Xu, ZH; Takai, K; Shen, TL</t>
  </si>
  <si>
    <t>Fu, Qiaobin; Xu, Zhenhui; Takai, Kenichi; Shen, Tielong</t>
  </si>
  <si>
    <t>MFG-Based Decentralized Charging Control Design of Large-Scale PEVs with Consideration of Collective Consensus</t>
  </si>
  <si>
    <t>IEICE TRANSACTIONS ON FUNDAMENTALS OF ELECTRONICS COMMUNICATIONS AND COMPUTER SCIENCES</t>
  </si>
  <si>
    <t>mean-field game (MFG); plug-in electric vehicles (PEVs); decentralized charging coordination</t>
  </si>
  <si>
    <t>MEAN-FIELD GAME; ELECTRIC VEHICLES; COORDINATION; MANAGEMENT; ENERGY; AGENTS</t>
  </si>
  <si>
    <t>This paper investigates the charging control strategy design problem of a large-scale plug-in electric vehicle (PEV) group, where each PEV aims to find an optimal charging strategy to minimize its own cost function. It should be noted that the collective behavior of the group is coupled in the individual cost function, which complicates the design of decentralized charging strategies. To obtain the decentralized charging strategy, a mean-field game (MFG) formulation is proposed where a penalty on collective consensus is embedded and a class of mean-field coupled time-varying stochastic systems is targeted for solving the MFG which involves the charging model of PEVs as a special case. Then, an augmented system with dimension extension and the policy iteration algorithm are proposed to solve the mean-field game problem for the class of mean-field coupled time-varying stochastic systems. Moreover, analysis of the convergence of proposed approach has been studied. Last, simulation is conducted to illustrate the effectiveness of the proposed MFG-based charging control strategy and shows that the charging control strategy can achieve desired mean-field state and impact to the power grid can be buffered.</t>
  </si>
  <si>
    <t>E105A</t>
  </si>
  <si>
    <t>10.1587/transfun.2021EAP1133</t>
  </si>
  <si>
    <t>Wang, RS; Chen, Z; Xing, Q; Zhang, ZQ; Zhang, T</t>
  </si>
  <si>
    <t>Wang, Ruisheng; Chen, Zhong; Xing, Qiang; Zhang, Ziqi; Zhang, Tian</t>
  </si>
  <si>
    <t>A Modified Rainbow-Based Deep Reinforcement Learning Method for Optimal Scheduling of Charging Station</t>
  </si>
  <si>
    <t>charging station; electric vehicle; deep reinforcement learning; rainbow method; optimal scheduling</t>
  </si>
  <si>
    <t>To improve the operating efficiency and economic benefits, this article proposes a modified rainbow-based deep reinforcement learning (DRL) strategy to realize the charging station (CS) optimal scheduling. As the charging process is a real-time matching between electric vehicles '(EVs) charging demand and CS equipment resources, the CS charging scheduling problem is duly formulated as a finite Markov decision process (FMDP). Considering the multi-stakeholder interaction among EVs, CSs, and distribution networks (DNs), a comprehensive information perception model was constructed to extract the environmental state required by the agent. According to the random behavior characteristics of the EV charging arrival and departure times, the startup of the charging pile control module was regarded as the agent's action space. To tackle this issue, the modified rainbow approach was utilized to develop a time-scale-based CS scheme to compensate for the resource requirements mismatch on the energy scale. Case studies were conducted within a CS integrated with the photovoltaic and energy storage system. The results reveal that the proposed method effectively reduces the CS operating cost and improves the new energy consumption.</t>
  </si>
  <si>
    <t>10.3390/su14031884</t>
  </si>
  <si>
    <t>Zhang, T; Chen, W; Han, Z; Cao, ZG</t>
  </si>
  <si>
    <t>Zhang, Tian; Chen, Wei; Han, Zhu; Cao, Zhigang</t>
  </si>
  <si>
    <t>Charging Scheduling of Electric Vehicles With Local Renewable Energy Under Uncertain Electric Vehicle Arrival and Grid Power Price</t>
  </si>
  <si>
    <t>Charging scheduling; electric vehicle (EV); Markov decision process (MDP); renewable energy</t>
  </si>
  <si>
    <t>In this paper, we consider delay-optimal charging scheduling of the electric vehicles (EVs) at a charging station with multiple charge points. The charging station is equipped with renewable energy generation devices and can also buy energy from power grids. The uncertainty of the arrival of the EV, the intermittence of the renewable energy, and the variation of the grid power price are taken into account and described as independent Markov processes. Meanwhile, the required charging energy for each EV is random. The goal is to minimize the mean waiting time for EVs under the long-term constraint on the cost. We propose queue mapping to convert the EV queue to the charging demand queue, and we prove the equivalence between the minimization of the two queues' average length. Then, we focus on the minimization for the average length of the charging demand queue under the long-term cost constraint. We propose a framework of Markov decision process (MDP) to investigate this constrained stochastic optimization problem. The system state includes the charging demand queue length, the charging demand arrival, the energy level in the storage battery of the renewable energy, the renewable energy arrival, and the grid power price. Additionally, the number of charging demands and the allocated energy from the storage battery compose the 2-D policy. We derive two necessary conditions of the optimal policy. Moreover, we discuss the reduction of the 2-D policy to be the number of charging demands only. We give the sets of system states for which charging no demand and charging as many demands as possible are optimal, respectively. Finally, we investigate the proposed policies numerically.</t>
  </si>
  <si>
    <t>10.1109/TVT.2013.2295591</t>
  </si>
  <si>
    <t>Charging Infrastructure for Commercial Electric Vehicles: Challenges and Future Works</t>
  </si>
  <si>
    <t>Electric vehicles; Batteries; Charging stations; Standards; Licenses; Electric potential; Vehicle-to-grid; Commercial electric vehicles; electric trucks; return-to-base model; smart charging system; charging infrastructure</t>
  </si>
  <si>
    <t>BATTERY SWAPPING STATIONS; HEAVY-DUTY TRUCKS; MANAGEMENT ALGORITHM; GRIDABLE VEHICLES; ROUTING PROBLEM; ROAD FREIGHT; LONG-HAUL; ENERGY; MODEL; LIFE</t>
  </si>
  <si>
    <t>The journey towards transportation electrification started with small electric vehicles (i.e., electric cars), which have enjoyed an increasing level of global interest in recent years. Electrification of commercial vehicles (e.g., trucks) seems to be a natural progression of this journey, and many commercial vehicle manufacturers have shifted their focus on medium- and heavy-duty vehicle electrification over the last few years. In this paper, we present a comprehensive review and analysis of the existing works presented in the literature on commercial vehicle charging. The paper starts with a brief discussion on the significance of commercial vehicle electrification, especially heavy- and medium-duty vehicles. The paper then reviews two major charging strategies for commercial vehicles, namely the return-to-base model and the on route charging model. Research challenges related to the return-to-base model are then analysed in detail. Next, different methods to charge commercial vehicles on route during their driving cycles are summarized. The paper then analyzes the challenging issues related to charging commercial vehicles at public charging stations. Future works relevant to these challenges are highlighted. Finally, the possibility of accommodating vehicle to grid technology for commercial vehicles is discussed.</t>
  </si>
  <si>
    <t>10.1109/ACCESS.2021.3108817</t>
  </si>
  <si>
    <t>Zhang, J; He, YG; Cui, MJ; Lu, YL</t>
  </si>
  <si>
    <t>Zhang, Jian; He, Yigang; Cui, Mingjian; Lu, Yongling</t>
  </si>
  <si>
    <t>Primal dual interior point dynamic programming for coordinated charging of electric vehicles</t>
  </si>
  <si>
    <t>Electric vehicles (EVs); Coordinated charging; Primal dual interior point programming; Distribution system; Power losses</t>
  </si>
  <si>
    <t>DISTRIBUTION-SYSTEMS; GRIDS</t>
  </si>
  <si>
    <t>Coordinated charging of electric vehicles (EVs) is critical to provide safe and cost effective operation of distribution systems where household single phase charging of EV could contribute to imbalance of the distribution system. To date, reported researches on optimization methods for coordinated charging aiming at minimizing power losses have the disadvantages of low calculation efficiency when applied to large systems or have not taken the voltage constraints into account. The phase component and polar coordinates power flow equations of an unbalanced distribution system are derived. Primal dual interior point dynamic programming is introduced for coordinated charging of EVs to minimize distribution system losses where charging demand, voltage and current constraints have been taken into account. The proposed optimization is evaluated using an actual 423-bus case as the test system. Results are promising with the proposed method having good convergence under time-efficient calculations while providing optimization of power losses, lower load variance, and improvement of voltage profile versus uncoordinated scenarios.</t>
  </si>
  <si>
    <t>10.1007/s40565-016-0224-5</t>
  </si>
  <si>
    <t>An Incentive-Compatible Combinatorial Auction Design for Charging Network Scheduling of Battery Electric Vehicles</t>
  </si>
  <si>
    <t>JOURNAL OF INTEGRATED DESIGN &amp; PROCESS SCIENCE</t>
  </si>
  <si>
    <t>Battery Electric Vehicle; Charging Scheduling; Mechanism Design; Social Welfare; Incentive Compatibility</t>
  </si>
  <si>
    <t>Charging network scheduling for battery electric vehicles is a challenging research issue on deciding where and when to activate users' charging under the constraints imposed by their time availability and energy demands, as well as the limited available capacities provided by the charging stations. Moreover, users' strategic behaviors and untruthful revelation on their real preferences on charging schedules pose additional challenges to efficiently coordinate their charging in a market setting, where users are reasonably modelled as self-interested agents who strive to maximize their own utilities rather than the system-wide efficiency. To tackle these challenges, we propose an incentive-compatible combinatorial auction for charging network scheduling in a decentralized environment. In such a structured framework, users can bid for their preferred destination and charging time at different stations, and the scheduling specific problem solving structure is also embedded into the winner determination model to coordinate the charging at multiple stations. The objective is to maximize the social welfare across all users which is represented by their total values of scheduled finishing time. The Vickrey-Clarke-Groves payment rule is adopted to incentivize users to truthfully disclose their true preferences as a weakly dominant strategy. Moreover, the proposed auction is proved to be individually rational and weakly budget balanced through an extensive game-theoretical analysis. We also present a case study to demonstrate its applicability to real-world charging reservation scenarios using the charging network data from Manhattan, New York City.</t>
  </si>
  <si>
    <t>10.3233/JID200007</t>
  </si>
  <si>
    <t>Novoa, L; Brouwer, J</t>
  </si>
  <si>
    <t>Novoa, Laura; Brouwer, Jack</t>
  </si>
  <si>
    <t>Dynamics of an integrated solar photovoltaic and battery storage nanogrid for electric vehicle charging</t>
  </si>
  <si>
    <t>Electric vehicle charging; Microgrid; Solar PV; Battery energy storage; Smart-inverter</t>
  </si>
  <si>
    <t>TO-GRID TECHNOLOGY; RENEWABLE ENERGY; IMPACTS; POWER; RESOURCES; OPERATION; STATION</t>
  </si>
  <si>
    <t>In this paper, the performance of a renewable Solar Photovoltaic (PV) nanogrid - here defined as a small-scale power system, which comprises a single domain for control, reliability, and power quality - is assessed for Electric Vehicle (EV) charging. A nanogrid testbed, containing PV as the power supply, twenty EV charging stations, a Battery Energy Storage System (BESS), and a smart-inverter is connected to a primary feeder on the University of California, Irvine (UCI) Microgrid. We present four different smart-inverter control algorithms that govern battery dispatch for different energy management goals. The control algorithms were evaluated with respect to four figures of merit: (1) Renewable Penetration, (2) Voltage Profiles, (3) Net Power Flows, and (4) PV curtailed. A steady-state power flow model of the nanogrid was developed to study the local power quality. The control algorithms were able to successfully use the battery to shift the nanogrid peak load and also limit the nanogrid demand to a given threshold. It is shown that the nanogrid was able to offset the EV daily charging loads completely. In this same mode, the renewable contribution to EV charging was 80%, and the overall solar penetration (accounting for export and battery charge) was 89%.</t>
  </si>
  <si>
    <t>SEP 30</t>
  </si>
  <si>
    <t>10.1016/j.jpowsour.2018.07.092</t>
  </si>
  <si>
    <t>Piamvilai, N; Sirisumrannukul, S</t>
  </si>
  <si>
    <t>Piamvilai, Nattavit; Sirisumrannukul, Somporn</t>
  </si>
  <si>
    <t>Optimal Scheduling of Movable Electric Vehicle Loads Using Generation of Charging Event Matrices, Queuing Management, and Genetic Algorithm</t>
  </si>
  <si>
    <t>electric vehicle; behavior-based simulation; smart charging; genetic algorithm; demand management</t>
  </si>
  <si>
    <t>OF-THE-ART; DEMAND; ENERGY</t>
  </si>
  <si>
    <t>The extensive adoption of electric vehicles (EVs) can introduce negative impacts on electric infrastructure in the form of sporadic and excessive charging demands, line overload, and voltage quality. Because EV loads can be movable around the system and time-dependent due to human daily activities, it is therefore proposed in this research to investigate the spatial effects of EV loads and their impacts on a power system. We developed a behavior-based charging profile simulation for daily load profiles of uncontrolled and controlled charging simulations. To mitigate the impact of increased peak demand, we proposed an optimal scheduling method by genetic algorithm (GA) using charging event matrices and EV queuing management. The charging event matrices are generated by capturing charging events and serve as an input of the GA-based scheduling, which optimally defines available charging slots while maximizing the system load factor while maintaining user satisfaction, depending on the weight coefficients prioritized by the system operator. The EV queuing management strategically selects EVs to be filled in the available slots based on two qualification indicators: previous charging duration and remaining state of charge (SoC). The proposed methodology was tested on a modified IEEE-14 bus system with 3 generators and 20 transmission lines. The simulation results show that the developed methodology can efficiently manage the peak demand while respecting the system's operational constraints and the user satisfaction level.</t>
  </si>
  <si>
    <t>10.3390/en15103827</t>
  </si>
  <si>
    <t>Yu, Z; Chen, SY; Tong, L</t>
  </si>
  <si>
    <t>Yu, Zhe; Chen, Shiyao; Tong, Lang</t>
  </si>
  <si>
    <t>An Intelligent Energy Management System for Large-Scale Charging of Electric Vehicles</t>
  </si>
  <si>
    <t>CSEE JOURNAL OF POWER AND ENERGY SYSTEMS</t>
  </si>
  <si>
    <t>Charging of electric vehicles; competitive ratio analysis; deadline scheduling; energy management systems</t>
  </si>
  <si>
    <t>QUEUES</t>
  </si>
  <si>
    <t>The problem of large-scale charging of electric vehicles (EVs) with consumer-imposed charging deadlines is considered. An architecture for the intelligent energy management system (iEMS) is introduced. The iEMS consists of an admission control and pricing module, a scheduling module that determines the charging sequence, and a power dispatch module that draws power from a mix of storage, local renewable energy sources, and purchased power from the grid. A threshold admission and greedy scheduling (TAGS) policy is proposed to maximize operation profit. The performance of TAGS is analyzed and evaluated based on average and worst-case performance measures and the optimality of TAGS is established for some instances. Numerical simulations demonstrate that TAGS achieves noticeable performance gains over benchmark techniques.</t>
  </si>
  <si>
    <t>10.17775/CSEEJPES.2016.00008</t>
  </si>
  <si>
    <t>Kim, M; Park, K; Yu, S; Lee, J; Park, Y; Lee, SW; Chung, B</t>
  </si>
  <si>
    <t>Kim, MyeongHyun; Park, KiSung; Yu, SungJin; Lee, JoonYoung; Park, YoungHo; Lee, Sang-Woo; Chung, BoHeung</t>
  </si>
  <si>
    <t>A Secure Charging System for Electric Vehicles Based on Blockchain</t>
  </si>
  <si>
    <t>smart grid; internet-of-things; blockchain; electric vehicle; secure charging system</t>
  </si>
  <si>
    <t>KEY AGREEMENT SCHEME; USER AUTHENTICATION; PROTOCOL; EFFICIENT; NETWORKS; DESIGN</t>
  </si>
  <si>
    <t>Smart grids incorporating internet-of-things are emerging solutions to provide a reliable, sustainable and efficient electricity supply, and electric vehicle drivers can access efficient charging services in the smart grid. However, traditional electric vehicle charging systems are vulnerable to distributed denial of service and privileged insider attacks when the central charging server is attacked. The blockchain-based charging systems have been proposed to resolve these problems. In 2018, Huang et al. proposed the electric vehicle charging system using lightning network and smart contract. However, their system has an inefficient charging mechanism and does not guarantee security of key. We propose a secure charging system for electric vehicles based on blockchain to resolve these security flaws. Our charging system ensures the security of key, secure mutual authentication, anonymity, and perfect forward secrecy, and also provides efficient charging. We demonstrate that our proposed system provides secure mutual authentication using Burrows-Abadi-Needham logic and prevents replay and man-in-the-middle attacks using automated validation of internet security protocols and applications simulation tool. Furthermore, we compare computation and communication costs with previous schemes. Therefore, the proposed charging system efficiently applies to practical charging systems for electric vehicles.</t>
  </si>
  <si>
    <t>10.3390/s19133028</t>
  </si>
  <si>
    <t>Gong, LB; Xiao, CY; Cao, B; Zhou, YL</t>
  </si>
  <si>
    <t>Gong, Lingbing; Xiao, Chunyan; Cao, Bin; Zhou, Yuliang</t>
  </si>
  <si>
    <t>Adaptive Smart Control Method for Electric Vehicle Wireless Charging System</t>
  </si>
  <si>
    <t>electric vehicle; wireless charging; smart control; adaptive voltage regulation; compensation network</t>
  </si>
  <si>
    <t>POWER-TRANSFER; DESIGN; EFFICIENT; BATTERY</t>
  </si>
  <si>
    <t>In order to shorten the wireless charging time of electric vehicles (EVs) and achieve stable charging, an adaptive smart control method for EV wireless charging is proposed in the paper. The method dynamically tracks the rechargeable battery state during the whole charging process, realizes multi-stage charging of constant current (CC) or constant voltage (CV) by switching two kinds of compensation networks of bilateral L3C and L3C-C, and regulates the charging voltage and current to make it as close as possible to the battery charging characteristic curve. This method can be implemented because the voltage source connected to the coupler and the compensation networks of bilateral L3C and L3C-C have the CC and CV source characteristics, respectively. On the basis of the established adaptive smart control system of EV wireless charging, the experiments of wireless data transmission and adaptive smart charging were conducted. The results showed that the designed control system had a response time of less than 200 ms and strong anti-interference ability and it shortened the charging time by about 16% compared with the time using traditional charging methods, thereby achieving a fast, stable, safe, and complete wireless charging process.</t>
  </si>
  <si>
    <t>10.3390/en11102685</t>
  </si>
  <si>
    <t>Zhang, L; Li, YY</t>
  </si>
  <si>
    <t>Zhang, Lei; Li, Yaoyu</t>
  </si>
  <si>
    <t>Optimal Management for Parking-Lot Electric Vehicle Charging by Two-Stage Approximate Dynamic Programming</t>
  </si>
  <si>
    <t>Charging management; demand response; electric vehicle; approximate dynamic programming; smart grid</t>
  </si>
  <si>
    <t>ALGORITHM; DEMAND</t>
  </si>
  <si>
    <t>This paper targets the day-time charging scenario for plug-in electric vehicles at parking-lots near commercial places, where most vehicles have extended parking time. Compared with night-time charge scenarios for residential buildings, commercial building parking-lot charging during day-time feature significant stochastic vehicle arrival and departure, as well as highly dynamic electricity price. A two-stage approximate dynamic programming framework is proposed to determine the optimal charging strategy, utilizing the predicted short-term future information and long-term estimation from historical data. All the vehicles are desired to be charged to full prior to the departure time specified under constrained total charging capacity. The uncharged amount is subject to a significant penalty cost. Simulation scenarios are created by modeling the vehicle arrival behavior as Poisson process, including arrival time, departure time, and arrival state of charge. The simulation results show that the proposed method can significantly decrease the energy cost.</t>
  </si>
  <si>
    <t>10.1109/TSG.2015.2505298</t>
  </si>
  <si>
    <t>Lee, ZJ; Lee, G; Lee, T; Jin, C; Lee, R; Low, Z; Chang, D; Ortega, C; Low, SH</t>
  </si>
  <si>
    <t>Lee, Zachary J.; Lee, George; Lee, Ted; Jin, Cheng; Lee, Rand; Low, Zhi; Chang, Daniel; Ortega, Christine; Low, Steven H.</t>
  </si>
  <si>
    <t>Adaptive Charging Networks: A Framework for Smart Electric Vehicle Charging</t>
  </si>
  <si>
    <t>Vehicles; Electric vehicle charging; Sensor systems; Prediction algorithms; Intelligent sensors; Information systems; Voltage measurement; Electric vehicles (EVs); cyber-physical systems; distributed energy resources; model predictive control; smart charging</t>
  </si>
  <si>
    <t>We describe the architecture and algorithms of the Adaptive Charging Network (ACN), which was first deployed on the Caltech campus in early 2016 and is currently operating at over 100 other sites in the United States. The architecture enables real-time monitoring and control and supports electric vehicle (EV) charging at scale. The ACN adopts a flexible Adaptive Scheduling Algorithm based on convex optimization and model predictive control and allows for significant over-subscription of electrical infrastructure. We describe some of the practical challenges in real-world charging systems, including unbalanced three-phase infrastructure, non-ideal battery charging behavior, and quantized control signals. We demonstrate how the Adaptive Scheduling Algorithm handles these challenges, and compare its performance against baseline algorithms from the deadline scheduling literature using real workloads recorded from the Caltech ACN and accurate system models. We find that in these realistic settings, our scheduling algorithm can improve operator profit by 3.4 times over uncontrolled charging and consistently outperforms baseline algorithms when delivering energy in highly congested systems.</t>
  </si>
  <si>
    <t>10.1109/TSG.2021.3074437</t>
  </si>
  <si>
    <t>Lee, HJ; Cha, HJ; Won, D</t>
  </si>
  <si>
    <t>Lee, Hyung-Joo; Cha, Hee-Jun; Won, Dongjun</t>
  </si>
  <si>
    <t>Economic Routing of Electric Vehicles using Dynamic Pricing in Consideration of System Voltage</t>
  </si>
  <si>
    <t>electric vehicles; optimal scheduling; cost benefit analysis; charging stations; shortest path problem</t>
  </si>
  <si>
    <t>There is a growing market for electric vehicles (EVs) in recent years. Due to this, many studies on electric vehicles are in progress and research on charging operations for EVs are especially active. Recent research trends on electric vehicle routes rely on the stochastic modelling of various factors such as convenience of a user's point of view, charging station (CS), location, destination, and so on. In this paper, a charging control scheme for electric vehicles is proposed from the point of view of the system operators rather than the user. From a user's point of view, the EV route can be set up directly, but it is difficult for the system operator to directly participate in the route of the EV. In this paper, a method is proposed to indirectly change the route of the EV by changing the charging cost through real-time dynamic pricing, in order to prevent risks in the system operation due to voltage fluctuations in the system. With dynamic pricing, the voltage of the system is kept within a stable range, and the EV user sets the route with an economic benefit. The proposed scheme is verified through Dijkstra's algorithm and a control strategy via a simulation model using MATLAB.</t>
  </si>
  <si>
    <t>10.3390/app9204337</t>
  </si>
  <si>
    <t>Brinkel, N; AlSkaif, T; van Sark, W</t>
  </si>
  <si>
    <t>Brinkel, Nico; AlSkaif, Tarek; van Sark, Wilfried</t>
  </si>
  <si>
    <t>Grid congestion mitigation in the era of shared electric vehicles</t>
  </si>
  <si>
    <t>JOURNAL OF ENERGY STORAGE</t>
  </si>
  <si>
    <t>Car sharing; Electric vehicle; Smart charging; Grid congestion; Low voltage grid</t>
  </si>
  <si>
    <t>CAR; ACCEPTANCE</t>
  </si>
  <si>
    <t>Rapid integration of photovoltaic systems and electric vehicles in low-voltage grids increasingly causes grid congestion. To avoid costly grid reinforcements, distribution system operators are looking into applying electric vehicle smart charging algorithms to shift part of the load to off-peak hours. However, multiple barriers hamper the large-scale implementation of smart charging. These barriers can be alleviated when using electric vehicles in car sharing schemes for smart charging. Shared electric vehicles make up an increasing share of the car fleet and using these vehicles for smart charging exhibits different advantages over using private vehicles, including better predictable departure times and higher acceptance for smart charging. This study proposes a system for grid congestion mitigation using only shared electric vehicles and assesses this system's technoeconomic potential. Results affirm that grid congestion problems can be fully mitigated in most grids using shared electric vehicles at relatively low car sharing adoption rates. Also, the costs increase of using this system is negligible compared to a system with combined grid congestion mitigation of privately-owned and shared EVs.</t>
  </si>
  <si>
    <t>10.1016/j.est.2021.103806</t>
  </si>
  <si>
    <t>Bertolini, A; Martins, MSE; Vieira, SM; Sousa, JMC</t>
  </si>
  <si>
    <t>Bertolini, Andrea; Martins, Miguel S. E.; Vieira, Susana M.; Sousa, Joao M. C.</t>
  </si>
  <si>
    <t>Power output optimization of electric vehicles smart charging hubs using deep reinforcement learning</t>
  </si>
  <si>
    <t>EXPERT SYSTEMS WITH APPLICATIONS</t>
  </si>
  <si>
    <t>Reinforcement learning; Electric vehicles; Real-time charging scheduling; Neural network; Clustering algorithm</t>
  </si>
  <si>
    <t>Since most branches of the distribution grid may already be close to their maximum capacity, smart management when charging electric vehicles (EVs) is becoming more and more crucial. In fact, office buildings might not be able to handle several transactions at the same time, especially considering the next generation of fast chargers which are very power expensive. Thus, an efficient charging policy needs to be found. This paper proposes the scheduling of real-time EVs charging through deep reinforcement learning (DRL) techniques. DRL has been chosen because it can adaptively learn from interacting with the surrounding environment. The focus of the optimization is to ensure the completion of the charging transactions in a timely manner, while shifting the load from the times of peak demand. The novelty of the proposed approach lies in its innovative framework: pools of electric vehicles with different characteristics are categorized using a clustering algorithm, a tree-based classifier has been developed to sort new instances of EVs, and a multilayer perceptron artificial deep neural network has been trained to predict the expected duration of each charging session. These features are used as inputs to the DRL agent, and are mapped into actions that adjust the maximum power associated to each charging station. The model has been compared to a traditional charging algorithm and increasingly challenging scenarios have been considered. Results have shown that the developed algorithm fails less than the baseline, with a reduction of the load due to EVs charging of 80% during peak times.</t>
  </si>
  <si>
    <t>10.1016/j.eswa.2022.116995</t>
  </si>
  <si>
    <t>Alinejad, M; Rezaei, O; Kazemi, A; Bagheri, S</t>
  </si>
  <si>
    <t>Alinejad, Mahyar; Rezaei, Omid; Kazemi, Ahad; Bagheri, Saeed</t>
  </si>
  <si>
    <t>An Optimal Management for Charging and Discharging of Electric Vehicles in an Intelligent Parking Lot Considering Vehicle Owner's Random Behaviors</t>
  </si>
  <si>
    <t>Electric Vehicles; Intelligent Parking Lot; Charging and Discharging; Optimal Scheduling; Random Behaviors</t>
  </si>
  <si>
    <t>MODEL; LOAD</t>
  </si>
  <si>
    <t>Because of missing the stochastic behaviors and decisions of the electric vehicle (EV) owners during the defi-nition of the structure of energy management for charging/discharging of EVs There has always been a flaw in their schedule. These random behaviors affect the exchanged information between EV owners and the infor-mation center of the parking lot such as arrival and departure time, initial and final State of Charge (SOC) of EV, battery capacity, and demand hourly charge rate. Considering these stochastic behaviors of EV owners in operational scheduling in intelligent parking lots (IPLs) is the main goal of this article. Firstly by defining the random behavior of EV owners and other real situations, the modeling of the charging and discharging plan for electric vehicles with the aim of maximizing parking profit and minimizing costs for EV owners is presented. Then by determining penalties for faulty EV owners and the initial entrance fee for all vehicles, and also considering flexibility when defining the fines, a complete structure of energy management for EVs in IPLs is presented. These fines are such that, the smart money for EVs that cannot achieve their rights for charging, is paid by the penalties for faulty EV owners, and also make some profits for the IPLs. The effectiveness of the proposed method is validated during three different scenarios in the simulation, and the results show the good performance of this enhanced strategy for the management of EVs.</t>
  </si>
  <si>
    <t>10.1016/j.est.2021.102245</t>
  </si>
  <si>
    <t>Tang, XY; Bi, SZ; Zhang, YJA</t>
  </si>
  <si>
    <t>Tang, Xiaoying; Bi, Suzhi; Zhang, Ying-Jun Angela</t>
  </si>
  <si>
    <t>Distributed Routing and Charging Scheduling Optimization for Internet of Electric Vehicles</t>
  </si>
  <si>
    <t>Charging scheduling; distributed algorithm; electric vehicles (EVs); Internet of Things (IoT); routing</t>
  </si>
  <si>
    <t>In this paper, we consider an Internet of Electric Vehicles (IoEV) powered by heterogeneous charging facilities in the transportation network. In particular, we take into account the state-of-the-art vehicle-to-grid (V2G) charging and renewable power generation technologies implemented in the charging stations, such that the charging stations differ from each other in their energy capacities, electricity prices, and service types (i.e., with or without V2G capability). In this case, each electric vehicle (EV) user needs to decide which path to take (i.e., the routing problem) and where and how much to charge/discharge its battery at the charging stations in the chosen path (i.e., the charging scheduling problem) such that its journey can be accomplished with the minimum monetary cost and time delay. From the system operator's perspective, we formulate a joint routing and charging scheduling optimization problem for an IoEV network, and show that the problem is NP-hard in general. To tackle the NP-hardness, we propose an approximate algorithm that can achieve affordable computational complexity in large-size IoEV networks. The proposed algorithm allows the routing and charging solution to be calculated in a distributed manner by the system operator and EV users, which can effectively reduce the computational complexity at the system operator and protect the EV users' privacy and autonomy. Besides, a proximal method is introduced to improve the convergence rate of the proposed algorithm. Extensive simulations using real world data show that the proposed distributed algorithm can achieve near-optimal performance with relatively low computational complexity in different system set-ups.</t>
  </si>
  <si>
    <t>10.1109/JIOT.2018.2876004</t>
  </si>
  <si>
    <t>Radu, AT; Eremia, M; Toma, L</t>
  </si>
  <si>
    <t>Radu, Adrian-Toni; Eremia, Mircea; Toma, Lucian</t>
  </si>
  <si>
    <t>USE OF BATTERY STORAGE SYSTEMS IN EV ULTRA-FAST CHARGING STATIONS FOR LOAD SPIKES MITIGATION</t>
  </si>
  <si>
    <t>UNIVERSITY POLITEHNICA OF BUCHAREST SCIENTIFIC BULLETIN SERIES C-ELECTRICAL ENGINEERING AND COMPUTER SCIENCE</t>
  </si>
  <si>
    <t>Electric vehicle; ultra-fast charging stations; storage; demand response; smart grids</t>
  </si>
  <si>
    <t>In this paper, we propose a hybrid system consisting of ultra-fast electric vehicle charging stations and battery energy storage systems to improve the operation of the actual electrical network as an energy management strategy to support the integration of EVs ultra-fast charging stations and also for load spikes mitigation. The proposed control approach allows flexible EV users and battery energy storage systems to participate in demand response programs, which may play a crucial role in improving stability and efficiency of future smart grids.</t>
  </si>
  <si>
    <t>Panichtanakom, S; Chalermyanont, K</t>
  </si>
  <si>
    <t>Panichtanakom, Supipat; Chalermyanont, Kusumal</t>
  </si>
  <si>
    <t>Electric Energy Management for Plug-in Electric Vehicles Charging in the Distribution System by a dual cascade scheduling algorithm</t>
  </si>
  <si>
    <t>INTERNATIONAL JOURNAL OF ELECTRICAL AND COMPUTER ENGINEERING SYSTEMS</t>
  </si>
  <si>
    <t>Electric energy management; Plug-in electric vehicles charging; Dual cascade scheduling algorithm</t>
  </si>
  <si>
    <t>MINIMIZE POWER LOSSES; IMPACT</t>
  </si>
  <si>
    <t>This paper presents an algorithm for plug-in electric vehicles (PEVs) charging in the three-phase distribution system for residential houses. It aims to prevent violent voltage level deviation and increasing losses on the three-phase distribution system due to uncontrolled charging and allocate power to each plug-in electric vehicle. The algorithm is comprised of two processes. The first process is power limitation and limited power of load imbalance by if-else rules, while the second process is power allocation to each PEV by the dual cascade scheduling algorithm which is the integration of tasking scheduling algorithms. A 100 kVA distribution transformer and 30 houses are defined in the simulation situation. Also, the available PEVs in single-phase, two-phase, and three-phase systems are assigned for verification of the proposed algorithm. Root-mean-square deviation (RMSD) referred to the satisfaction of PEV owners, total PEVs charged energy, and the average percentage of achieved charging time, as the result indicators. The results show the proposed algorithm can provide good results without rejected PEVs charging. Furthermore, this paper also displays the analysis of voltage level, percentage of voltage unbalance factor, and loss in the distribution system. In the future, coordination with home appliances to gain a high load margin or electric energy cost control will be improved in the proposed algorithm.</t>
  </si>
  <si>
    <t>Luo, YG; Feng, GX; Wan, S; Zhang, SW; Li, V; Kong, WW</t>
  </si>
  <si>
    <t>Luo, Yugong; Feng, Guixuan; Wan, Shuang; Zhang, Shuwei; Li, Victor; Kong, Weiwei</t>
  </si>
  <si>
    <t>Charging scheduling strategy for different electric vehicles with optimization for convenience of drivers, performance of transport system and distribution network</t>
  </si>
  <si>
    <t>Electric vehicles; Scheduling strategy; Multi-object optimization; The transport system; Charging convenience</t>
  </si>
  <si>
    <t>CONSUMPTION; BEHAVIOR; IMPACTS</t>
  </si>
  <si>
    <t>With the popularization of electric vehicles, large-scale electric vehicle charging may negatively impact drivers, the power grid, and traffic conditions. Currently, research conducted on the charging and battery swap of electric vehicles is insufficient. The objective for optimization and the type of electric vehicle proposed by other papers are limited in scope. In order to achieve an overall optimization of the whole system, the driver demands, the road traffic speed, the number of vehicles in the charging station and the charging network load are considered in the development of the charging scheduling strategy for electric vehicles. Such a strategy can further enhance driver convenience in terms of making decisions for charging and battery swap of electric vehicles. Moreover, different types of electric vehicles are taken into account for a more practical proposed scheduling strategy. Utilizing MATLAB and MATPOWER, a simulation platform is established to validate the strategy. Simulation results demonstrate that the proposed scheduling strategy can relieve local traffic jams, smooth network load curve, increase safety and economy of the power network, and decrease the number of charging electric vehicles in station. Ultimately, this plan can simultaneously reduce waiting time of charging and increase the operational efficiency of charging stations. (C) 2019 Elsevier Ltd. All rights reserved.</t>
  </si>
  <si>
    <t>10.1016/j.energy.2019.116807</t>
  </si>
  <si>
    <t>Habib, S; Kamran, M; Rashid, U</t>
  </si>
  <si>
    <t>Habib, Salman; Kamran, Muhammad; Rashid, Umar</t>
  </si>
  <si>
    <t>Impact analysis of vehicle-to-grid technology and charging strategies of electric vehicles on distribution networks - A review</t>
  </si>
  <si>
    <t>Distribution networks (DNs); Electric vehicles (EVs); Vehicle-to-grid (V2G); System reliability; Ancillary services; Coordinated and un-coordinated charging</t>
  </si>
  <si>
    <t>RENEWABLE ENERGY; DRIVE VEHICLES; POWER; DEMAND; BENEFITS; INTEGRATION; COST</t>
  </si>
  <si>
    <t>This paper presents a detailed review of a vehicle-to-grid (V2G) technology, in conjunction with various charging strategies of electric vehicles (EVs), and analyzes their impacts on power distribution networks. It is shown in this study that a vehicle, equipped with the ability of a V2G application, offers various features such as regulation of active power, support for reactive power, load balancing, current harmonics filtering etc. However, the technology of V2G also creates challenging issues, for instance, degradation of batteries, communication overhead between an EV and a grid, changes in whole infrastructure of a distribution network. In particular, the impacts of the EVs that are based on their penetration levels and charging profiles are discussed in detail. Moreover, an extensive analysis is also presented on coordinated/un-coordinated charging, delayed charging, off-peak charging and intelligent scheduling in a distribution network (DN). Our study also shows that the economic benefits of a V2G technology heavily depend on the strategies of charging and vehicle aggregation. (C) 2014 Elsevier B.V. All rights reserved.</t>
  </si>
  <si>
    <t>10.1016/j.jpowsour.2014.12.020</t>
  </si>
  <si>
    <t>Gonzalez-Garrido, A; Thingvad, A; Gaztanaga, H; Marinelli, M</t>
  </si>
  <si>
    <t>Gonzalez-Garrido, Amaia; Thingvad, Andreas; Gaztanaga, Haizea; Marinelli, Mattia</t>
  </si>
  <si>
    <t>Full-scale electric vehicles penetration in the Danish Island of Bornholm-Optimal scheduling and battery degradation under driving constraints</t>
  </si>
  <si>
    <t>Battery degradation; Electric vehicles; Optimization; Smart charging; User behavior; Vehicle-to-grid</t>
  </si>
  <si>
    <t>The paper proposes an analysis of a 100% electric vehicle (EV) scenario on the energy system of the island of Bornholm in Denmark. The paper intends to present challenges and opportunities that a realistic system would face when completely shifting to electric transportation. The EVs are subject to different charging strategies in order to assess the impact on the grid, the potential savings on the charging cost and the effects on battery degradation. In contrast to uncontrolled charging, smart charging strategies are designed not only to satisfy the same charging requirements at the EV departure time, but also maximize the savings on the charging cost and avoid interconnection congestions. Smart strategies bring a reduction in annual charging cost around 12%, on top of a reduction in the degradation because of lower average SOC and number of cycles. Moreover, results show a limited benefit in bidirectional charging because of a marginal increase in savings: this more demanding operation, which allows discharges, leads to higher battery degradation, due to the increase in the number of cycles.</t>
  </si>
  <si>
    <t>10.1016/j.est.2019.03.025</t>
  </si>
  <si>
    <t>Hao, LL; Xu, YJ; Tong, L</t>
  </si>
  <si>
    <t>Hao, Liangliang; Xu, Yunjian; Tong, Lang</t>
  </si>
  <si>
    <t>Asymptotically Optimal Lagrangian Priority Policy for Deadline Scheduling With Processing Rate Limits</t>
  </si>
  <si>
    <t>IEEE TRANSACTIONS ON AUTOMATIC CONTROL</t>
  </si>
  <si>
    <t>Program processors; Processor scheduling; Indexes; Dynamic scheduling; Process control; Electric vehicle charging; Time-varying systems; Deadline scheduling; dynamic programming; electric vehicle (EV) charging; index policy; restless multiarmed bandit (RMAB)</t>
  </si>
  <si>
    <t>INDEX POLICIES; ELECTRIC VEHICLES; ALLOCATION; BOUNDS; BANDIT</t>
  </si>
  <si>
    <t>We study the deadline scheduling problem for multiple deferrable jobs that arrive in a random manner and are to be processed before individual deadlines. The processing of the jobs is subject to a time-varying limit on the total processing rate at each stage. We formulate the scheduling problem as a restless multiarmed bandit problem. Relaxing the scheduling problem into multiple independent single-arm scheduling problems, we define the Lagrangian priority value as the greatest tax under which it is optimal to activate the arm. We propose a Lagrangian priority policy that processes jobs in the order of their Lagrangian priority values, and establish its asymptotic optimality as the system scales. Numerical results show that the proposed Lagrangian priority policy achieves 22%-49% higher average reward than the classical Whittle index policy (that does not take into account the processing rate limits).</t>
  </si>
  <si>
    <t>10.1109/TAC.2021.3049340</t>
  </si>
  <si>
    <t>Chang, S; Niu, YG; Jia, TG</t>
  </si>
  <si>
    <t>Chang, Shuo; Niu, Yugang; Jia, Tinggang</t>
  </si>
  <si>
    <t>Coordinate scheduling of electric vehicles in charging stations supported by microgrids</t>
  </si>
  <si>
    <t>renewable energy sources; electric vehicles; microgrid; charging station; coordinate scheduling; access mechanism</t>
  </si>
  <si>
    <t>RENEWABLE ENERGY-SOURCES</t>
  </si>
  <si>
    <t>When both the renewable energy sources (RES) generation and utilization occur simultaneously, energy storage costs can be reduced, and voltage oscillation and system instability caused by RES grid connection can be reduced. Therefore, this paper constructs a microgrid model that includes EVs, defines the charge and discharge capacity (CDC) of EVs, and uses the flexibility and dispatchability of EVs to overcome the intermittency and volatility of RES. By using the Monte Carlo method, this paper establish an EV driving model and proposes a twostage process, that is, the first-stage is EV admission mechanism (EAM) and the second-stage is EV scheduling mechanism (ESM), to adapt to the uncertainty of RES, and maximize energy utilization and EV users satisfaction (Charging success rate). Through comparison with natural charging (NC) strategy, it is shown that the proposed two-stage process effectively overcomes the intermittency and volatility of RES and enables the stable operation of EVs in charging stations(CSs) supported by microgrids.</t>
  </si>
  <si>
    <t>10.1016/j.epsr.2021.107418</t>
  </si>
  <si>
    <t>Zhang, SY; Yu, JJQ</t>
  </si>
  <si>
    <t>Zhang, Shiyao; Yu, James J. Q.</t>
  </si>
  <si>
    <t>Electric Vehicle Dynamic Wireless Charging System: Optimal Placement and Vehicle-to-Grid Scheduling</t>
  </si>
  <si>
    <t>Inductive charging; Vehicle dynamics; Vehicle-to-grid; Roads; Dynamic scheduling; Smart cities; Batteries; Ancillary service; dynamic wireless charging; electric vehicles (EVs); vehicle-to-grid (V2G) scheduling</t>
  </si>
  <si>
    <t>INDUCTIVE POWER TRANSFER; FORMULATION; DESIGN</t>
  </si>
  <si>
    <t>Electric vehicle (EV) dynamic wireless charging system has become an emerging application in the area of the intelligent transportation system (ITS). However, an integrated design of the EV dynamic wireless charging system requires the considerations of both the economical and technical perspectives of a smart city. Specifically, most of the existing researches unilaterally consider the application of either placement strategy for power tracks (PTs) or dynamic vehicle-to-grid (V2G) scheduling. In this article, we propose a multistage system framework to account for an integrated EV dynamic wireless charging system in a smart city. First of all, an optimal placement strategy for PTs is developed based on city traffic information and EV energy demand. Then, having the optimal locations of PTs through the previous stage approach, the proposed dynamic V2G scheduling scheme is formulated to coordinate the schedules of EVs with the provision of daytime V2G ancillary services. Our simulation results present that the proposed multistage system model achieves improvements on both the placement strategy and V2G scheduling scheme. In addition, relatively low economic system costs can be obtained through our proposed model.</t>
  </si>
  <si>
    <t>10.1109/JIOT.2021.3109956</t>
  </si>
  <si>
    <t>Ding, F; Mousavi, MJ</t>
  </si>
  <si>
    <t>Ding, Fei; Mousavi, Mirrasoul J.</t>
  </si>
  <si>
    <t>On Per-Phase Topology Control and Switching in Emerging Distribution Systems</t>
  </si>
  <si>
    <t>IEEE TRANSACTIONS ON POWER DELIVERY</t>
  </si>
  <si>
    <t>Voltage unbalance; topology control; load switching; network reconfiguration; electric vehicles; smart charging</t>
  </si>
  <si>
    <t>NETWORK RECONFIGURATION; ELECTRIC VEHICLES; LOSS REDUCTION; OPTIMIZATION; MANAGEMENT; DEMAND</t>
  </si>
  <si>
    <t>This paper presents a new concept and approach for topology control and switching in distribution systems by extending the traditional circuit switching to laterals and single-phase loads. Voltage unbalance and other key performance indicators including voltage magnitudes, line loading, and energy losses are used to characterize and demonstrate the technical value of optimizing system topology on a per-phase basis in response to feeder conditions. The near-optimal per-phase topology control is defined as a series of hierarchical optimization problems. The proposed approach is applied to IEEE 13-bus and 123-bus test systems for demonstration, which included the impact of integrating electric vehicles (EVs) in the test circuit. It is concluded that the proposed approach can be effectively leveraged to improve voltage profiles with electric vehicles, the extent of which depends on the performance of the base case without EVs.</t>
  </si>
  <si>
    <t>10.1109/TPWRD.2018.2834416</t>
  </si>
  <si>
    <t>Zhang, TY; Chen, X; Wu, B; Dedeoglu, M; Zhang, JS; Trajkovic, L</t>
  </si>
  <si>
    <t>Zhang, Tianyang; Chen, Xi; Wu, Bin; Dedeoglu, Mehmet; Zhang, Junshan; Trajkovic, Ljiljana</t>
  </si>
  <si>
    <t>Stochastic Modeling and Analysis of Public Electric Vehicle Fleet Charging Station Operations</t>
  </si>
  <si>
    <t>Public transportation; Batteries; Stochastic processes; State of charge; Roads; Electric vehicle charging; Urban areas; Electric vehicle; electric vehicle supply equipment; EV charging networks; public transit; smart grids</t>
  </si>
  <si>
    <t>LOAD</t>
  </si>
  <si>
    <t>The electric vehicle (EV) fleet is gradually growing into a major part of public transportation. Proper planning and operation of EV supply equipment (EVSE) is essential to ensure the efficient and economic operations of the EV fleets. Charging stations (CS) have gained market attention due to their lower cost and versatility. Battery swapping stations (BSS) have also received considerable attention because of their promise to provide fast and sustainable battery replacements. However, their commercial viability is unclear due to their requirement for large capital and infrastructure deployment. In this paper, we develop a stochastic model for interactions between CS/BSS and taxi/bus fleets. The model is based on a realistic abstraction of users' behavior defined by various stochastic processes. It also considers the dynamic impacts of the road congestion. Analytical revenue boundaries are derived and verified by simulations. These simulation results may prove valuable for future studies of public transit.</t>
  </si>
  <si>
    <t>10.1109/TITS.2021.3099825</t>
  </si>
  <si>
    <t>AUG 2021</t>
  </si>
  <si>
    <t>Nunes, P; Farias, T; Brito, MC</t>
  </si>
  <si>
    <t>Nunes, Pedro; Farias, Tiago; Brito, Miguel C.</t>
  </si>
  <si>
    <t>Enabling solar electricity with electric vehicles smart charging</t>
  </si>
  <si>
    <t>Electric vehicles; Solar photovoltaic; EnergyPLAN; EV smart charging; Energy scenarios; Energy system</t>
  </si>
  <si>
    <t>RENEWABLE ENERGY-SOURCES; LITHIUM-ION BATTERIES; DISTRIBUTION NETWORKS; POWER; PHOTOVOLTAICS; INTEGRATION; STRATEGIES; IMPACTS; BUS; PV</t>
  </si>
  <si>
    <t>It has been shown that a long term sustainable energy system based on a high penetration of solar photovoltaics requires massive deployment of day charging electric vehicles to make use of the excess solar electricity generation at sun peak hours. In this paper the synergy between these technologies is further explored, determining the minimum penetration levels that allow fulfilling the climate and energy targets. Simulations for a case study of Portugal in 2050 using an electric vehicles smart charging approach show that a 100% renewable energy based electricity supply is possible with certain photovoltaics and electric vehicles combinations and that the environmental targets to reduce carbon dioxide emissions are just reachable with significant electric vehicles market share. The notion that vehicle charging will have to take place during working hours to maximize petroleum displacement is reinforced. (C) 2015 Elsevier Ltd. All rights reserved.</t>
  </si>
  <si>
    <t>10.1016/j.energy.2015.04.044</t>
  </si>
  <si>
    <t>Nunes, P; Figueiredo, R; Brito, MC</t>
  </si>
  <si>
    <t>Nunes, Pedro; Figueiredo, Raquel; Brito, Miguel C.</t>
  </si>
  <si>
    <t>The use of parking lots to solar-charge electric vehicles</t>
  </si>
  <si>
    <t>Solar energy; Electric vehicles; Car parking lots; Photovoltaics; Smart charging; Sustainable mobility</t>
  </si>
  <si>
    <t>PLUG-IN HYBRID; OPTIMIZATION TECHNIQUES; ENVIRONMENTAL IMPACTS; PHOTOVOLTAIC SYSTEM; SUSTAINABLE ENERGY; PV; INFRASTRUCTURE; TECHNOLOGIES; INTEGRATION; STATION</t>
  </si>
  <si>
    <t>The concept of solar parking lots aims at coupling the development of clean solar electricity and electric mobility. Solar panels provide shade and generate electricity to charge parked electric vehicles. In a vehicle-to-grid approach, the vehicles may also feed the grid and support it with ancillary services. In this paper, we explore the potential of this solution, starting with a concise overview discussing the technical, environmental and financial issues constraining the development of solar parking lots. A comprehensive review of the literature follows, and finally open issues and prospects for future work are identified. It is intended that this paper may serve as a standalone summary of the most important work on this topic to date. (C) 2016 Elsevier Ltd. All rights reserved.</t>
  </si>
  <si>
    <t>10.1016/j.rser.2016.08.015</t>
  </si>
  <si>
    <t>Lin, QL; Yi, HL; Chen, MH</t>
  </si>
  <si>
    <t>Lin, Qiulin; Yi, Hanling; Chen, Minghua</t>
  </si>
  <si>
    <t>Minimizing Cost-Plus-Dissatisfaction in Online EV Charging Under Real-Time Pricing</t>
  </si>
  <si>
    <t>Real-time systems; Pricing; Electric vehicle charging; Costs; Demand response; Renewable energy sources; Trajectory; Electric vehicles (EVs); online optimization; real-time pricing; scheduling algorithms</t>
  </si>
  <si>
    <t>ELECTRIC VEHICLES; DEMAND RESPONSE; COORDINATION; ALGORITHM; MECHANISM</t>
  </si>
  <si>
    <t>We consider an increasingly popular demand-response scenario where a home user schedules the flexible electric vehicle (EV) charging load in response to real-time electricity prices. The objective is to minimize the total charging cost with user dissatisfaction taken into account. We focus on the online setting where neither accurate prediction nor distribution of future real-time prices is available to the user when making irrevocable charging decisions in each time slot. The emphasis on considering user dissatisfaction and achieving optimal competitive ratio differentiates our work from existing ones and makes our study uniquely challenging. Our key contribution is two simple online algorithms with the optimal competitive ratio among all deterministic algorithms. The optimal competitive ratio is upper-bounded by $min{root{alpha/p_{min}},p_{max}/p_{min}} $ and the bound is asymptotically tight with respect to alpha, where $p_{max}$ and $p_{min}$ are the upper and lower bounds of real-time prices and $alpha &gt;= p_{min}$ captures the consideration of user dissatisfaction. The bounds with respect to small and large values of alpha suggest the fundamental difference of the problems with and without considering user dissatisfaction. revFWe also extend the algorithms to take minimum charging requirement and short-term prediction into account. Simulation results based on real-world traces corroborate our theoretical findings and show that the empirical performance of our algorithms can be substantially better than the theoretical worst-case guarantees. Our algorithms also achieve notable performance gains under diverse settings as compared to conceivable alternatives.</t>
  </si>
  <si>
    <t>10.1109/TITS.2021.3114537</t>
  </si>
  <si>
    <t>Kabir, ME; Assi, C; Tushar, MHK; Yan, J</t>
  </si>
  <si>
    <t>Kabir, Mohammad Ekramul; Assi, Chadi; Tushar, Mosaddek Hossain Kamal; Yan, Jun</t>
  </si>
  <si>
    <t>Optimal Scheduling of EV Charging at a Solar Power-Based Charging Station</t>
  </si>
  <si>
    <t>IEEE SYSTEMS JOURNAL</t>
  </si>
  <si>
    <t>Games; Solar radiation; Electric vehicle charging; Uncertainty; Scheduling; Optimal scheduling; Electric vehicle; game theory; integer linear programming; pricing function; renewable energy</t>
  </si>
  <si>
    <t>ELECTRIC VEHICLE; COORDINATION; ENERGY; STRATEGY; MODEL</t>
  </si>
  <si>
    <t>The transition to electric vehicles (EVs) has prodigious plausibility in reducing green house gas (GHG). But EVs acceptance is, however, hindered by several challenges; among them is their avidity for quicker charging at lower price. This article considers a photovoltaic (PV)-powered station equipped with an energy storage system (ESS), which is assumed to be capable of assigning variable charging rates to different EVs to fulfill their demands inside their declared deadlines at minimum price. To ensure fairness, a charging rate-dependent pricing mechanism is proposed to assure a higher price for enjoying a higher charging rate. The PV generation profile and future load request are forecasted at each time slot, to handle the respective uncertainty. An integer linear programming (ILP)-based centralized system is first proposed to minimize the charging price per EV. Due to the larger computational time, we subsequently present two game theoretic algorithms, i.e., game 1 and game 2. In game 1, players are oblivious of upcoming charging requests, whereas in game 2, players consider the future anticipated load to select their charging strategies. The games are shown to converge to a Nash equilibrium. The average unit price of game 2 is shown to be the same as the one of the optimal solution and takes considerably less computation time than the centralized method.</t>
  </si>
  <si>
    <t>SEPT</t>
  </si>
  <si>
    <t>10.1109/JSYST.2020.2968270</t>
  </si>
  <si>
    <t>Theodoropoulos, TV; Damousis, IG; Amditis, AJ</t>
  </si>
  <si>
    <t>Theodoropoulos, Theodoros V.; Damousis, Ioannis G.; Amditis, Angelos J.</t>
  </si>
  <si>
    <t>Demand-Side Management ICT for Dynamic Wireless EV Charging</t>
  </si>
  <si>
    <t>Demand-side management (DSM); dynamic EV charging; electric vehicle (EV); smart grid; wireless EV charging</t>
  </si>
  <si>
    <t>Dynamic wireless charging of electric vehicles (EVs) aims at increasing EV range and reducing battery size and associated costs. Moreover, it minimizes the need for recharging stops, thus increasing travel comfort. As electrification of transport ultimately targets CO2 emissions reduction, increased utilization of renewable energy sources is likely to provide the means for reaching the decarbonization objectives. Demand-side management (DSM) enables the increased penetration of intermittent power sources by providing techniques that ensure grid stability. While complete frameworks for DSM deployment in static charging have been designed, these approaches must be re-evaluated with focus on the operational requirements for dynamic EV charging. In this paper, a review of DSM methods targeting static charging is made and one particular case of DSM is simulated in a dynamic charging environment in order to reveal critical aspects towards deployment.</t>
  </si>
  <si>
    <t>10.1109/TIE.2016.2570198</t>
  </si>
  <si>
    <t>Weckx, S; Driesen, J</t>
  </si>
  <si>
    <t>Weckx, Sam; Driesen, Johan</t>
  </si>
  <si>
    <t>Load Balancing With EV Chargers and PV Inverters in Unbalanced Distribution Grids</t>
  </si>
  <si>
    <t>Coordinated charging; distributed generation; electric vehicles (EVs); load balancing; power quality; valley-filling; voltage control</t>
  </si>
  <si>
    <t>REACTIVE POWER-CONTROL; PLUG-IN HYBRID; ELECTRIC VEHICLES; INTEGRATION; IMPACT; NETWORKS; FEEDERS; SYSTEMS; STORAGE</t>
  </si>
  <si>
    <t>Balanced three-phase four-wire distribution grids can host significantly more distributed generation and electric vehicles. Three-phase photovoltaic (PV) inverters and electric vehicle (EV) chargers can be adapted to transfer power from highly loaded to less loaded phases, without overloading the inverter or charger. Grid conditions will be improved due to a more balanced operation of the network and more PV panels and EVs can be connected before the limits of the network are reached. A classic coordinated charging strategy for EVs is adapted in this paper. It is shown that the charging of EVs can be improved when power can be transferred from one phase to another. Using PV inverters with a balancing inverter, the power injected in each phase will become a controllable variable as the total amount of produced power does not necessarily need to be equally divided across the three phases. The improvements made by using EV chargers and PV inverters that can balance the network are investigated. Several load flow simulations with realistic data show a positive effect on the system losses, the grid voltage, and voltage unbalance. Finally, a local controller is proposed to control the balancing between the phases when a real-time communication channel is not available.</t>
  </si>
  <si>
    <t>10.1109/TSTE.2015.2402834</t>
  </si>
  <si>
    <t>Fetene, GM; Kaplan, S; Sebald, AC; Prato, CG</t>
  </si>
  <si>
    <t>Fetene, Gebeyehu Manie; Kaplan, Sigal; Sebald, Alexander Christopher; Prato, Carlo Giacomo</t>
  </si>
  <si>
    <t>Myopic loss aversion in the response of electric vehicle owners to the scheduling and pricing of vehicle charging</t>
  </si>
  <si>
    <t>Electric vehicles; Charging decisions; Smart grid charging; Utility maximization; Myopic loss aversion; Ultimatum two-player game</t>
  </si>
  <si>
    <t>PLUG-IN HYBRID; EVALUATION PERIODS; RISK-TAKING; INFORMATION; BEHAVIOR; DEMAND; PREFERENCES; INVESTMENT; POLICY; RANGE</t>
  </si>
  <si>
    <t>Upward expectations of future electric vehicle (EV) growth pose the question about the future load on the electricity grid. While existing literature on EV charging demand management has focused on technical aspects and considered EV-owners as utility maximizers, this study proposes a behavioural model incorporating psychological aspects relevant to EV-owners facing charging decisions and interacting with the supplier. The behavioural model represents utility maximization under myopic loss aversion (MLA) within an ultimatum game (UG) framework where the two players are the EV-owner and the electricity supplier. Experimental economics allowed testing the validity of the behavioural model by designing three experiments where a potential EV-owner faces three decisions (i.e., to postpone EV charging to off-peak periods for a discount proposed by the supplier, the amount of discount to request for off-peak charging at times decided by the supplier, and the amount of discount to accept for supplier-controlled charging) under two contract durations (i.e., short-term, long-term). Findings from the experiments show that indeed potential EV-owners perform charging decisions while being affected by MLA resulting from monetary considerations and the UG participation, and that presenting long-term contracts help potential EV-owners to curtail MLA behaviour and minimise cost even though the assumption of utility maximization is violated. (C) 2016 Elsevier Ltd. All rights reserved.</t>
  </si>
  <si>
    <t>10.1016/j.trd.2016.11.020</t>
  </si>
  <si>
    <t>Weisbach, M; Schneider, T; Maune, D; Fechtner, H; Spaeth, U; Wegener, R; Soter, S; Schmuelling, B</t>
  </si>
  <si>
    <t>Weisbach, Michele; Schneider, Tobias; Maune, Dominik; Fechtner, Heiko; Spaeth, Utz; Wegener, Ralf; Soter, Stefan; Schmuelling, Benedikt</t>
  </si>
  <si>
    <t>Intelligent Multi-Vehicle DC/DC Charging Station Powered by a Trolley Bus Catenary Grid</t>
  </si>
  <si>
    <t>electric vehicle; fast charging; EV charging; load management; smart grid; switching matrix; resonant converter; CCS</t>
  </si>
  <si>
    <t>LLC RESONANT CONVERTER; DISTRIBUTION-SYSTEM; ELECTRIC VEHICLES</t>
  </si>
  <si>
    <t>This article deals with the major challenge of electric vehicle charging infrastructure in urban areas-installing as many fast charging stations as necessary and using them as efficiently as possible, while considering grid level power limitations. A smart fast charging station with four vehicle access points and an intelligent load management algorithm based on the combined charging system interface is presented. The shortcomings of present implementations of the combined charging system communication protocol are identified and discussed. Practical experiments and simulations of different charging scenarios validate the concept and show that the concept can increase the utilization time and the supplied energy by a factor of 2.4 compared to typical charging station installations.</t>
  </si>
  <si>
    <t>10.3390/en14248399</t>
  </si>
  <si>
    <t>Perez-Diaz, A; Gerding, E; McGroarty, F</t>
  </si>
  <si>
    <t>Perez-Diaz, Alvaro; Gerding, Enrico; McGroarty, Frank</t>
  </si>
  <si>
    <t>Coordination and payment mechanisms for electric vehicle aggregators</t>
  </si>
  <si>
    <t>Electric vehicle charging; Electric vehicle aggregation; Inter-aggregator coordination; Mechanism design; Vickrey-Clarke-Groves; Day-ahead electricity market</t>
  </si>
  <si>
    <t>MARKETS</t>
  </si>
  <si>
    <t>Motivated by the high electric vehicle (EV) penetration percentages foreseen for the near future, this paper studies the participation of large fleets of EVs in electricity day-ahead markets. Specifically, we consider a scenario where a number of independent and self-interested EV aggregators participate in the day-ahead market to purchase energy to satisfy their clients' driving needs. In this scenario, independent bidding can drive prices up unnecessarily, resulting in increased electricity costs for all participants. Inter-aggregator cooperation can mitigate this by producing coordinated bids. However, this is challenging due to the self-interested nature of the aggregators, who may try to manipulate the system in order to obtain personal benefit. In order to overcome this issue, we employ techniques from mechanism design to develop a coordination mechanism which incentivises self-interested EV aggregators to report their energy requirements truthfully to a third-party coordinator. This coordinator is then able to employ a day-ahead bidding algorithm to optimise the global bids on their behalf, extending the benefits of smart bidding to groups of competing EV aggregators. Importantly, the proposed coordination mechanism is straightforward to implement and does not require any additional infrastructure. To ensure scalability and computational tractability, a novel price-maker day-ahead bidding algorithm is proposed, which is formulated in terms of simple energy requirement constraints. The coordination mechanism substantially reduces bidding costs, as shown in a case study which uses real market and driver data from the Iberian Peninsula.</t>
  </si>
  <si>
    <t>10.1016/j.apenergy.2017.12.036</t>
  </si>
  <si>
    <t>Islam, JB; Rahman, MT; Mokhlis, H; Othman, M; Tengku Mohmed Noor Izam, TF; Mohamad, H</t>
  </si>
  <si>
    <t>Islam, Junaid Bin Fakhrul; Rahman, Mir Toufikur; Mokhlis, Hazlie; Othman, Mohamadariff; Tengku Mohmed Noor Izam, Tengku Faiz; Mohamad, Hasmaini</t>
  </si>
  <si>
    <t>Combined analytic hierarchy process and binary particle swarm optimization for multiobjective plug-in electric vehicles charging coordination with time-of-use tariff</t>
  </si>
  <si>
    <t>Plug-in electric vehicle; charging coordination; analytic hierarchy process; cost minimization; optimization</t>
  </si>
  <si>
    <t>DISTRIBUTION NETWORKS; SMART GRIDS; MANAGEMENT</t>
  </si>
  <si>
    <t>Plug-in electric vehicles (PEVs) are gaining popularity as an alternative vehicle in the past few years. The charging activities of PEVs impose extra electrical load on residential distribution system as well as increasing operational cost. There are multiple conflicting requirements and constraints during the charging activities. Therefore, this paper presents multiobjective PEV charging coordination based on weighted sum technique to provide simultaneous benefits to the power utilities and PEV users. The optimization problem of the proposed coordination is solved using binary particle swam optimization. The objectives of the coordination are to (i) minimize daily power loss, (ii) maximize power delivery to PEV, and (iii) minimize charging cost of PEV considering time-of-use tariff. In order to determine balance weighting factor for each of these objectives, analytic hierarchy process is applied. By using this approach, the best result of charging coordination can be achieved compared to uncoordinated charging. A 23-kV residential distribution system with 449-nodes is used to test the proposed approach. From the attained results, it is shown that the proposed method is effective in minimizing power loss and cost of charging with safe operation of distribution system.</t>
  </si>
  <si>
    <t>10.3906/elk-1907-189</t>
  </si>
  <si>
    <t>Ucer, E; Kisacikoglu, MC; Yuksel, M</t>
  </si>
  <si>
    <t>Ucer, Emin; Kisacikoglu, Mithat C.; Yuksel, Murat</t>
  </si>
  <si>
    <t>Decentralized Additive Increase and Multiplicative Decrease-Based Electric Vehicle Charging</t>
  </si>
  <si>
    <t>Electric vehicle charging; Internet; Heuristic algorithms; Threshold voltage; Additives; Voltage measurement; Artificial intelligence; Additive increase-multiplicative decrease (AIMD); decentralized control; electric vehicles (EV); grid integration; peak shaving; smart charging</t>
  </si>
  <si>
    <t>CONGESTION; ALGORITHMS; IMPACT</t>
  </si>
  <si>
    <t>Electric vehicle (EV) transition and low-cost renewable energy generation are putting power grid under a challenging transformation. Number of power electronics actuators connected to the grid is increasing, and the legacy control methods employed on the grid are not responsive to this growing demand. Thus, the grid integration of EVs and their charging management requires a system-wide solution that is scalable, autonomous, and stable. In this article, we investigate two very complex networks: Internet and power grid in the context of controlling mass-scale EV charging problem. We adapt the well-known additive increase-multiplicative decrease (AIMD) algorithm used in the Internet congestion control to EV charging in a distributed fashion. We develop an adaptation of the Internet's congestion control method for power grid considering the unique grid constraints using a decentralized concept. The advantage of the proposed method lies in its low-cost (memory-less) congestion detection mechanism based on only local voltage measurements. Results show that decentralized AIMD can successfully help flatten the peak loading caused by high EV penetration. To test the algorithm, a distribution grid model is designed based on IEEE 37-node test feeder with realistic load modeling. Finally, the results are presented in comparison with two other control architectures.</t>
  </si>
  <si>
    <t>10.1109/JSYST.2020.3013189</t>
  </si>
  <si>
    <t>Gao, J; Wong, T; Wang, C; Yu, JY</t>
  </si>
  <si>
    <t>Gao, Jie; Wong, Terrence; Wang, Chun; Yu, Jia Yuan</t>
  </si>
  <si>
    <t>A Price-Based Iterative Double Auction for Charger Sharing Markets</t>
  </si>
  <si>
    <t>Vehicles; Processor scheduling; Electric vehicle charging; Resource management; Sharing economy; Schedules; Pricing; Electric vehicle; charging scheduling; sharing economy; double auction; iterative bidding; two-sided markets; social welfare</t>
  </si>
  <si>
    <t>PLUG-IN HYBRID; TRUTHFUL DOUBLE AUCTION; ELECTRIC VEHICLES; OPTIMIZATION; CONSTRAINTS; MECHANISMS</t>
  </si>
  <si>
    <t>The unprecedented growth of demand for charging electric vehicles (EVs) calls for novel expansion solutions to today's charging networks. Riding on the wave of the proliferation of sharing economy, Airbnb-like charger sharing markets open the opportunity to expand the existing charging networks without requiring costly and time-consuming infrastructure investments, yet the successful design of such markets relies on innovations at the interface between game theory, mechanism design, and large scale optimization. In this paper, we propose a price-based iterative double auction for charger sharing markets where charger owners rent out their under-utilized chargers to the charge-needing EV drivers. Charger owners and EV drivers form a two-sided market which is cleared by a price-based double auction. Chargers' locations, availabilities, and unit time service costs as well as drivers' time and location preferences are considered in the allocation and scheduling process. The goal is to compute social welfare maximizing schedules which benefit both charger owners and EV drivers and, in turn, ensure the continuous growth of the market. We prove that the proposed double auction is budget balanced and individually rational. In addition, results from our computational study show that the proposed auction achieves on average 94% efficiency compared with that of the optimal solutions and is suitable for a larger day-ahead charger sharing market setting in terms of running time.</t>
  </si>
  <si>
    <t>10.1109/TITS.2020.3047984</t>
  </si>
  <si>
    <t>Liu, P; Yu, JL; Fan, K; Eissa, M</t>
  </si>
  <si>
    <t>Liu, Peng; Yu, Jilai; Fan, Kai; Eissa, Mohammed</t>
  </si>
  <si>
    <t>PEV charging coordination to absorb excess wind energy via group differentiated dual-tariff schemes</t>
  </si>
  <si>
    <t>Plug-in electric vehicles; Charging coordination; Excess wind energy; Vehicle-groups; Dual-tariff</t>
  </si>
  <si>
    <t>DEMAND; MODEL; SIDE; LOAD</t>
  </si>
  <si>
    <t>Curtailment of wind energy in off-peak periods has gradually concerned the electric power industry. This paper aims to coordinate charging behaviors of plug-in electric vehicles (PEVs) for absorbing the excess wind energy. A long-term wind-to-vehicle (W2V) coordination program is proposed via novel dual-tariff (two-stage time-of-use tariff, i.e., ordinary tariff and cheap tariff) schemes. Unlike consensus time-of use tariff scheme applying identical cheap-tariff time to all individual PEV5, the novel schemes artfully stagger their cheap-tariff times for different PEV-groups, thereby differentiating themselves among PEV-groups. Novel schemes use their execution probabilities to help allocate PEVs into different PEV-groups. PEVs in the same low voltage (LV) feeder will be spread into different PEV-groups rather than clustering into one PEV-group, by which PEVs to be charged in each PEV-group will be distributed across the entire distribution networks. Hence, the synergy between PEV's charging load and wind power generation is greatly enhanced and the undesirable charging synchrony is much alleviated. To this end, a local charging coordination method is proposed at the charging device level, by which an original analytical model is developed for the calculation of aggregated charging load (ACL) at the transmission system level. Based on the coordinated ACL model, an optimization problem is formulated to help design the novel dual -tariff schemes. A heuristic algorithm is proposed to solve the optimization problem. Numerical results prove the effectiveness of the heuristic algorithm, and extensive tests show high performances of the W2V coordination program. (C) 2017 Elsevier B.V. All rights reserved.</t>
  </si>
  <si>
    <t>10.1016/j.epsr.2017.05.033</t>
  </si>
  <si>
    <t>Cai, H; Chen, QY; Guan, ZJ; Huang, JH</t>
  </si>
  <si>
    <t>Cai, Hui; Chen, Qiyu; Guan, Zhijian; Huang, Junhui</t>
  </si>
  <si>
    <t>Day-ahead optimal charging/discharging scheduling for electric vehicles in microgrids</t>
  </si>
  <si>
    <t>PROTECTION AND CONTROL OF MODERN POWER SYSTEMS</t>
  </si>
  <si>
    <t>Microgrid; Day-ahead schedule; Charging; discharging strategy; Electric vehicle (EV); Serial quadratic programming (SQP)</t>
  </si>
  <si>
    <t>DEMAND; SCENARIOS</t>
  </si>
  <si>
    <t>Microgrid as an important part of smart grid comprises distributed generators (DGs), adjustable loads, energy storage systems (ESSs) and control units. It can be operated either connected with the external system or islanded with the support of ESSs. While the daily output of DGs strongly depends on the temporal distribution of natural resources such as wind and solar, unregulated electric vehicle (EV) charging demand will deteriorate the unbalance between the daily load curve and generation curve. In this paper, a statistic model is presented to describe daily EV charging/discharging behaviors considering the randomness of the initial state of charge (SOC) of EV batteries. The optimization problem is proposed to obtain the economic operation for the microgrid based on this model. In day-ahead scheduling, with the estimated power generation and load demand, the optimal charging/discharging scheduling of EVs during 24 h is achieved by serial quadratic programming. With the optimal charging/discharging scheduling of EVs, the daily load curve can better track the generation curve. The network loss in grid-connected operation mode and required ESS capacity in islanded operation mode are both decreased.</t>
  </si>
  <si>
    <t>APR 6</t>
  </si>
  <si>
    <t>10.1186/s41601-018-0083-3</t>
  </si>
  <si>
    <t>Haque, A; Kurukuru, VSB; Khan, MA</t>
  </si>
  <si>
    <t>Haque, Ahteshamul; Kurukuru, Varaha Satya Bharath; Khan, Mohammed Ali</t>
  </si>
  <si>
    <t>Stochastic methods for prediction of charging and discharging power of electric vehicles in vehicle-to-grid environment</t>
  </si>
  <si>
    <t>IET POWER ELECTRONICS</t>
  </si>
  <si>
    <t>scheduling; electric vehicles; stochastic processes; vehicle-to-grid; electric vehicle charging; vehicle-to-grid environment; penetration rate; uncontrolled charging; network congestion; electric network; controlled charging; realistic power prediction algorithm; discharging coordination algorithm; power demand; stochastic methods; charging-discharging models; high power demands; vehicle-to-grid technologies; conventional charging strategies; power distribution; electric vehicles; charging-discharging power prediction; intensive computer simulations; comprehensive index</t>
  </si>
  <si>
    <t>LOAD; IMPACTS; PROFILE; DEMAND</t>
  </si>
  <si>
    <t>As the penetration rate of the electric vehicles (EVs) increases, their uncontrolled charging could cause undervoltage and network congestion in the electric network. To mitigate these impacts, the controlled charging of the EVs has been investigated by earlier publications. However, controlled charging cannot be easily implemented as it involves multiple customers having individual interests. To overcome these drawbacks, the power prediction of charging and discharging of EVs plays a major role. A new realistic power prediction algorithm that accounts for the requirements of different patterns and consumers is developed in this study. The main objective of the study is to develop a charging and discharging coordination algorithm that effectively addresses the problem of power demand during peak time. Stochastic methods were used to develop the charging-discharging models and estimate the EV usage. The proposed algorithm aims to manage high power demands at peak times using vehicle-to-grid technologies. Intensive computer simulations are performed to test and estimate the power demand by adapting the proposed algorithm. The developed algorithm shows a significant improvement in the comprehensive index with a value of 0.649 which is very high compared with conventional charging strategies. The results depicted an efficient scheduling and power distribution without affecting the performance of the EV or the flexibility of EV owner's trip schedule.</t>
  </si>
  <si>
    <t>NOV 6</t>
  </si>
  <si>
    <t>10.1049/iet-pel.2019.0048</t>
  </si>
  <si>
    <t>Ghofrani, M; Arabali, A; Ghayekhloo, M</t>
  </si>
  <si>
    <t>Ghofrani, M.; Arabali, A.; Ghayekhloo, M.</t>
  </si>
  <si>
    <t>Optimal charging/discharging of grid-enabled electric vehicles for predictability enhancement of PV generation</t>
  </si>
  <si>
    <t>Battery storage; Collaborative strategy; Coordinated charging/discharging; Electric vehicles; Monte Carlo simulation; Vehicle-to-grid</t>
  </si>
  <si>
    <t>ENERGY-STORAGE; POWER-SYSTEM; INTEGRATION</t>
  </si>
  <si>
    <t>This paper proposes a collaborative strategy between the photovoltaic (PV) participants and electric vehicle (EV) owners to reduce the forecast uncertainties and improve the predictability of PV power. The PV generation is predicted using an auto regressive moving average (ARMA) time series model. Fuzzy C-means (FCM) clustering is used to group the EVs into fleets with similar daily driving patterns. Uncertainties of the PV power and stochastic nature of driving patterns are characterized by a Monte Carlo simulation (MCS) technique. A particle swarm optimization (PSO) algorithm is developed to optimally use the vehicle-to-grid (V2G) capacities of EVs and minimize the penalty cost for PV power imbalances between the predicted power and actual output. The proposed method provides a coordinated charging/discharging scheme to realize the full potential of V2G services and increase the revenues and incentives for both PV producers and EV drivers. An economic model is developed to include the V2G expenses and revenues to provide a complete picture of the cost-benefit analysis. The proposed model is used to evaluate the economic feasibility of V2G services for PV power integration. (C) 2014 Elsevier B.V. All rights reserved.</t>
  </si>
  <si>
    <t>10.1016/j.epsr.2014.08.007</t>
  </si>
  <si>
    <t>Morstyn, T; Crozier, C; Deakin, M; McCulloch, MD</t>
  </si>
  <si>
    <t>Morstyn, Thomas; Crozier, Constance; Deakin, Matthew; McCulloch, Malcolm D.</t>
  </si>
  <si>
    <t>Conic Optimization for Electric Vehicle Station Smart Charging With Battery Voltage Constraints</t>
  </si>
  <si>
    <t>Batteries; State of charge; Integrated circuit modeling; Optimization; Electric vehicle charging; Computational modeling; Battery modeling; dc fast charging; electric vehicle; second-order cone programming; smart charging</t>
  </si>
  <si>
    <t>MODEL-PREDICTIVE CONTROL; MICROGRIDS; FLOW</t>
  </si>
  <si>
    <t>This article proposes a new convex optimization strategy for coordinating electric vehicle charging, which accounts for battery voltage rise and the associated limits on maximum charging power. Optimization strategies for coordinating electric vehicle charging commonly neglect the increase in battery voltage, which occurs as the battery is charged. However, battery voltage rise is an important consideration since it imposes limits on the maximum charging power. This is particularly relevant for dc fast charging, where the maximum charging power may be severely limited, even at the moderate state of charge levels. First, a reduced-order battery circuit model is developed, which retains the nonlinear relationship between the state of charge and maximum charging power. Using this model, limits on the battery output voltage and battery charging power are formulated as the second-order cone constraints. These constraints are integrated with a linearized power flow model for three-phase unbalanced distribution networks. This provides a new multiperiod optimization strategy for electric vehicle smart charging. The resulting optimization is a second-order cone program and, thus, can be solved in polynomial time by standard solvers. A receding horizon implementation allows the charging schedule to be updated online, without requiring prior information about when vehicles will arrive.</t>
  </si>
  <si>
    <t>10.1109/TTE.2020.2986675</t>
  </si>
  <si>
    <t>Huang, CJ; Hu, KW; Liu, AF; Chen, LC; Chen, CT</t>
  </si>
  <si>
    <t>Huang, Chenn-Jung; Hu, Kai-Wen; Liu, An-Feng; Chen, Liang-Chun; Chen, Chih-Ting</t>
  </si>
  <si>
    <t>An Emission-Aware Day-Ahead Power Scheduling System for Internet of Energy</t>
  </si>
  <si>
    <t>KSII TRANSACTIONS ON INTERNET AND INFORMATION SYSTEMS</t>
  </si>
  <si>
    <t>power scheduling; electric vehicle charging; emission reduction; soft computing; Internet of Energy</t>
  </si>
  <si>
    <t>IN ELECTRIC VEHICLES; EFFICIENT; STORAGE; SCHEME; MANAGEMENT; FRAMEWORK</t>
  </si>
  <si>
    <t>As a subset of the Internet of Things, the Internet of Energy (IoE) is expected to tackle the problems faced by the current smart grid framework. Notably, the conventional day-ahead power scheduling of the smart grid should be redesigned in the IoE architecture to take into consideration the intermittence of scattered renewable generations, large amounts of power consumption data, and the uncertainty of the arrival time of electric vehicles (EVs). Accordingly, a day-ahead power scheduling system for the future IoE is proposed in this research to maximize the usage of distributed renewables and reduce carbon emission caused by the traditional power generation. Meanwhile, flexible charging mechanism of EVs is employed to provide preferred charging options for moving EVs and flatten the load profile simultaneously. The simulation results revealed that the proposed power scheduling mechanism not only achieves emission reduction and balances power load and supply effectively, but also fits each individual EV user's preference.</t>
  </si>
  <si>
    <t>OCT 31</t>
  </si>
  <si>
    <t>10.3837/tiis.2019.10.010</t>
  </si>
  <si>
    <t>Van Kriekinge, G; De Cauwer, C; Sapountzoglou, N; Coosemans, T; Messagie, M</t>
  </si>
  <si>
    <t>Van Kriekinge, Gilles; De Cauwer, Cedric; Sapountzoglou, Nikolaos; Coosemans, Thierry; Messagie, Maarten</t>
  </si>
  <si>
    <t>Peak shaving and cost minimization using model predictive control for uni- and bi-directional charging of electric vehicles</t>
  </si>
  <si>
    <t>Electric vehicle; Model predictive control; Peak shaving; Smart charging; Vehicle-to-grid</t>
  </si>
  <si>
    <t>RENEWABLE ENERGY; CONSUMPTION; BUILDINGS; SYSTEM; IMPACTS; PROFILE</t>
  </si>
  <si>
    <t>Uni- and bi-directional electric vehicle charging schedulers are key enablers in the mitigation of the negative impacts, such as peak powers, of electric vehicles and renewable energy sources on the grid. This paper presents two electric vehicle charging schedulers based on model predictive control algorithms for four different charging strategies to minimize electricity bills and peak powers for a local energy system. The schedulers use forecast values for photovoltaic production, load demand and electric vehicle state, from an existing database, a deep recurrent neural network and an electric vehicle battery model, respectively. The charging strategies are tested in a simulator that uses real and recent charging events from a charging location in Brussels. The results show the possibility to drastically reduce peak powers and with them, electricity bills as well, near real-time. Bi-directional charging shows the best results compared to uni-directional charging. These good performances are amplified by oversized PV systems but reduced with higher minimum state-of-charge. (C) 2021 The Authors. Published by Elsevier Ltd.</t>
  </si>
  <si>
    <t>10.1016/j.egyr.2021.11.207</t>
  </si>
  <si>
    <t>NOV 2021</t>
  </si>
  <si>
    <t>Garcia, RM; Prieto-Castrillo, F; Gonzalez, GV; Tejedor, JP; Corchado, JM</t>
  </si>
  <si>
    <t>Martin Garcia, Ruben; Prieto-Castrillo, Francisco; Villarrubia Gonzalez, Gabriel; Prieto Tejedor, Javier; Manuel Corchado, Juan</t>
  </si>
  <si>
    <t>Stochastic Navigation in Smart Cities</t>
  </si>
  <si>
    <t>electric vehicle routing; charging stations; bio-inspired algorithm; stochastic process; smart cities</t>
  </si>
  <si>
    <t>In this work we show how a simple model based on chemical signaling can reduce the exploration times in urban environments. The problem is relevant for smart city navigation where electric vehicles try to find recharging stations with unknown locations. To this end we have adapted the classical ant foraging swarm algorithm to urban morphologies. A perturbed Markov chain model is shown to qualitatively reproduce the observed behaviour. This consists of perturbing the lattice random walk with a set of perturbing sources. As the number of sources increases the exploration times decrease consistently with the swarm algorithm. This model provides a better understanding of underlying process dynamics. An experimental campaign with real prototypes provided experimental validation of our models. This enables us to extrapolate conclusions to optimize electric vehicle routing in real city topologies.</t>
  </si>
  <si>
    <t>10.3390/en10070929</t>
  </si>
  <si>
    <t>Zalzar, S; Shafiyi, MA; Yousefi-Talouki, A; Ghazizadeh, MS</t>
  </si>
  <si>
    <t>Zalzar, Shaghayegh; Shafiyi, Mohammad-Agha; Yousefi-Talouki, Arzhang; Ghazizadeh, Mohammad-Sadegh</t>
  </si>
  <si>
    <t>A smart charging algorithm for integration of EVs in providing primary reserve as manageable demand-side resources</t>
  </si>
  <si>
    <t>demand-side resource; electric vehicle; load management; primary frequency control; smart charging</t>
  </si>
  <si>
    <t>SYSTEM</t>
  </si>
  <si>
    <t>In this paper an efficient algorithm for simultaneous scheduling of energy and primary reserve with the presence of smart electric vehicles in the system is discussed. It is proposed that the system operator uses the electric vehicles (EVs) as alternative resources of primary reserve in the power system. The proposed model deals with the effect of generation scheduling on the EV charging schedules and primary reserve capacities. In fact, the amount of primary reserve provided by EVs is highly related to the EV's charging schedules. Therefore, in this paper a smart charging algorithm is also proposed that is based on direct load control of EVs by the system operator. The proposed scheme would be applicable with the lowest intelligence level and will not impose extra investment cost to the EV owners. All the nonlinear constraints included in the primary reserve scheduling are linearized to be solvable by mixed integer linear programming method. A case study on IEEE RTS79 system with 30% EV penetration is used to illustrate the feasibility and acceptable performance of the proposed method. The influence of EVs' participation on operation costs, load curve, and EV bills is discussed.</t>
  </si>
  <si>
    <t>e2283</t>
  </si>
  <si>
    <t>10.1002/etep.2283</t>
  </si>
  <si>
    <t>Tang, DF; Wang, P</t>
  </si>
  <si>
    <t>Tang, Difei; Wang, Peng</t>
  </si>
  <si>
    <t>Probabilistic Modeling of Nodal Charging Demand Based on Spatial-Temporal Dynamics of Moving Electric Vehicles</t>
  </si>
  <si>
    <t>Electric vehicle (EV); load modeling; nodal charging demand; power system; smart grid</t>
  </si>
  <si>
    <t>LOAD; PROFILE</t>
  </si>
  <si>
    <t>High penetration of electric vehicles (EVs) as moving loads in power system have drawn increasing concerns about their negative impacts. Due to the spatial-temporal random dynamics of EVs, it is a challenge for identification and positioning of the space and time varying impacts. Most previous studies investigated system-wide EV charging demand based on data analysis with deterministic charging location and time. In this circumstance, this paper proposes a probabilistic model for nodal charging demand based on the spatial-temporal dynamics of moving EVs. Following the introduction to the integrated system with graph theory, a spatial-temporal model of moving EV loads is established based on random trip chain and Markov decision process (MDP). The nodal EV charging demands are derived from the charging probabilities of single and multiple EVs. The system studies show that this model is capable to assess the nodal charging demand due to the spatial-temporal distribution of moving EVs.</t>
  </si>
  <si>
    <t>10.1109/TSG.2015.2437415</t>
  </si>
  <si>
    <t>Zhang, TL; Liu, XT; Luo, ZW; Dong, FQ; Jiang, Y</t>
  </si>
  <si>
    <t>Zhang, Tianle; Liu, Xiangtao; Luo, Zongwei; Dong, Fuqiang; Jiang, Yu</t>
  </si>
  <si>
    <t>Time series behavior modeling with digital twin for Internet of Vehicles</t>
  </si>
  <si>
    <t>EURASIP JOURNAL ON WIRELESS COMMUNICATIONS AND NETWORKING</t>
  </si>
  <si>
    <t>Electric vehicle; Internet of Vehicles; Mobility; Time series; Digital twin; Charging scheduling</t>
  </si>
  <si>
    <t>KEY MANAGEMENT SCHEME</t>
  </si>
  <si>
    <t>Electric vehicle (EV) is considered eco-friendly with low carbon emission and maintenance costs. Given the current battery and charging technology, driving experience of EVs relies heavily on the availability and reachability of EV charging infrastructure. As the number of charging piles increases, carefully designed arrangement of resources and efficient utilization of the infrastructure is essential to the future development of EV industry. The mobility and distribution of EVs determine the charging demand and the load of power distribution grid. Then, dynamic traffic pattern of numerous interconnected EVs poses great impact on charging plans and charging infrastructure. In this paper, we introduce the digital twin of a real-world EV by modeling the mobility based on a time series behaviors of EVs to evaluate the charging algorithm and pile arrangement policy. The introduced digital twin EV is a virtually simulated equivalence with same traffic behaviors and charging activities as the EV in real world. The behavior and route choice of EVs is dynamically simulated base on the time-varying driving operations, travel intent, and charging plan in a simulated large-scale charging scenario composed of concurrently moving EVs and correspondingly equipped charging piles. Different EV navigation algorithms and charging algorithms of Internet of Vehicle can be exactly evaluated in the dynamic simulation of the digital twins of the moving EVs and charging infrastructure. Then we analyze the collected data such as energy consumption, charging capacity, charging frequency, and waiting time in queue on both the EV side and the charging pile side to evaluate the charging efficiency. The simulation is used to study the relations between the scheduled charging operation of EVs and the deployment of piles. The proposed model helps evaluate and validate the design of the charging recommendation and the deployment plan regarding to the arrangement and distribution of charging piles.</t>
  </si>
  <si>
    <t>10.1186/s13638-019-1589-8</t>
  </si>
  <si>
    <t>Rabiee, A; Ghiasian, A; Chermahini, MA</t>
  </si>
  <si>
    <t>Rabiee, Abdorreza; Ghiasian, Ali; Chermahini, Moslem Amiri</t>
  </si>
  <si>
    <t>Long term profit maximization strategy for charging scheduling of electric vehicle charging station</t>
  </si>
  <si>
    <t>electric vehicle charging; profitability; optimisation; pricing; power generation scheduling; queueing theory; LTPM strategy; ChSc; charging scheduling; EVCS; EV charging stations; electric vehicles penetration level; charging infrastructure; economic aspects; long-term profit maximisation; delay time minimisation; queue charging prices; energy price; short-term profit maximisation</t>
  </si>
  <si>
    <t>DISTRIBUTION NETWORKS; ALGORITHM; MICROGRIDS; CUSTOMERS; DEMAND; MARKET; LOAD; PV</t>
  </si>
  <si>
    <t>As electric vehicles (EVs) penetration level is increasing, charging infrastructure should expand. This study concentrates on the economic aspects of EV charging stations (EVCSs). When CS capacity is not enough to simultaneously charge all EVs, the EVs will wait in queues to get service. This study presents a model for EVCS and a profit-based algorithm for charging scheduling (ChSc) of EVs from viewpoint of EVCS owner. The objective function is to maximise long-term profit of EVCS owner and to minimise delay time of EVs. The charging prices of queues are different from each other, which are determined by the EVCS owner, considering energy price. The time needed to charge an EV from the minimum state of charge to fully charge is considered as a time interval. It is shown that maximising profit at each interval, named as short-term profit maximisation (STPM), does not necessarily maximise long-term profit of the EVCS owner. Then, another ChSc strategy, referred to as long-term profit maximisation (LTPM), is proposed. Simulation results confirm that with LTPM, the owner of EVCS obtains more profit in long term. Also, in comparison to STPM, the incurred average delays of EVs in queues are much less.</t>
  </si>
  <si>
    <t>OCT 16</t>
  </si>
  <si>
    <t>10.1049/iet-gtd.2018.5592</t>
  </si>
  <si>
    <t>Klayklueng, T; Dechanupaprittha, S</t>
  </si>
  <si>
    <t>Klayklueng, Thongchai; Dechanupaprittha, Sanchai</t>
  </si>
  <si>
    <t>Performance analysis of future PEA distribution networks under high penetration of PEV home charging using the Monte Carlo method</t>
  </si>
  <si>
    <t>IEEJ TRANSACTIONS ON ELECTRICAL AND ELECTRONIC ENGINEERING</t>
  </si>
  <si>
    <t>plug-in electric vehicle (PEV); home charging; Monte Carlo method; smart grid</t>
  </si>
  <si>
    <t>This article presents the performance analysis of future Provincial Electricity Authority of Thailand (PEA) distribution networks under high penetration of plug-in electric vehicle (PEV) home charging using the Monte Carlo method. Network performance indices considered in this study are the voltage profile, power losses, load factor, and voltage unbalance. The voltage profile and power losses are evaluated based on the PEA criteria. In addition, the voltage unbalance factors (%VUF) are evaluated according to the IEC 61000-2-4: 2000-06 standards. A selected PEA distribution network based on the existing data is used for the simulation study with the DIgSILENT PowerFactory. The penetration of PEV home charging at each node and phase is assigned using the Monte Carlo method, which in particular is used to randomly generate patterns of PEV charging behaviors. The simulation study presents five cases; the average points of charge, max-to-min charge, min-to-max charge, central feeder charge, and random point of charge. All cases are compared with a base case (without PEVs). Charging scenarios at phases 'a', 'b', and 'c' are assumed having overlapped time duration. The PEV charging duration per phase is assumed 6 h. Simulation results indicate that PEV charging time, charging point, and penetration levels at each phase and node are significant factors impacting the network performance. Voltage profiles slightly drop in all cases, meanwhile the average voltage drop increases by 7% compared with the base case; case 3 has the maximum voltage drop, which is deeper than PEA criteria. The power losses increase in all cases. The average power losses have increased by 103.52%. The %VUF increases gradually with the length of the feeder. The maximum %VUF occurs at the end of the feeder for all cases and is higher than 2.0% of the IEC standard. On the other hand, PEV charging improves the load factor. (c) 2018 Institute of Electrical Engineers of Japan. Published by John Wiley &amp; Sons, Inc.</t>
  </si>
  <si>
    <t>10.1002/tee.22785</t>
  </si>
  <si>
    <t>Hafez, O; Bhattacharya, K</t>
  </si>
  <si>
    <t>Hafez, Omar; Bhattacharya, Kankar</t>
  </si>
  <si>
    <t>Integrating EV Charging Stations as Smart Loads for Demand Response Provisions in Distribution Systems</t>
  </si>
  <si>
    <t>Demand response; distribution system; electric vehicle charging station; neural network; plug-in electric vehicle; queuing analysis; smart load</t>
  </si>
  <si>
    <t>MANAGEMENT; MODEL</t>
  </si>
  <si>
    <t>This paper presents a mathematical model for representing the total charging load at an electric vehicle charging station (EVCS) in terms of controllable parameters; the load model developed using a queuing model followed by a neural network (NN). The queuing model constructs a data set of plug-in electric vehicle (PEV) charging parameters which are input to the NN to determine the controllable EVCS load model. The queuing model considers arrival of PEVs as a non-homogeneous Poisson process, while the service time is modeled considering detailed characteristics of battery. The smart EVCS load is a function of number of PEVs charging simultaneously, total charging current, arrival rate, and time; and various class of PEVs. The EVCS load is integrated within a distribution operations framework to determine the optimal operation and smart charging schedules of the EVCS. Objective functions from the perspective of the local distribution company and EVCS owner are considered for studies. A 69-bus distribution system with an EVCS at a specific bus, and smart load model is considered for the studies. The performance of a smart EVCS vis-a-vis an uncontrolled EVCS is examined to emphasize the demand response contributions of a smart EVCS and its integration into distribution operations.</t>
  </si>
  <si>
    <t>10.1109/TSG.2016.2576902</t>
  </si>
  <si>
    <t>Mkahl, R; Nait-Sidi-Moh, A; Gaber, J; Wack, M</t>
  </si>
  <si>
    <t>Mkahl, R.; Nait-Sidi-Moh, A.; Gaber, J.; Wack, M.</t>
  </si>
  <si>
    <t>An optimal solution for charging management of electric vehicles fleets</t>
  </si>
  <si>
    <t>Electric vehicles; Charging management; Resources allocation; Optimal scheduling and assignment; Decision-making system</t>
  </si>
  <si>
    <t>Electric vehicle (EV) is an advanced solution by car manufacturers to gradually replace the conventional vehicle and reduce our dependence on petroleum. Nevertheless, an EV need many hours for a full charge, and reducing charging time and energy consumption of EVs are among the major challenges for promoting this type of vehicles. Disturbed traffic conditions such as traffic jam, roads with sever slopes may affect seriously the energy consumption and then the performances of EVs. In this paper, scheduling and suitable assignment of EVs to charging stations (CSs) is approached as an optimization problem, formulated as linear programming problem. The assignment of EVs should satisfy certain constraints related to CSs status, the EV conditions, traffic conditions, etc. The proposed approach will be illustrated considering two operating modes of the system. The assignment of EVs to CSs under normal conditions (driving without using electrical accessories, roads without slops and traffic jam, etc.), and under disturbed conditions for the second mode. For this first scenario, the two main components of the system are supposed to be homogeneous (EVs have the same characteristics, and the same for CSs). For the second scenario, we focus on a charging system with heterogeneous components. As we will show, the suitable assignment of an EV is when the state of charge (SoC) of its battery remains at its highest possible level at the destination (assigned CS). Keeping the battery SoC at a high level allows to reduce consumed energy and required charging time, and consequently ensures a flexibility in the management of system charging. (C) 2016 Elsevier B.V. All rights reserved.</t>
  </si>
  <si>
    <t>10.1016/j.epsr.2016.11.008</t>
  </si>
  <si>
    <t>Liu, LS; Kong, FX; Liu, X; Peng, Y; Wang, QL</t>
  </si>
  <si>
    <t>Liu, Liansheng; Kong, Fanxin; Liu, Xue; Peng, Yu; Wang, Qinglong</t>
  </si>
  <si>
    <t>A review on electric vehicles interacting with renewable energy in smart grid</t>
  </si>
  <si>
    <t>Electric vehicle; Renewable energy sources; Smart grid; Charging cost; Energy management; Emissions</t>
  </si>
  <si>
    <t>WIND POWER-GENERATION; DEMAND RESPONSE; COORDINATION; INTEGRATION; OPERATION; QUALITY; SYSTEMS; IMPACT; QUANTITY; PEVS</t>
  </si>
  <si>
    <t>Electric vehicles (EVs) represent one of the most promising technologies to green the transportation systems. An important issue is that high penetration of EVs brings heavy electricity demand to the power grid. One effective way to alleviate the impact is to integrate local power generation such as renewable energy sources (RESs) into charging infrastructure. Because of the intermittent and indispatchable nature of RESs, it becomes very challenging to coordinate EVs charging with other grid load and renewable generation. In this paper, EVs charging problem in the presence of smart grid technologies is investigated, and the interaction with renewable energy is reviewed. An overview about EVs and RESs is first presented, which mainly introduces major types of EVs and renewable energy estimation methods. Then, according to the objectives, the existing research works are divided into three categories: cost aware, efficiency-aware, and emissions-aware interactions between EVs and RESs. Each category's discussion includes the description of core ideas, summarization of solutions, and comparison between different works. Finally, some key open issues about EVs interacting with RESs are given and some possible solutions are also discussed. (C) 2015 Elsevier Ltd. All rights reserved.</t>
  </si>
  <si>
    <t>10.1016/j.rser.2015.06.036</t>
  </si>
  <si>
    <t>Forrest, KE; Tarroja, B; Zhang, L; Shaffer, B; Samuelsen, S</t>
  </si>
  <si>
    <t>Forrest, Kate E.; Tarroja, Brian; Zhang, Li; Shaffer, Brendan; Samuelsen, Scott</t>
  </si>
  <si>
    <t>Charging a renewable future: The impact of electric vehicle charging intelligence on energy storage requirements to meet renewable portfolio standards</t>
  </si>
  <si>
    <t>Battery electric vehicle; Vehicle-to-grid; Renewable energy; Energy storage; Smart charging</t>
  </si>
  <si>
    <t>CLIMATE-CHANGE; INTEGRATION; POWER; CALIFORNIA; SOLAR; WIND</t>
  </si>
  <si>
    <t>Increased usage of renewable energy resources is key for energy system evolution to address environmental concerns. Capturing variable renewable power requires the use of energy storage to shift generation and load demand. The integration of plug-in electric vehicles, however, impacts the load demand profile and therefore the capacity of energy storage required to meet renewable utilization targets. This study examines how the intelligence of plug-in electric vehicle (PEV) integration impacts the required capacity of energy storage systems to meet renewable utilization targets for a large-scale energy system, using California as an example for meeting a 50% and 80% renewable portfolio standard (RPS) in 2030 and 2050. For an 80% RPS in 2050, immediate charging of PEVs requires the installation of an aggregate energy storage system with a power capacity of 60% of the installed renewable capacity and an energy capacity of 2.3% of annual renewable generation. With smart charging of PEVs, required power capacity drops to 16% and required energy capacity drops to 0.6%, and with vehicle-to-grid (V2G) charging, non vehicle energy storage systems are no longer required. Overall, this study highlights the importance of intelligent PEV charging for minimizing the scale of infrastructure required to meet renewable utilization targets. (C) 2016 Elsevier B.V. All rights reserved.</t>
  </si>
  <si>
    <t>DEC 30</t>
  </si>
  <si>
    <t>10.1016/j.jpowsour.2016.10.048</t>
  </si>
  <si>
    <t>Tanwar, S; Kakkar, R; Gupta, R; Raboaca, MS; Sharma, R; Alqahtani, F; Tolba, A</t>
  </si>
  <si>
    <t>Tanwar, Sudeep; Kakkar, Riya; Gupta, Rajesh; Raboaca, Maria Simona; Sharma, Ravi; Alqahtani, Fayez; Tolba, Amr</t>
  </si>
  <si>
    <t>Blockchain-based electric vehicle charging reservation scheme for optimum pricing</t>
  </si>
  <si>
    <t>blockchain; double-auction mechanism; electric vehicle charging; ethereum; optimum pricing; smart contract</t>
  </si>
  <si>
    <t>The adaptation of intelligent transportation system has evolved the quality of life of people with the huge demand for electric vehicles. Moreover, it becomes essential to schedule an electric vehicle for charging optimally. Therefore, this paper proposes a blockchain-based electric vehicle charging reservation scheme for optimum pricing. It primarily aims to secure data transactions between electric vehicles and charging stations. It uses the communication channel as 5G to ensure ultra-low latency and extremely high reliability. Furthermore, the proposed scheme uses a double-auction mechanism to optimize the payoff for both electric vehicles and charging stations. The performance of the proposed scheme is evaluated by distinguishing it from the conventional networks such as 4G and LTE-A. The performance parameters are considered profit and loss for electric vehicles, scalability, cost overhead for data storage, communication overhead for data transactions, and data storage cost. Results show that the proposed scheme is secure and achieves the optimized payoff for electric vehicles and charging stations compared with traditional approaches.</t>
  </si>
  <si>
    <t>10.1002/er.8199</t>
  </si>
  <si>
    <t>JUN 2022</t>
  </si>
  <si>
    <t>Clairand, JM; Guerra-Teran, P; Serrano-Guerrero, X; Gonzalez-Rodriguez, M; Escriva-Escriva, G</t>
  </si>
  <si>
    <t>Clairand, Jean-Michel; Guerra-Teran, Paulo; Serrano-Guerrero, Xavier; Gonzalez-Rodriguez, Mario; Escriva-Escriva, Guillermo</t>
  </si>
  <si>
    <t>Electric Vehicles for Public Transportation in Power Systems: A Review of Methodologies</t>
  </si>
  <si>
    <t>charging approaches; electric bus; electric taxi; electric vehicle; public transportation; smart grid</t>
  </si>
  <si>
    <t>LIFE-CYCLE ASSESSMENT; PLUG-IN HYBRID; DISTRIBUTION NETWORKS; CHARGING STRATEGIES; BATTERY CHARGER; TAXI; ENERGY; IMPACT; FEASIBILITY; DEMAND</t>
  </si>
  <si>
    <t>The market for electric vehicles (EVs) has grown with each year, and EVs are considered to be a proper solution for the mitigation of urban pollution. So far, not much attention has been devoted to the use of EVs for public transportation, such as taxis and buses. However, a massive introduction of electric taxis (ETs) and electric buses (EBs) could generate issues in the grid. The challenges are different from those of private EVs, as their required load is much higher and the related time constraints must be considered with much more attention. These issues have begun to be studied within the last few years. This paper presents a review of the different approaches that have been proposed by various authors, to mitigate the impact of EBs and ETs on the future smart grid. Furthermore, some projects with regard to the integration of ETs and EBs around the world are presented. Some guidelines for future works are also proposed.</t>
  </si>
  <si>
    <t>10.3390/en12163114</t>
  </si>
  <si>
    <t>Baccino, F; Grillo, S; Massucco, S; Silvestro, F</t>
  </si>
  <si>
    <t>Baccino, Francesco; Grillo, Samuele; Massucco, Stefano; Silvestro, Federico</t>
  </si>
  <si>
    <t>A Two-Stage Margin-Based Algorithm for Optimal Plug-in Electric Vehicles Scheduling</t>
  </si>
  <si>
    <t>Battery recharging optimization; optimal dispatching; optimal power flow (OPF); plug-in electric vehicle (PEV); smart charge</t>
  </si>
  <si>
    <t>This paper proposes an optimal charging strategy for plug-in electric vehicles (PEVs) to be used in electric distribution networks. The optimization algorithm is made up of two phases: 1) an optimal power flow calculation; and 2) a linear optimization. The former, while taking into account the power system technical constraints, sets the upper bounds to the recharge power for each vehicle and the latter defines the recharge profiles of each PEV. In order to test the effectiveness of the optimization algorithm, a case study was set up. The connection of 300 PEVs to the Conseil International des Grands Reseaux lectriques (CIGRE) European low voltage benchmark network has been simulated. The proposed algorithm has been compared with a nonoptimal charging strategy, which assigns a flat charging profile by dividing the energy requested by the desired recharge time. The results show that the optimization algorithm both complies with the energy requests set by the end users and with the technical operation limits of the network. This allows for PEVs to provide a basic-although of paramount importance-service to the grid: the smart charge.</t>
  </si>
  <si>
    <t>10.1109/TSG.2014.2380826</t>
  </si>
  <si>
    <t>Gao, Q; Zhang, XD; Pan, H</t>
  </si>
  <si>
    <t>Gao, Qiang; Zhang, Xiaodi; Pan, Hong</t>
  </si>
  <si>
    <t>Day-ahead and real-time congestion scheduling method for distribution network with multiple access to electric vehicle charging piles</t>
  </si>
  <si>
    <t>INTERNATIONAL JOURNAL OF EMERGING ELECTRIC POWER SYSTEMS</t>
  </si>
  <si>
    <t>charging pile; charging service fee; congestion scheduling; day-ahead and real-time; distribution network; electric vehicle</t>
  </si>
  <si>
    <t>DIFFERENTIAL EVOLUTION ALGORITHM; ACTIVE DISTRIBUTION NETWORKS; MANAGEMENT; OPTIMIZATION</t>
  </si>
  <si>
    <t>The day-ahead and real-time congestion scheduling method for distribution network with multiple access to electric vehicle charging piles is studied to effectively solve the day-ahead and real-time congestion scheduling problem of distribution network. The charge adjustment strategy of charge and discharge service fee is established to realize the double response regulation between the distribution system's scheduling organization and the charging pile operator; considering the adjustment strategy of charging service fee, a day-ahead congestion scheduling model is established with the goal of minimizing the charging cost of electric vehicles; based on the day-ahead congestion scheduling, a real-time congestion scheduling model is established to minimize the regional power fluctuation; the day-ahead and real-time congestion scheduling model is solved by differential evolution algorithm, and the optimal scheduling scheme is obtained. Experiments show that this method can reduce the line load rate of distribution network, avoid re-congestion, reduce the congestion scheduling cost and improve the security and economy of power grid operation.</t>
  </si>
  <si>
    <t>10.1515/ijeeps-2021-0347</t>
  </si>
  <si>
    <t>Tuchnitz, F; Ebell, N; Schlund, J; Pruckner, M</t>
  </si>
  <si>
    <t>Tuchnitz, Felix; Ebell, Niklas; Schlund, Jonas; Pruckner, Marco</t>
  </si>
  <si>
    <t>Development and Evaluation of a Smart Charging Strategy for an Electric Vehicle Fleet Based on Reinforcement Learning</t>
  </si>
  <si>
    <t>Machine Learning; Reinforcement Learning; Electric vehicle; Smart charging; Valley filling; Load balancing</t>
  </si>
  <si>
    <t>MANAGEMENT-SYSTEM; GRIDS; STATE</t>
  </si>
  <si>
    <t>Governments are currently subsidizing growth in the electric car market and the associated infrastructure in order to accelerate the transition to more sustainable mobility. To avoid the grid overload that results from simultaneously charging too many electric vehicles, there is a need for smart charging coordination systems. In this paper, we propose a charging coordination system based on Reinforcement Learning using an artificial neural network as a function approximator. Taking into account the baseload present in the power grid, a central agent creates forward-looking, coordinated charging schedules for an electric vehicle fleet of any size. In contrast to optimization-based charging strategies, system dynamics such as future arrivals, departures, and energy consumption do not have to be known beforehand. We implement and compare a range of parameter variants that differ in terms of the reward function and prioritized experience. Subsequently, we use a case study to compare our Reinforcement Learning algorithm with several other charging strategies. The Reinforcement Learning-based charging coordination system is shown to perform very well. All electric vehicles have enough energy for their next trip on departure and charging is carried out almost exclusively during the load valleys at night. Compared with an uncontrolled charging strategy, the Reinforcement Learning algorithm reduces the variance of the total load by 65%. The performance of our Reinforcement Learning concept comes close to that of an optimization-based charging strategy. However, an optimization algorithm needs to know certain information beforehand, such as the vehicle's departure time and its energy requirement on arriving at the charging station. Our novel Reinforcement Learning-based charging coordination system therefore offers a flexible, easily adaptable, and scalable approach for an electric vehicle fleet under realistic operating conditions.</t>
  </si>
  <si>
    <t>10.1016/j.apenergy.2020.116382</t>
  </si>
  <si>
    <t>Hussain, S; Ahmed, MA; Lee, KB; Kim, YC</t>
  </si>
  <si>
    <t>Hussain, Shahid; Ahmed, Mohamed A.; Lee, Ki-Beom; Kim, Young-Chon</t>
  </si>
  <si>
    <t>Fuzzy Logic Weight Based Charging Scheme for Optimal Distribution of Charging Power among Electric Vehicles in a Parking Lot</t>
  </si>
  <si>
    <t>charging scheduling; electric vehicles; fuzzy logic weight; optimal distribution of power; parking lot</t>
  </si>
  <si>
    <t>THERMAL MANAGEMENT; IMPACT; OPTIMIZATION; STATIONS; SYSTEMS; HYBRID; MODELS; LEVEL</t>
  </si>
  <si>
    <t>Electric vehicles (EVs) parking lots are representing significant charging loads for relatively a long period of time. Therefore, the aggregated charging load of EVs may coincide with the peak demand of the distribution power system and can greatly stress the power grid. The stress on the power grid can be characterized by the additional electricity demand and the introduction of a new peak load that may overwhelm both the substations and transmission systems. In order to avoid the stress on the power grid, the parking lot operators are required to limit the penetration level of EVs and optimally distribute the available power among them. This affects the EV owner's quality of experience (QoE) and thereby reducing the quality of performance (QoP) for the parking lot operators. The QoE is represents the satisfaction level of EV owners; whereas, the QoP is a measurement representing the ratio of EVs with QoE to the total number of EVs. This study proposes a fuzzy logic weight-based charging scheme (FLWCS) to optimally distribute the charging power among the most appropriate EVs in such a way that maximizes the QoP for the parking lot operators under the operational constraints of the power grid. The developed fuzzy inference mechanism resolves the uncertainties and correlates the independent inputs such as state-of-charge, the remaining parking duration and the available power into weighted values for the EVs in each time slot. Once the weight values for all EVs are known, their charging operations are controlled such that the operational constraints of the power grid are respected in each time slot. The proposed FLWCS is applied to a parking lot with different capacities. The simulation results reveal an improved QoP comparing to the conventional first-come-first-served (FCFS) based scheme.</t>
  </si>
  <si>
    <t>10.3390/en13123119</t>
  </si>
  <si>
    <t>Patil, H; Kalkhambkar, VN</t>
  </si>
  <si>
    <t>Patil, Harshavardhan; Kalkhambkar, Vaiju N.</t>
  </si>
  <si>
    <t>Charging cost minimisation by centralised controlled charging of electric vehicles</t>
  </si>
  <si>
    <t>controlled charging; cost minimisation; economic benefits; electric vehicle; grid-integration; optimal scheduling; peak shifting; unidirectional charging</t>
  </si>
  <si>
    <t>PLUG-IN HYBRID; PARTICLE SWARM OPTIMIZATION; POWER-QUALITY; IMPACT; DEMAND; LOAD; NETWORKS</t>
  </si>
  <si>
    <t>With the recent breakthroughs in battery technology and large scale production, electric vehicles (EVs) are becoming cheaper. In a few years, mass deployment of EVs will put severe stress on the electricity network. Charging of EV during peak hours may overload the distribution grid transformer, and EV owners may have to pay more money for electricity during peak hours. To address these issues, a coordinated scheduling model is proposed in this paper. A mathematical model is formulated to minimise the charging cost of each EV while satisfying the constraints. In this work, time of use (ToU) tariff from the utility and actual power demand from household and EVs are used to conduct simulation for one week in summer and winter season with different levels of EV penetration. The results demonstrate that the proposed scheduling model can significantly reduce the charging cost for the EV owner and power peaks in the distribution network.</t>
  </si>
  <si>
    <t>e12226</t>
  </si>
  <si>
    <t>10.1002/2050-7038.12226</t>
  </si>
  <si>
    <t>Gammon, R; Sallah, M</t>
  </si>
  <si>
    <t>Gammon, Rupert; Sallah, Momodou</t>
  </si>
  <si>
    <t>Preliminary Findings From a Pilot Study of Electric Vehicle Recharging From a Stand-Alone Solar Minigrid</t>
  </si>
  <si>
    <t>low-carbon transport; international development; minigrids; solar energy; electric vehicles; smart recharging; sub-Saharan Africa; developing world</t>
  </si>
  <si>
    <t>The symbiosis between smart minigrids and electric mobility has the potential to improve the cost and reliability of energy access for off-grid communities while providing low-carbon transport services. This study explores the commercial viability of using electric vehicles (EVs), recharged by solar minigrids, to provide transport services in off-grid communities. Preliminary findings are presented from a field trial in The Gambia that aims to assess the techno-economic feasibility of integrating sustainable energy and transport infrastructures in sun-rich regions of the Global South. As a dispatchable anchor load, an EV can improve the technical and economic performance of a minigrid by providing demand-side response services. In the developing world, rural communities are often among the poorest, and inadequate transport services remain a major barrier to wealth-creation. Some solutions to this situation may be transferrable to island communities, which share similar challenges in terms of access to energy and fuel. The first of its kind in Africa, this field trial uses an electric minivan, operating from an off-grid village where it has access to a minigrid whose 4.5 kW(p) of photovoltaic modules form the roof of a parking shelter for the vehicle. While there, the taxi can recharge, ideally during sunny periods when the photovoltaic array produces surplus power, thus allowing the EV's battery to recharge while bypassing the minigrid's own accumulator. This improves system reliability and cost effectiveness, while providing pollution-free energy for the taxi. Ultimately, the intention is to test different vehicles in a variety of circumstances, but this paper outlines only the preliminary findings of the first of these trials. Early results provide convincing new evidence that commercial viability of such a concept is possible in Sub-Saharan Africa. Some promising scenarios for commercial viability are identified, which warrant further investigation, since they suggest that a taxi driver's earnings could be increased between 250 and 1,300% in local operations, and even 20-fold in tourist markets, depending on vehicle type, minigrid configuration and target market. It is hoped that these may encourage the rollout of solar-recharged EVs where the nexus of sustainable energy and transport systems are likely to make the greatest contribution to addressing the UN's Sustainable Development Goals, by helping to solve the trilemma of providing energy security, social benefit and environmental sustainability in low-income countries.</t>
  </si>
  <si>
    <t>JAN 25</t>
  </si>
  <si>
    <t>10.3389/fenrg.2020.563498</t>
  </si>
  <si>
    <t>Ota, Y; Taniguchi, H; Nakajima, T; Liyanage, KM; Baba, J; Yokoyama, A</t>
  </si>
  <si>
    <t>Ota, Yutaka; Taniguchi, Haruhito; Nakajima, Tatsuhito; Liyanage, Kithsiri M.; Baba, Jumpei; Yokoyama, Akihiko</t>
  </si>
  <si>
    <t>Autonomous Distributed V2G (Vehicle-to-Grid) Satisfying Scheduled Charging</t>
  </si>
  <si>
    <t>Electric vehicle; load frequency control; smart charging; smart grid; state-of-charge; vehicle-to-grid</t>
  </si>
  <si>
    <t>To integrate large scale renewable energy sources in the power grid, the battery energy storage performs an important role for smoothing their natural intermittency and ensuring grid-wide frequency stability. Electric vehicles have not only large introduction potential but also much available time for control because they are almost plugged in the home outlets as distributed battery energy storages. Therefore, vehicle-to-grid (V2G) is expected to be one of the key technologies in smart grid strategies. This paper proposes an autonomous distributed V2G control scheme. A grid-connected electric vehicle supplies a distributed spinning reserve according to the frequency deviation at the plug-in terminal, which is a signal of supply and demand imbalance in the power grid. As a style of EV utilization, it is assumed that vehicle use set next plug-out timing in advance. In such assumption, user convenience is satisfied by performing a scheduled charging for the plug-out, and plug-in idle time is available for the V2G control. Therefore a smart charging control is considered in the proposed scheme. Satisfaction of vehicle user convenience and effect to the load frequency control is evaluated through a simulation by using a typical two area interconnected power grid model and an automotive lithium-ion battery model.</t>
  </si>
  <si>
    <t>10.1109/TSG.2011.2167993</t>
  </si>
  <si>
    <t>Hu, JJ; Morais, H; Sousa, T; Lind, M</t>
  </si>
  <si>
    <t>Hu, Junjie; Morais, Hugo; Sousa, Tiago; Lind, Morten</t>
  </si>
  <si>
    <t>Electric vehicle fleet management in smart grids: A review of services, optimization and control aspects</t>
  </si>
  <si>
    <t>Electric vehicles; Fleet operator; Optimization and control strategies; Smart charging; Vehicle-to-grid</t>
  </si>
  <si>
    <t>RENEWABLE ENERGY-SOURCES; PLUG-IN VEHICLES; CO2 EMISSIONS; INTEGRATION; SYSTEMS; IMPACT; MODEL; IMPLEMENTATION; BEHAVIOR; COST</t>
  </si>
  <si>
    <t>Electric vehicles can become integral parts of a smart grid, since they are capable of providing valuable services to power systems other than just consuming power. On the transmission system level, electric vehicles are regarded as an important means of balancing the intermittent renewable energy resources such as wind power. This is because electric vehicles can be used to absorb the energy during the period of high electricity penetration and feed the electricity back into the grid when the demand is high or in situations of insufficient electricity generation. However, on the distribution system level, the extra loads created by the increasing number of electric vehicles may have adverse impacts on grid. These factors bring new challenges to the power system operators. To coordinate the interests and solve the conflicts, electric vehicle fleet operators are proposed both by academics and industries. This paper presents a review and classification of methods for smart charging (including power to vehicle and vehicle-to-grid) of electric vehicles for fleet operators. The study firstly presents service relationships between fleet operators and other four actors in smart grids; then, modeling of battery dynamics and driving patterns of electric vehicles, charging and communications standards are introduced; after that, three control strategies and their commonly used algorithms are described; finally, conclusion and recommendations are made. (C) 2015 Elsevier Ltd. All rights reserved.</t>
  </si>
  <si>
    <t>10.1016/j.rser.2015.12.014</t>
  </si>
  <si>
    <t>Rehman, UU</t>
  </si>
  <si>
    <t>Rehman, Ubaid Ur</t>
  </si>
  <si>
    <t>A robust vehicle to grid aggregation framework for electric vehicles charging cost minimization and for smart grid regulation</t>
  </si>
  <si>
    <t>Electric Vehicles; Aggregation system; Load stabilization; Frequency stabilization; EVs charging stations; Smart grid</t>
  </si>
  <si>
    <t>ENERGY MANAGEMENT; SYSTEM; POWER; V2G; FORMULATION; TECHNOLOGY; STRATEGIES; OPERATION; SERVICES; MOBILITY</t>
  </si>
  <si>
    <t>In this paper, we propose an optimal hierarchical bi-directional aggregation algorithm for the electric vehicles (EVs) integration in the smart grid (SG) using Vehicle to Grid (V2G) technology through a network of Charging Stations (CSs). The proposed model forecasts the power demand and performs Day-ahead (DA) load scheduling in the SG by optimizing EVs charging/discharging tasks. This method uses EVs and CSs as the voltage and frequency stabilizing tools in the SG. Before penetrating EVs in the V2G mode, this algorithm determines the on arrival EVs State of Charge (SOC) at CS, obtains projected park/departure time information from EV owners, evaluates their battery degradation cost prior to charging. After obtaining all necessary data, it either uses EV in the V2G mode to regulates the SG or charge it according to the owner request but, it ensure desired SOC on departure. The robustness of the proposed algorithm has been tested by using IEEE-32 Bus-Bars based power distribution in which EVs are integrated through five CSs. Two intense case studies have been carried out for the appropriate performance validation of the proposed algorithm. Simulations are performed using electricity pricing data from PJM and to test the EVs behaviour 3 types of EVs having different specifications are penetrated. Simulation results have proved that the proposed model is capable of integrating EVs in the voltage and frequency stabilization and it also simultaneously minimizes approximately $1500 in term of charging cost for EVs contributing in the V2G mode each day. Particularly, during peak hours this algorithm provides effective grid stabilization services.</t>
  </si>
  <si>
    <t>10.1016/j.ijepes.2022.108090</t>
  </si>
  <si>
    <t>Giannelos, S; Borozan, S; Strbac, G</t>
  </si>
  <si>
    <t>Giannelos, Spyros; Borozan, Stefan; Strbac, Goran</t>
  </si>
  <si>
    <t>A Backwards Induction Framework for Quantifying the Option Value of Smart Charging of Electric Vehicles and the Risk of Stranded Assets under Uncertainty</t>
  </si>
  <si>
    <t>backwards induction framework; electric vehicles; option value; smart charging of EV; stochastic optimization</t>
  </si>
  <si>
    <t>VALUATION</t>
  </si>
  <si>
    <t>The anticipated electrification of the transport sector may lead to significant increase in the future peak electricity demand, resulting in potential violations of network constraints. As a result, a considerable amount of network reinforcement may be required in order to ensure that the expected additional demand from electric vehicles that are to be connected will be safely accommodated. In this paper we present the Backwards Induction Framework (BIF), which we use for identifying the optimal investment decisions, for calculating the option value of smart charging of EV and the cost of stranded assets; these concepts are crystallized through illustrative case studies. Sensitivity analyses depict how the option value of smart charging and the optimal solution are affected by key factors such as the social cost associated with not accommodating the full EV capacity, the flexibility of smart charging, and the scenario probabilities. Moreover, the BIF is compared with the Stochastic Optimization Framework and key insights are drawn.</t>
  </si>
  <si>
    <t>10.3390/en15093334</t>
  </si>
  <si>
    <t>Bellocchi, S; Klockner, K; Manno, M; Noussan, M; Vellini, M</t>
  </si>
  <si>
    <t>Bellocchi, Sara; Kloeckner, Kai; Manno, Michele; Noussan, Michel; Vellini, Michela</t>
  </si>
  <si>
    <t>On the role of electric vehicles towards low-carbon energy systems: Italy and Germany in comparison</t>
  </si>
  <si>
    <t>RES integration; Electric vehicles; Smart charging; EnergyPLAN; Cross-country comparison; CO2 emissions reduction</t>
  </si>
  <si>
    <t>RENEWABLE ENERGY; INTEGRATION; OPTIMIZATION; TRANSPORT; SCENARIOS; IMPACT; TIME; MIX</t>
  </si>
  <si>
    <t>Electric vehicles can play a major role in the transition towards low-carbon energy systems, but the related increase in electricity demand inevitably affects the strategic planning of the overall energy system as well as the definition of the optimal power generation mix. With this respect, the impact of electric vehicles may vary significantly depending on the composition of both total primary energy supply and electricity generation sector. In this study Italy and Germany are compared to highlight how a similarity in their renewable shares not necessarily leads to similar results in CO2 emissions reduction. Different energy scenarios are simulated with the help of EnergyPLAN software assuming a progressive increase in renewable energy sources capacity and electric vehicles penetration. Results show that, for the German case, the additional electricity required leads to a reduction in CO2 emissions only if renewable capacity increases significantly, whereas the Italian energy system benefits from transport electrification even at low renewable capacity. With a sixfold increase in renewables capacity and assuming a complete electrification of private transportation where electric vehicles charging strategy is regulated to enhance renewable integration, CO2 emissions can be reduced by 22% and 39% for Italy and Germany respectively. However, this comes along with a remarkable renewable surplus, respectively equal to 15% and 28% of the total national production unless large-scale energy storage systems are deployed.</t>
  </si>
  <si>
    <t>10.1016/j.apenergy.2019.113848</t>
  </si>
  <si>
    <t>Zweistra, M; Janssen, S; Geerts, F</t>
  </si>
  <si>
    <t>Zweistra, Marisca; Janssen, Stan; Geerts, Frank</t>
  </si>
  <si>
    <t>Large Scale Smart Charging of Electric Vehicles in Practice</t>
  </si>
  <si>
    <t>electric vehicles; smart charging; smart grid; flexibility; energy management; batteries; aggregator; distributed generation; INVADE (Horizon 2020)</t>
  </si>
  <si>
    <t>The energy system is changing due to a steady increase in electric vehicles on the demand side and local production (mostly through solar panels) on the production side. Both developments can put the energy grid under stress during certain timeframes, while there might be enough capacity on the grid most of the day. Smart charging of electric vehicles might be a solution to time dependent congestion. In this study, a smart charging strategy was developed and tested in large scale with 1000 public chargers, operated in the real word. We developed and tested protocols to temporarily limit the charger capacity based on the transformer data and the number of running sessions. Over 150,000 sessions were handled, of which almost half were influenced by the smart charging strategy applied. We found that we were able to keep within the grid limits by using these controls, without hindering the driver experience. Further improvements to the smart charging strategy can be made as soon as car manufacturers share information about the car battery such as the state of charge.</t>
  </si>
  <si>
    <t>10.3390/en13020298</t>
  </si>
  <si>
    <t>Blumberg, G; Broll, R; Weber, C</t>
  </si>
  <si>
    <t>Blumberg, Gerald; Broll, Roland; Weber, Christoph</t>
  </si>
  <si>
    <t>The impact of electric vehicles on the future European electricity system-A scenario analysis</t>
  </si>
  <si>
    <t>ENERGY POLICY</t>
  </si>
  <si>
    <t>Electric vehicles; Smart charging; Vehicle-2-grid; Investment model; Scenario analysis; Policy implications</t>
  </si>
  <si>
    <t>WIND POWER; FLEXIBILITY; REANALYSIS; GENERATION; SECTOR</t>
  </si>
  <si>
    <t>The future transformation of the European electricity system will be strongly influenced by both an ongoing integration of variable renewable energy sources (VREs) and an increased proliferation of electric vehicles (EVs). This combination will cause considerable uncertainty, especially since EV diffusion may greatly vary regarding both the spatio-temporal penetration pattern and the achievable flexibility level. Notably, power plant investment in the long run and dispatch in the short run will be affected. Hence, this paper assesses the impact of EV penetration on the integration of VREs and the costs of CO2 emission reduction as well as the necessary investments in controllable plant capacities under the consideration of frequency reserve and backup capacity requirements. Applying an extended European energy system model, we found that EVs with a high flexibility level may contribute tremendously to improved VRE integration, alleviating the number of necessary VRE investments to achieve emission-reduction goals. Simultaneously, overall system costs are reduced even though necessary investments in controllable plants, ensuring the abovementioned system stability needs, significantly increase. Policy makers should hence ensure sufficient incentives to both exploit the EVs' potential and safeguard corresponding investments in controllable plants, which need to remain attractive even though full-load hours are decreasing.</t>
  </si>
  <si>
    <t>10.1016/j.enpol.2021.112751</t>
  </si>
  <si>
    <t>Pashajavid, E; Golkar, MA</t>
  </si>
  <si>
    <t>Pashajavid, E.; Golkar, M. A.</t>
  </si>
  <si>
    <t>Non-Gaussian multivariate modeling of plug-in electric vehicles load demand</t>
  </si>
  <si>
    <t>Battery charging profile; Electric vehicles; Load modeling; Monte Carlo simulation; Smart grid; Uncertainty</t>
  </si>
  <si>
    <t>POWER; COPULAS; PROFILE; IMPACT</t>
  </si>
  <si>
    <t>This paper proposes an organized stochastic methodology to model the power demand of plug-in electric vehicles (PEVs) which can be embedded into probabilistic distribution system planning. Time schedules as well as traveling and refueling information of a set of commuter vehicles in Tehran are utilized as the input dataset. In order to generate the required synthetic data, the correlation structure of the aforesaid random variables is taken into account using a multivariate student's t function. Afterwards, a Monte Carlo based stochastic simulation is provided to extract the initial state-of-charge of batteries. Further, a non-Gaussian probabilistic decision making algorithm is developed that accurately infers whether the PEVs charging should take place every day or not. Then, through presenting a state transition model to describe the charging profile of a PEV battery, hourly demand distributions of the PEVs are derived. The obtained distributions can be used to generate the random samples required in probabilistic planning problems. Eventually, the extracted distributions are employed to estimate demand profile of a fleet that can be efficiently utilized in various applications. (C) 2014 Elsevier Ltd. All rights reserved.</t>
  </si>
  <si>
    <t>10.1016/j.ijepes.2014.03.021</t>
  </si>
  <si>
    <t>Khan, K; El-Sayed, I; Arboleya, P</t>
  </si>
  <si>
    <t>Khan, Komal; El-Sayed, Islam; Arboleya, Pablo</t>
  </si>
  <si>
    <t>Multi-Issue Negotiation EVs Charging Mechanism in Highly Congested Distribution Networks</t>
  </si>
  <si>
    <t>Distribution networks; Real-time systems; Buildings; Electric vehicle charging; Protocols; Power transformers; Load modeling; Congestion management; coordinated charge; distribution systems; electric vehicles; flexibility; market mechanism; multi-issue negotiation</t>
  </si>
  <si>
    <t>ELECTRIC VEHICLES; ENERGY; POWER; AGGREGATOR; IMPACT</t>
  </si>
  <si>
    <t>The work presented in this paper describes a multi-issue negotiation protocol between active consumers and a management platform in order to establish load coordination in a highly congested network. The multi-issue negotiation protocol considers simultaneously the consumption interval, the price, and the size of the energy packages, which is the main contribution of this work . Regarding the implementation methodology, the proposed algorithms have been implemented using MATLAB classes that allow emulating the behaviour of a multi-agent system in which each vehicle is an agent that interacts with the platform, which is another agent. In the present work, and without loss of generality, the algorithm is applied to coordinate the charging of electric vehicles (EVs) in a distribution network in which building loads represent critical loads. The algorithm is tested in a realistic environment, and its stability and performance are evaluated. Furthermore, the description of the algorithm is provided in a generic form, and it could be applied to any other scenario.</t>
  </si>
  <si>
    <t>10.1109/TVT.2022.3175266</t>
  </si>
  <si>
    <t>Design of Optimal Incentives for Smart Charging Considering Utility-Customer Interactions and Distribution Systems Impact</t>
  </si>
  <si>
    <t>Capacity deferral; customer participation; incentive mechanisms; local distribution company; plug-in electric vehicles; smart charging; uncontrolled charging</t>
  </si>
  <si>
    <t>DEMAND-SIDE MANAGEMENT; VEHICLES</t>
  </si>
  <si>
    <t>With increasing environmental concerns the penetration of plug-in electric vehicles (PEVs) is expected to increase in the future. Such electrification of the transportation sector will impact the distribution grid adversely; however, PEV smart charging strategies can help mitigate the impacts. In this paper, a PEV smart charging approach is proposed where the charging loads are controlled and incentivized by the local distribution company (LDC) for every unit of energy controlled. A novel framework is proposed to determine the optimal participation of PEVs in the smart charging program and optimal incentives paid by the LDC to PEV customers, such that both parties are economically benefited. The proposed framework models the relationship between customers' participation and incentives offered by the LDC. The relationship between the expected investment deferral and hence the economic benefits from smart charging participation are considered as well. Monte Carlo simulation is used to simulate the uncertainty of demand, electricity market price, drivers' behavior, PEV market share, and charging level share. The proposed framework is tested on the 33-bus distribution system and the results show that the proposed approach is effective and can economically benefit both LDC and smart charging PEV participants, while also improving distribution system operation.</t>
  </si>
  <si>
    <t>10.1109/TSG.2017.2771508</t>
  </si>
  <si>
    <t>Al-Obaidi, A; Khani, H; Farag, HEZ; Mohamed, M</t>
  </si>
  <si>
    <t>Al-Obaidi, Abdullah; Khani, Hadi; Farag, Hany E. Z.; Mohamed, Moataz</t>
  </si>
  <si>
    <t>Bidirectional smart charging of electric vehicles considering user preferences, peer to peer energy trade, and provision of grid ancillary services</t>
  </si>
  <si>
    <t>Smart charging; Electric vehicles; Ancillary services; Peer-to-peer; Economical operation; Energy storage; Smart contracts; Blockchain</t>
  </si>
  <si>
    <t>Electric vehicles (EVs) are witnessing increased utilization throughout the world as an alternative to fossil-fueled vehicles. The extensive deployment of EVs can bring challenges to the grid if not properly integrated. Such challenges, however, could be exploited as opportunities if the huge unused capacity of the battery storage in millions of EVs are utilized for ancillary services to the grid and peer-to-peer (PtP) energy trade. Given that there is at least one human user per vehicle, human input must be considered to improve the scheduling process. To that end, this paper presents a new algorithm for bidirectional smart charging of EVs considering user preferences, PtP energy trade, and provision of ancillary services to the grid. The preferences of an EV user as input to the model are embedded into the scheduling process enabling the model to be adaptive to various conditions. Optimization slack variables are utilized for optimal management of EV battery SOC and energy allocation for multiple services. New indices are developed and introduced for quantification of the EV participation in ancillary services and PtP transactions. Real-world data has been collected and utilized for model specification and simulation to make the assumptions more realistic. The efficacy and feasibility of the proposed model are validated using numerical studies. The results indicate that incorporating users' preferences into the scheduling process would improve the aggregated revenue generated by the EV scheduling model which in turn could offset the charging costs by up to 100%. Further, an increase of about 90% in peer-to-peer energy transactions among EVs and 11% in ancillary services provision to the grid are achieved through the developed user-centric smart charging model.</t>
  </si>
  <si>
    <t>10.1016/j.ijepes.2020.106353</t>
  </si>
  <si>
    <t>Bonilla-Gamez, N</t>
  </si>
  <si>
    <t>Bonilla-Gamez, Natalia</t>
  </si>
  <si>
    <t>Proposal of a microgrid in the community of Santa Elena, Perez Zeledon, based on Whites Lane Smart Micro Grid</t>
  </si>
  <si>
    <t>TECNOLOGIA EN MARCHA</t>
  </si>
  <si>
    <t>Smart microgrid; photovoltaic panels; global irradiation; energy storage; microinverter; smart meter; battery; electric vehicles; charging station</t>
  </si>
  <si>
    <t>The following article proposes the design for a smart microgrid in the community of Santa Elena, Perez Zeledon, Costa Rica, based on Whites Lane Micro Grid. The proposal consists of ten customers (rural families), whose homes have an installed photovoltaic capacity of 2 kW and smart meters to monitor consumption, a way to promote awareness about the rational and efficient use of energy. The electricity generated by the panels, after going through a micro inverter, will enter in the transverter that manages the flow of energy between different possible sources of generation, such as batteries, costumers and external power supply. In addition, an energy storage system with batteries will be installed to operate autonomously at night and at any time when the demand is greater than the photovoltaic production. Also, an electric vehicle charging station will be connected to the microgrid, supplied by twenty four solar panels, to promote the use of electric vehicles and this type of infrastructure in the community and in the country.</t>
  </si>
  <si>
    <t>10.18845/tm.v30i5.3224</t>
  </si>
  <si>
    <t>Zhou, Z; Liu, ZT; Su, HY; Zhang, LY</t>
  </si>
  <si>
    <t>Zhou, Ze; Liu, Zhitao; Su, Hongye; Zhang, Liyan</t>
  </si>
  <si>
    <t>Integrated pricing strategy for coordinating load levels in coupled power and transportation networks</t>
  </si>
  <si>
    <t>Coordinated load level; Electric vehicles; Dynamic wireless charging; Integrated pricing strategy; Power distribution network; Transportation network</t>
  </si>
  <si>
    <t>The increasing popularity of electric vehicles and the development of dynamic wireless charging technology have strengthened the integration between the power system and transportation system. To coordinate the load levels of the coupled power distribution network and transportation network, we propose an integrated pricing strategy including road tolls and charging prices, which depend on the road traffic load rate in the transportation network and the bus load rate in the power distribution network, respectively. To accurately model the interdependency between the power distribution network and the transportation network, a proper interface equation is proposed. Considering data privacy, we adopt a distributed optimization. Furthermore, we present a power allocation strategy based on model predictive control to meet the charging requirements of different EVs. Correspondingly, the above ideas form a two-layer optimization strategy. Based on the integrated pricing strategy, the upper layer aims to minimize the power generation cost and transportation travel cost, while balancing the load levels. The lower layer distributes charging power to different EVs based on the total power demand from the interface equation between the power distribution network and the transportation network. Numerical results demonstrate the effectiveness of the proposed integrated pricing strategy for coordinating load levels in coupled networks.</t>
  </si>
  <si>
    <t>10.1016/j.apenergy.2021.118100</t>
  </si>
  <si>
    <t>Sun, CL; Wen, XM; Lu, ZM; Zhang, JS; Chen, X</t>
  </si>
  <si>
    <t>Sun, Chunlei; Wen, Xiangming; Lu, Zhaoming; Zhang, Junshan; Chen, Xi</t>
  </si>
  <si>
    <t>A Graphical Game Approach to Electrical Vehicle Charging Scheduling: Correlated Equilibrium and Latency Minimization</t>
  </si>
  <si>
    <t>Cascading style sheets; Games; Job shop scheduling; Transportation; Sun; Sociology; Electric vehicle; charging scheduling; charging latency; graphical game; correlated equilibrium</t>
  </si>
  <si>
    <t>TRANSPORTATION</t>
  </si>
  <si>
    <t>Electric vehicles (EVs) are becoming increasingly popular, but the frequent charging and large charging latency remain major obstacles to the EV industry. This article focuses on the charging scheduling of on-the-move EVs in a transportation network to minimize EVs' charging latency, including driving time to charging stations (CSs), wait time and charging time. We formulate this charging scheduling problem as a graphical game to characterize the strong couplings of charging latency among neighboring EV players. Specially, we investigate correlated equilibrium (CE) to describe the joint strategies of EV players, which is expected to further reduce the charging latency of EVs compared with Nash equilibrium (NE). It is shown that CE always exists in a finite game, and can be found by linear programming tools. In addition, we propose a method of wait time prediction, which can improve the prediction accuracy by combining the data of deterministic EV arrivals and the stochastic property of potential EV arrivals. Simulation studies are used to examine the performance of the proposed game-based approach, the efficiency of CE, the preciseness of our proposed wait time prediction method, the impacts of CS deployment on EVs' charging latency, etc. We can draw a conclusion that our method has apparent advantages in situations where the locations of EV players are in dense manners.</t>
  </si>
  <si>
    <t>10.1109/TITS.2020.3025721</t>
  </si>
  <si>
    <t>El-fedany, I; Kiouach, D; Alaoui, R</t>
  </si>
  <si>
    <t>El-fedany, Ibrahim; Kiouach, Driss; Alaoui, Rachid</t>
  </si>
  <si>
    <t>A Smart Coordination System Integrates MCS to Minimize EV Trip Duration and Manage the EV Charging, Mainly at Peak Times</t>
  </si>
  <si>
    <t>INTERNATIONAL JOURNAL OF INTELLIGENT TRANSPORTATION SYSTEMS RESEARCH</t>
  </si>
  <si>
    <t>Electric vehicles; Fixed charging stations; Mobile charging stations; Peak time; Queuing theorem; Smart city; Trip duration; Vehicle-to-vehicle charging</t>
  </si>
  <si>
    <t>OPTIMIZATION MODEL; INFRASTRUCTURE; STATIONS; SERVICE</t>
  </si>
  <si>
    <t>The fixed public charging stations (FCS) network is challenged by widespread of electric vehicle (EV) uses. Therefore, there is exploitation of the many parks spread over the territory of a smart city by means of mobile charging stations (MCS). That can be set up or moved anywhere as needed. This allows for the rapid expansion of the charging infrastructure. In this work, we propose an architecture system consisting of a set of algorithms to manage electric vehicle charging plans in terms of minimizing journey time, including waiting and charging time at charging stations (CS). Thus, During the CS selection decision, the system takes into consideration the amount of sufficient energy for the EV to reach the specified CS, the remaining amount of energy in stock if the selected CS is the MCS type, the CS Real-time status, and the first-come-first-served policy based on providing charge seats in CS. Moreover, the dynamically system regulates each FCS at its peak time of its MCS operation, ensuring a semi-permanent equilibrium in electrical grid usage and reducing congestion by changing the flow of vehicles that are directed towards FCSs for charging. The evaluation results demonstrate, in the context of the Helsinki City scenario, the effectiveness of the proposed system and algorithms, in terms of achieving the above-mentioned objectives.</t>
  </si>
  <si>
    <t>10.1007/s13177-021-00258-1</t>
  </si>
  <si>
    <t>Chekired, DA; Khoukhi, L; Mouftah, HT</t>
  </si>
  <si>
    <t>Chekired, Djabir Abdeldjalil; Khoukhi, Lyes; Mouftah, Hussein T.</t>
  </si>
  <si>
    <t>Fog-Computing-Based Energy Storage in Smart Grid: A Cut-Off Priority Queuing Model for Plug-In Electrified Vehicle Charging</t>
  </si>
  <si>
    <t>Vehicle-to-grid; Job shop scheduling; Planning; Electric vehicle charging; Computer architecture; Energy storage; Cut-off priority queuing system; distributed Fog; electric vehicle (EV); smart grid</t>
  </si>
  <si>
    <t>SCALE EVOLUTION; MANAGEMENT</t>
  </si>
  <si>
    <t>Electric vehicles (EVs) are likely to become very popular within the next few years. With possibly millions of such vehicles operating across the smart cities, smart grid energy providers can be directly impacted by the charging of EV batteries. In order to reduce this impact and optimize energy saving, in this article, we propose a coordinated model for scheduling the plug-in of EVs for charging and discharging energy. The model is based on a new decentralized Fog architecture for smart grid in order to reduce the completion and communication delay of EV energy demand scheduling. To enhance the scheduling of EV demands and predict the future energy flows, we propose a plug-in system of EVs based on calendar planning. We develop a mathematical formalism based on Markov chains using a multipriority queuing theory with cut-off discipline in order to reduce the waiting time to plug-in. We implement three planning algorithms in order to assign priority levels and then optimize the plug-in time into each EV public supply station. To the best of our knowledge, this is the first article that proposes a model that tries to save energy by planning the plug-in of EVs using a cut-off priority queuing model and a decentralized Fog architecture. We evaluate the performances of our solution via extensive simulations using a realistic energy loads from the city of Toronto, and we compare it with other recent works.</t>
  </si>
  <si>
    <t>10.1109/TII.2019.2940410</t>
  </si>
  <si>
    <t>Khalid, MR; Alam, MS; Sarwar, A; Asghar, MSJ</t>
  </si>
  <si>
    <t>Khalid, Mohd Rizwan; Alam, Mohammad Saad; Sarwar, Adil; Asghar, M. S. Jamil</t>
  </si>
  <si>
    <t>A Comprehensive review on electric vehicles charging infrastructures and their impacts on power-quality of the utility grid</t>
  </si>
  <si>
    <t>Charging infrastructure; Coordinated charging; Electric vehicles; EV; Power factor; PF; Power-quality; Renewable energy sources; RES; Total harmonic distortion; THD</t>
  </si>
  <si>
    <t>The large penetration of electric vehicles (EV) charging stations in existing utility grid is bringing up many power-quality problems which highly affect the load performances at the large and small consumer ends. This trend seems to grow at more pronounced rate as nowadays there is a shift from using internal combustion (IC) engine based vehicles to EV due to their superiorities. EV chargers convert the ac power to dc power for charging of EV batteries. During this conversion of power by power electronics high frequency switching converters, harmonics are injected into the grid which degrades the power-quality of line current in the grid. Such injection of harmonics causes electrical and thermal overloading of distribution transformers thus affecting their life expectancy. Other problems include drawing of excess current from the grid, unbalancing between demand and supply in utility grid, voltage deviation in the grid, etc. Thus, it is required to maintain the IEEE-519 power quality standards during charging of EV. This paper presents a survey of the fast charging stations for EV and their impacts on the exiting utility grid along with the solution to overcome these issues. (C) 2019 Elsevier B.V. All rights reserved.</t>
  </si>
  <si>
    <t>10.1016/j.etran.2019.100006</t>
  </si>
  <si>
    <t>Wu, WT; Lin, Y; Liu, RH; Li, YH; Zhang, Y; Ma, CX</t>
  </si>
  <si>
    <t>Wu, Weitiao; Lin, Yue; Liu, Ronghui; Li, Yaohui; Zhang, Yi; Ma, Changxi</t>
  </si>
  <si>
    <t>Online EV Charge Scheduling Based on Time-of-Use Pricing and Peak Load Minimization: Properties and Efficient Algorithms</t>
  </si>
  <si>
    <t>Electric vehicle charging; Heuristic algorithms; Vehicle dynamics; Pricing; Optimal scheduling; System performance; Electric vehicle; online charging; time-of-use pricing; peak load; prediction; heuristic</t>
  </si>
  <si>
    <t>ELECTRIC VEHICLES; RENEWABLE ENERGY; STATION; STRATEGY; ARRIVAL</t>
  </si>
  <si>
    <t>Electric vehicles (EVs) endow great potentials for future transportation systems, while efficient charge scheduling strategies are crucial for improving profits and mass adoption of EVs. Two critical and open issues concerning EV charging are how to minimize the total charging cost (Objective 1) and how to minimize the peak load (Objective 2). Although extensive efforts have been made to model EV charging problems, little information is available about model properties and efficient algorithms for dynamic charging problems. This paper aims to fill these gaps. For Objective 1, we demonstrate that the greedy-choice property applies, which means that a globally optimal solution can be achieved by making locally optimal greedy choices, whereas it does not apply to Objective 2. We propose a non-myopic charging strategy accounting for future demands to achieve global optimality for Objective 2. The problem is addressed by a heuristic algorithm combining a multi-commodity network flow model with customized bisection search algorithm in a rolling horizon framework. To expedite the solution efficiency, we derive the upper bound and lower bound in the bisection search based on the relationship between charging volume and parking time. We also explore the impact of demand levels and peak arrival ratios on the system performance. Results show that with prediction, the peak load can converge to a globally optimal solution, and that an optimal look-ahead time exists beyond which any prediction is ineffective. The proposed algorithm outperforms the state-of-the-art algorithms, and is robust to the variations of demand and peak arrival ratios.</t>
  </si>
  <si>
    <t>10.1109/TITS.2020.3014088</t>
  </si>
  <si>
    <t>Yang, SB; Zhang, SS; Ye, JJ</t>
  </si>
  <si>
    <t>Yang, Shaobing; Zhang, Shanshan; Ye, Jingjing</t>
  </si>
  <si>
    <t>A Novel Online Scheduling Algorithm and Hierarchical Protocol for Large-Scale EV Charging Coordination</t>
  </si>
  <si>
    <t>Charging coordination; electric vehicle (EV); hierarchical protocol; integer linear programming (ILP); recursive method</t>
  </si>
  <si>
    <t>IN ELECTRIC VEHICLES; PLUG</t>
  </si>
  <si>
    <t>For electric vehicle (EV) charging coordination, relaxation and approximation methods are usually employed to improve scheduling efficiency in solving integer linear programming (ILP) problems. Nevertheless, they have a few inherent flaws, such as frequent charging interruption and large deviation in final SOC. Based on the recursive method, this paper proposes a search-swapping algorithm (SSA) for optimal approximation. It leverages the non-aftereffect property of charging scheduling to approximate the optimal solution as well as uses single recursion instead of multiple recursion to reduce computation cost from exponential time to polynomial time. Compared with the conventional algorithms, it has much higher efficiency, less charging interruption, and better final SOC uniformity. Furthermore, a single-round interactive protocol is designed for hierarchical coordinated framework to achieve power dispatch. Numerous simulations show that the SSA has outstanding efficiency and satisfactory optimality.</t>
  </si>
  <si>
    <t>10.1109/ACCESS.2019.2929626</t>
  </si>
  <si>
    <t>Dyo, V</t>
  </si>
  <si>
    <t>Dyo, Vladimir</t>
  </si>
  <si>
    <t>Behavior-Neutral Smart Charging of Plugin Electric Vehicles: Reinforcement Learning Approach</t>
  </si>
  <si>
    <t>Behavioral sciences; Smart charging; Load modeling; Costs; Computational modeling; Aggregates; Vehicles; Electric vehicle; smart charging; reinforcement learning; prediction; big data</t>
  </si>
  <si>
    <t>DEMAND; LOAD</t>
  </si>
  <si>
    <t>High-powered electric vehicle (EV) charging can significantly increase charging costs due to peak-demand charges. This paper proposes a novel charging algorithm which exploits typically long plugin sessions for domestic chargers and reduces the overall charging power by boost charging the EV for a short duration, followed by low-power charging for the rest of the plugin session. The optimal parameters for boost and low-power charging phases are obtained using reinforcement learning by training on EV's past charging sessions. Compared to some prior work, the proposed algorithm does not attempt to predict the plugin session duration, which can be difficult to accurately predict in practice due to the nature of human behavior, as shown in the analysis. Instead, the charging parameters are controlled directly and are adapted transparently to the user's charging behavior over time. The performance evaluation on a UK dataset of 3.1 million charging sessions from 22,731 domestic charge stations, demonstrates that the proposed algorithm results in 31% of aggregate peak reduction. The experiments also demonstrate the impact of history size on learning behavior and conclude with a case study by applying the algorithm to a specific charge point.</t>
  </si>
  <si>
    <t>10.1109/ACCESS.2022.3183795</t>
  </si>
  <si>
    <t>Soleimani, M; Kezunovic, M</t>
  </si>
  <si>
    <t>Soleimani, Milad; Kezunovic, Mladen</t>
  </si>
  <si>
    <t>Mitigating Transformer Loss of Life and Reducing the Hazard of Failure by the Smart EV Charging</t>
  </si>
  <si>
    <t>Hazards; State of charge; Electric vehicle charging; Fuzzy logic; Temperature distribution; Stress; Batteries; Demand side management; electric vehicle; fuzzy logic; hazard assessment; smart charging</t>
  </si>
  <si>
    <t>POWER TRANSFORMERS; OF-LIFE; SYSTEM; IMPACT</t>
  </si>
  <si>
    <t>The impact of uncoordinated charging of electrical vehicles (EVs) under high penetration on distribution transformers is studied. It was shown that EV chagrining may cause prolonged transformer overload condition, that may in turn result in transformer loss of life and increased hazard of failure. To mitigate the impact, a fuzzy logic-based system for determining EV charging schedule is devised. It uses four main inputs: 1) EV battery state of charge; 2) required state of charge for the next trip; 3) estimated time of EV departure; and 4) customer comfort level. The resulting output is a performance index that the distribution system operators can utilize in a decision-making tool to determine whether to delay the charging of given EV and pay the incentive to the EV owner. The data for the city of College Station, Texas, USA including temperature, price of electricity and load profile are collected from various sources to simulate different use cases. The example illustrates how the proposed EV management approach could mitigate the impact of EV charging on the transformer loss of life and hazard of failure. The main advantage of the proposed approach is the low cost due to simple design implementation. The information that needs to be sent from the consumer to the distribution system operator is minimized, which helps in maintaining costumers' privacy.</t>
  </si>
  <si>
    <t>10.1109/TIA.2020.2986990</t>
  </si>
  <si>
    <t>Acharya, S; Mieth, R; Konstantinou, C; Karri, R; Dvorkin, Y</t>
  </si>
  <si>
    <t>Acharya, Samrat; Mieth, Robert; Konstantinou, Charalambos; Karri, Ramesh; Dvorkin, Yury</t>
  </si>
  <si>
    <t>Cyber Insurance Against Cyberattacks on Electric Vehicle Charging Stations</t>
  </si>
  <si>
    <t>Insurance; Computer crime; Tariffs; Electric vehicle charging; Load modeling; Optimization; Loading; Cyber insurance; cybersecurity; electric vehicle charging station; semi-Markov process; smart grids; uncertainty</t>
  </si>
  <si>
    <t>POWER-SYSTEM RELIABILITY; CYBERSECURITY; OPTIMIZATION; GENERATION; ATTACK</t>
  </si>
  <si>
    <t>Cyberattacks in the energy sector are commonplace. Load-altering cyberattacks launched via the manipulations of high-wattage appliances and assets are particularly alarming, as they are not continuously monitored by electric power utilities. Public Electric Vehicle Charging Stations (EVCSs) are among such high-wattage assets. Even EVCSs monitored by the electric power utilities and protected by state-of-the-art defense mechanisms are vulnerable to cyberattacks. Such cyberattacks cause financial losses to the EVCSs. In this paper, we propose cyber insurance for EVCSs to hedge the economic loss due to such cyberattacks and develop a data-driven cyber insurance design model for public EVCSs. Under mild modeling assumptions, we derive an optimal cyber insurance premium. Then, we ensure the robustness of this optimal premium and investigate the risk of insuring the EVCSs using a suitable risk assessment metric (Conditional Value-at-Risk). A case study with data from EVCSs in Manhattan, New York illustrates our results. Our results demonstrate that risk assessment is crucial for designing insurance premiums. Furthermore, the premium increases in proportion to the loss coverage offered for the EVCSs. This work informs the stakeholders involved in the roll-out and operation of public EVCSs about the benefits of cyber insurance and suggests that insurance premiums can be reduced by deploying state-of-the-art defense mechanisms.</t>
  </si>
  <si>
    <t>10.1109/TSG.2021.3133536</t>
  </si>
  <si>
    <t>Yucel, F; Akkaya, K; Bulut, E</t>
  </si>
  <si>
    <t>Yucel, Fatih; Akkaya, Kemal; Bulut, Eyuphan</t>
  </si>
  <si>
    <t>Efficient and privacy preserving supplier matching for electric vehicle charging</t>
  </si>
  <si>
    <t>AD HOC NETWORKS</t>
  </si>
  <si>
    <t>Electric vehicle charging; Scheduling; Privacy; Paillier homomorphic encryption; Distributed stable matching; Vehicular network</t>
  </si>
  <si>
    <t>PEER</t>
  </si>
  <si>
    <t>Electric Vehicle (EV) charging takes longer time and happens more frequently compared to refueling of fossil-based vehicles. This requires in-advance scheduling on charging stations depending on the route of the demander EVs for efficient resource allocation. However, such scheduling and frequent charging may leak sensitive information about the users which may expose their driving patterns, whereabouts, schedules, etc. The situation is compounded with the proliferation of EV chargers such as V2V charging where any two EVs can charge each other through a charging cable. In such cases, the matching of these EVs is typically done in a centralized manner which exposes private information to third parties which do the matching. To address this issue, in this paper, we propose an efficient and privacy-preserving distributed matching of demander EVs with charge suppliers (i.e., public/private stations, V2V chargers) using bichromatic mutual nearest neighbor (BMNN) assignments. To this end, we use partially homomorphic encryption-based BMNN computation through local communication (e.g., DSRC or LTE-direct) between users while hiding their locations. The proposed matching algorithm provides not only a satisfactory assignment for all parties but also achieves an efficient matching in dynamic environments where new demanders and suppliers show up and some leave. The simulation results indicate that the proposed matching of suppliers and demanders can be achieved in a distributed fashion within reasonable computation and convergence times while preserving privacy of users. Moreover, due to the nature of its design, it provides a more efficient matching process for dynamic environments compared to standard stable matching algorithm, reducing the average waiting time for users until matching. (C) 2018 Elsevier B,V. All rights reserved.</t>
  </si>
  <si>
    <t>10.1016/j.adhoc.2018.07.029</t>
  </si>
  <si>
    <t>Schwenk, K; Meisenbacher, S; Briegel, B; Harr, T; Hagenmeyer, V; Mikut, R</t>
  </si>
  <si>
    <t>Schwenk, Karl; Meisenbacher, Stefan; Briegel, Benjamin; Harr, Tim; Hagenmeyer, Veit; Mikut, Ralf</t>
  </si>
  <si>
    <t>Integrating Battery Aging in the Optimization for Bidirectional Charging of Electric Vehicles</t>
  </si>
  <si>
    <t>Batteries; Aging; Data models; Vehicle-to-grid; State of charge; Temperature sensors; Temperature dependence; Electric vehicle charging; artificial neural network (ANN); vehicle-to-grid; optimization; smart charging; electric vehicles; energy arbitrage</t>
  </si>
  <si>
    <t>PRICE; MODEL; STRATEGIES</t>
  </si>
  <si>
    <t>Smart charging of Electric Vehicles (EVs) reduces operating cost, allows more sustainable battery usage, and promotes the rise of electric mobility. In addition, bidirectional charging and improved connectivity enable efficient power grid support. Today, however, uncoordinated charging, e.g., governed by users' habits, is still the norm. Thus, the impact of upcoming smart charging applications is mostly unexplored. We aim to estimate the expenses inherent with smart charging, e.g., battery aging costs, and give suggestions for further research. Using typical onboard sensor data we concisely model and validate an EV battery. We then integrate the battery model into a realistic smart charging use case and compare it with measurements of real EV charging. The results show that i) the temperature dependence of battery aging calls for precise thermal models for charging power greater than 7 kW, ii) disregarding battery aging underestimates EVs' operating cost by approx. 30%, and iii) the profitability of Vehicle-to-Grid (V2G) services based on bidirectional power flow, e.g., energy arbitrage, depends on battery aging costs and the electricity price spread.</t>
  </si>
  <si>
    <t>10.1109/TSG.2021.3099206</t>
  </si>
  <si>
    <t>Gupta, V; Konda, SR; Kumar, R; Panigrahi, BK</t>
  </si>
  <si>
    <t>Gupta, Vishu; Konda, Srikanth Reddy; Kumar, Rajesh; Panigrahi, Bijaya Ketan</t>
  </si>
  <si>
    <t>Electric Vehicle Driver Response Evaluation in Multiaggregator Charging Management With EV Routing</t>
  </si>
  <si>
    <t>Job shop scheduling; Vehicles; Charging stations; Indexes; State of charge; Routing; Collaborative (CoS) scheduling; charging cost; charging scheduling; driver response indicators (DRI); electric vehicle (EV); unscheduled penalty</t>
  </si>
  <si>
    <t>FUZZY MODELS; COORDINATION</t>
  </si>
  <si>
    <t>Electric vehicle (EV) charging scheduling is a necessary aspect for encouraging the everyday use of EVs. EV charging may be accommodated while benefiting one or more of the stakeholders, i.e., the grid, the aggregator (service provider), and/or the driver. This article presents a profit maximization multiaggregator scheduling scheme, which encapsulates the benefits of the consumer while maximizing the profits of the aggregator in noncollaborative and collaborative scheduling. The manuscript proposes novel fuzzy inference based EV driver response indicator (EVDRI) for gauging the response of the EV driver to a particular scheduling. The EVDRI is dependent on parameters of charging time and cost. Penalties for low satisfaction, along with penalties for any EVs that remain unscheduled are also included in the profit calculation. Furthermore, the potential impact of EV routing on aggregator profits and drivers satisfaction is also explored. Results indicate that the user response is positive (greater satisfaction) in case of collaborative scheduling and with optimum routing. The developed fuzzy EVDRI (F-EVDRI) provides good indication of the satisfaction level of the drivers. Impact of different parameters is also explored on the F-EVDRI wherein charging duration was found to be the parameter that impacts the EVDRI.</t>
  </si>
  <si>
    <t>10.1109/TIA.2020.3017563</t>
  </si>
  <si>
    <t>Leippi, A; Fleschutz, M; Murphy, MD</t>
  </si>
  <si>
    <t>Leippi, Andre; Fleschutz, Markus; Murphy, Michael D.</t>
  </si>
  <si>
    <t>A Review of EV Battery Utilization in Demand Response Considering Battery Degradation in Non-Residential Vehicle-to-Grid Scenarios</t>
  </si>
  <si>
    <t>multi-objective optimization; electric vehicle fleet; electric vehicle charging; industrial demand response; vehicle-to-grid; smart grid; battery degradation</t>
  </si>
  <si>
    <t>LITHIUM-ION BATTERIES; ENERGY MANAGEMENT-SYSTEM; CYCLE-LIFE MODEL; OF-THE-ART; ELECTRIC VEHICLES; SIDE MANAGEMENT; MULTIOBJECTIVE OPTIMIZATION; CAPACITY DEGRADATION; OPTIMAL OPERATION; STORAGE-SYSTEM</t>
  </si>
  <si>
    <t>Integrating fleets of electric vehicles (EVs) into industrial applications with smart grids is an emerging field of important research. It is necessary to get a comprehensive overview of current approaches and proposed solutions regarding EVs with vehicle-to-grid and smart charging. In this paper, various approaches to battery modeling and demand response (DR) of EV charging in different decentralized optimization scenarios are reviewed. Modeling parameters of EVs and battery degradation models are summarized and discussed. Finally, optimization approaches to simulate and optimize demand response, taking into account battery degradation, are investigated to examine the feasibility of adapting the charging process, which may bring economic and environmental benefits and help to alleviate the increasing demand for flexibility. There is a lack of studies that comprehensively consider battery degradation for EV fleets in DR charging scenarios where corresponding financial compensation for the EV owners is considered. Therefore, models are required for estimating the level of battery degradation endured when EVs are utilized for DR. The level of degradation should be offset by providing the EV owner with subsidized or free electricity provided by the company which is partaking in the DR. This trade-off should be optimized in such a manner that the company makes cost savings while the EV owners are compensated to a level that is at least commensurate with the level of battery degradation. Additionally, there is a lack of studies that have examined DR in smart grids considering larger EV fleets and battery degradation in multi-criteria approaches to provide economic and environmental benefits.</t>
  </si>
  <si>
    <t>10.3390/en15093227</t>
  </si>
  <si>
    <t>Al-Obaidi, AA; Farag, HEZ</t>
  </si>
  <si>
    <t>Al-Obaidi, Abdullah Azhar; Farag, Hany E. Z.</t>
  </si>
  <si>
    <t>Decentralized Quality of Service Based System for Energy Trading Among Electric Vehicles</t>
  </si>
  <si>
    <t>Quality of service; Smart contracts; Blockchain; Peer-to-peer computing; Reliability; Electric vehicle charging; Distributed ledger; Electric vehicles; energy trading; peer-to-peer; quality of services; user preferences; smart contracts</t>
  </si>
  <si>
    <t>ASSIGNMENT; ALGORITHM; BLOCKCHAIN; INTERNET; PEER</t>
  </si>
  <si>
    <t>This paper incorporates a new perspective into P2P energy trading coordination schemes for EVs by considering Quality of Service (QoS) management. QoS could be utilized as a control metric to facilitate resilient and reliable transactions according to user preferences. To that end, this paper proposes a novel decentralized QoS-based system for P2P energy trading among EV energy providers and consumers. The system utilizes smart contracts to carry out the matching between EVs and monitor the delivery of a QoS-based P2P contract without the presence of a third party. Two QoS-based mechanisms are proposed to match trading EVs in this system. The proposed mechanisms are designed to match single-consumer to multiple-providers and multiple-consumers to multiple-providers based on consumers' and providers' QoS requirements and offers, respectively. A fuzzy-based approach with minimum and intelligible input is introduced to determine the weight values of each QoS attribute. Further, a penalty mechanism is developed to discourage dishonest requests/offers and ensure that trading parties stick to their contractual obligations. Numerical simulations are conducted to validate the effectiveness of the proposed QoS-based mechanisms.</t>
  </si>
  <si>
    <t>10.1109/TITS.2021.3058514</t>
  </si>
  <si>
    <t>Hao, LL; Jin, JL; Xu, YJ</t>
  </si>
  <si>
    <t>Hao, Liangliang; Jin, Jiangliang; Xu, Yunjian</t>
  </si>
  <si>
    <t>Laxity Differentiated Pricing and Deadline Differentiated Threshold Scheduling for a Public Electric Vehicle Charging Station</t>
  </si>
  <si>
    <t>Pricing; Costs; Electric vehicle charging; Job shop scheduling; System dynamics; Renewable energy sources; Heuristic algorithms; Deadline scheduling; deep reinforcement learning (DRL); dynamic pricing; electric vehicle (EV) charging; renewable generation</t>
  </si>
  <si>
    <t>In this article, we study the online pricing and charging scheduling problem for a public electric vehicle (EV) charging station under stochastic electricity prices and renewable generation. We formulate the sequential decision making problem as a partially observable Markov decision process with continuous state and action spaces, with an objective of profit or social welfare maximization. The joint pricing and charging problem is challenging due to the curse of dimensionality (in both the system state and action spaces) and the unknown dynamics of system uncertainties. We propose a novel laxity differentiated pricing (LDP) scheme to tradeoff between electricity cost (associated with EV charging) and opportunity cost (associated with parking infrastructure occupancy). Shown to be optimal under arbitrary system dynamics, the characterized deadline-differentiated threshold charging (DTC) policy is integrated into a model-free soft actor critic (SAC) algorithm to reduce the action dimensionality. Numerical results demonstrate that the proposed SAC + LDP + DTC approach significantly outperforms alternative methods with various pricing and charging schemes.</t>
  </si>
  <si>
    <t>10.1109/TII.2022.3159189</t>
  </si>
  <si>
    <t>Yao, EJ; Liu, T; Lu, TW; Yang, Y</t>
  </si>
  <si>
    <t>Yao, Enjian; Liu, Tong; Lu, Tianwei; Yang, Yang</t>
  </si>
  <si>
    <t>Optimization of electric vehicle scheduling with multiple vehicle types in public transport</t>
  </si>
  <si>
    <t>Electric vehicle scheduling; Electric bus; Multiple vehicle types; Recharging trips; Substitution between vehicle types; A heuristic procedure</t>
  </si>
  <si>
    <t>TRANSIT; SEARCH; MODEL</t>
  </si>
  <si>
    <t>The effective scheduling of electric buses (EBs) for multiple vehicle types is essential for the sustainable practice of public transport. This paper proposes a new methodology for the electric vehicle scheduling problem with multiple vehicle types (MVT-E-VSP) in public transport based on a given multi-vehicle-type timetable. First, with explicit consideration of differences in driving range, recharging duration and energy consumption of EBs for multiple vehicle types, an optimization model is established to minimize annual total scheduling costs, including the purchase costs of EBs and chargers, the operating costs of deadheading and timetabled trips, etc. Then, a heuristic procedure is developed to find the optimal solution considering recharging trips and the substitution between electric vehicle (EV) types. Finally, the proposed methodology is validated using a real-world transit network in Daxing District, Beijing. The optimization result provides transit agencies with guidance on the purchase and schedule of EBs for multiple vehicle types, as well as the deployment of chargers. Comparative analysis indicates the proposed method considering the substitution between EV types reduces annual total scheduling costs by 15.93% compared with the conventional method. Sensitivity analysis reveals that the current recharging power (240 kW) and discharging depth (80%) are approximately economical.</t>
  </si>
  <si>
    <t>10.1016/j.scs.2019.101862</t>
  </si>
  <si>
    <t>Wang, N; Li, B; Duan, Y; Jia, SL</t>
  </si>
  <si>
    <t>Wang, Ning; Li, Bo; Duan, Yan; Jia, Shengling</t>
  </si>
  <si>
    <t>A multi-energy scheduling strategy for orderly charging and discharging of electric vehicles based on multi-objective particle swarm optimization</t>
  </si>
  <si>
    <t>Electric vehicle; Ordered charging; Multi-energy scheduling; Photovoltaic; Multi-objective particle swarm optimization</t>
  </si>
  <si>
    <t>OPERATION; LOAD</t>
  </si>
  <si>
    <t>In this paper, a multi-energy scheduling model based on the ordered charging and discharging of EVs in typical urban residential areas is established, and the photovoltaic system is introduced into the model. To improve models with single objective in previous research, the minimum variance of total power load and the minimum scheduling cost are taken as optimization objectives of the model, and the multi-objective particle swarm optimization algorithm is used to solve the problem. To reduce the gap between theoretical results and practical application, the actual power load data of a distribution area in Shanghai in spring and summer is taken, and in the case of different number of EVs and weather conditions, the multi-energy scheduling system is simulated. The results show that: 1) The total power load of the area adopting the scheduling algorithm is significantly less than that of the area with disordered charging, where the growth rate of peak electricity consumption can be reduced by up to 127.2%; 2) With the increase of the number of EVs participating in the scheduling, the profitability of the system increases significantly. When 70 EVs participate in dispatching, the profit is up to 150% higher than that of 10 EVs.</t>
  </si>
  <si>
    <t>10.1016/j.seta.2021.101037</t>
  </si>
  <si>
    <t>Khaligh, A; D'Antonio, M</t>
  </si>
  <si>
    <t>Khaligh, Alireza; D'Antonio, Michael</t>
  </si>
  <si>
    <t>Global Trends in High-Power On-Board Chargers for Electric Vehicles</t>
  </si>
  <si>
    <t>Electric vehicles; on-board chargers; conductive charging; wireless charging; integrated chargers; smart charging; grid-to-vehicle; vehicle-to-grid; charging infrastructure; power electronics</t>
  </si>
  <si>
    <t>INTEGRATED BATTERY CHARGERS; DC MATRIX CONVERTER; OF-THE-ART; COMPREHENSIVE DESIGN; ONBOARD CHARGER; EMI FILTER; PFC; EVS; SYSTEM; STATE</t>
  </si>
  <si>
    <t>This paper provides a comprehensive review and analyses on the state-of-the-art and future trends for high-power conductive on-board chargers (OBCs) for electric vehicles. To provide a global context, a summary of global charging standards and electric vehicle (EV) related trends are presented, which demonstrates momentum toward the OBCs with higher power rating. High-power OBCs are either unidirectional or bidirectional, and they have either an integrated or non-integrated system architecture. Non-integrated high-power OBCs are studied both from industry and academia, and the former are used to illustrate the current state of the art. The latter are classified on the basis of the converter design approach, studied for their principle of operation, and compared over power density, weight, efficiency, and other metrics. In addition to non-integrated OBCs, recent advancements in propulsion-machine integrated OBC solutions are also presented. Other integrated OBC techniques, such as system integration with the EV's auxiliary power module and wireless charging systems, are also discussed. Finally, future charging strategies and functionalities in charging infrastructures are addressed, and global OBC trends are summarized.</t>
  </si>
  <si>
    <t>10.1109/TVT.2019.2897050</t>
  </si>
  <si>
    <t>A Review of Charge Scheduling of Electric Vehicles in Smart Grid</t>
  </si>
  <si>
    <t>Charging; electric vehicle (EV); grid to vehicle (G2V); scheduling; vehicle to grid (V2G)</t>
  </si>
  <si>
    <t>WIRELESS POWER TRANSFER; DECISION-MAKING; DEMAND RESPONSE; DRIVE VEHICLES; OPERATION; ENERGY; COORDINATION; UNCERTAINTY; GENERATION; ALGORITHM</t>
  </si>
  <si>
    <t>Electric vehicles (EVs) are being introduced by different manufacturers as an environment-friendly alternative to vehicles with internal combustion engines, with several benefits. The number of EVs is expected to grow rapidly in the coming years. However, uncoordinated charging of these vehicles can put a severe stress on the power grid. The problem of charge scheduling of EVs is an important and challenging problem and has seen significant research activity in the last few years. This review covers the recent works done in the area of scheduling algorithms for charging EVs in smart grid. The works are first classified into two broad classes of unidirectional versus bidirectional charging, and then, each class is further classified based on whether the scheduling is centralized or distributed and whether any mobility aspects are considered or not. It then reviews the key results in this field following the classification proposed. Some interesting research challenges that can be addressed are also identified.</t>
  </si>
  <si>
    <t>10.1109/JSYST.2014.2356559</t>
  </si>
  <si>
    <t>Fattori, F; Anglani, N; Muliere, G</t>
  </si>
  <si>
    <t>Fattori, Fabrizio; Anglani, Norma; Muliere, Giuseppe</t>
  </si>
  <si>
    <t>Combining photovoltaic energy with electric vehicles, smart charging and vehicle-to-grid</t>
  </si>
  <si>
    <t>SOLAR ENERGY</t>
  </si>
  <si>
    <t>Electric vehicle; Photovoltaic; Smart charging; Vehicle-to-grid; Energy system model; Linear optimization</t>
  </si>
  <si>
    <t>RENEWABLE ENERGY; SYSTEMS; POWER; INTEGRATION; TRANSPORT; V2G</t>
  </si>
  <si>
    <t>Electric vehicles are expected to greatly increase their market share in the near future. Their impact on the energy system will depend also on the way electricity will be generated. Renewable energy sources and intelligent control strategies will offer relevant solutions to mitigate that impact. In this paper we study the combination of photovoltaic energy and electric vehicles under uncontrolled charging regime and under the application of smart charging and vehicle-to-grid strategies. The analysis assumes different levels of photovoltaic generation and different penetrations of the electric vehicles. The assignment is carried out by means of an open source linear optimization model named EVLS, which simulates the interactions between the electric vehicles and the upstream energy system by considering market, technical and behavioral constraints. The results show that a high photovoltaic capacity could cover only a small portion of the transportation demand, if the charge is uncontrolled. In such a case, the non-photovoltaic generation would be required to severely ramp up in the late afternoon hours. An intelligent control of the charge could better accommodate the photovoltaic energy and reduce the ramps. The vehicle-to-grid could additionally help harnessing the photovoltaic energy to shave the peaks of the conventional load profile. (C) 2014 Elsevier Ltd. All rights reserved.</t>
  </si>
  <si>
    <t>10.1016/j.solener.2014.09.034</t>
  </si>
  <si>
    <t>Jiang, TX; Putrus, G; Gao, ZW; Conti, M; McDonald, S; Lacey, G</t>
  </si>
  <si>
    <t>Jiang, Tianxiang; Putrus, Ghanim; Gao, Zhiwei; Conti, Matteo; McDonald, Steve; Lacey, Gillian</t>
  </si>
  <si>
    <t>Development of a decentralized smart charge controller for electric vehicles</t>
  </si>
  <si>
    <t>Electric vehicle; Battery modeling; Battery cycle life; Power networks; Smart charging; Fuzzy logic</t>
  </si>
  <si>
    <t>CAPACITY FADE; MANAGEMENT; BATTERIES; SYSTEM</t>
  </si>
  <si>
    <t>Existing commercial battery charging posts for electric vehicles (EV) offer limited controllability and flexibility. These chargers are not designed to allow users to specify important criteria such as desired energy for next trip and waiting time whilst charging. In addition, the charging regime is not set to take into consideration the impact of charging (e.g. rate of charge) on the battery cycle life and the grid supply. With increased penetration of EVs and distributed generators (DG), complying with grid regulations will become more challenging, e.g. network voltage levels may deviate from the statutory limits. Moreover, as the battery is the most expensive part of an EV, consideration should be given to extending battery life and reduce the effective EV cost. Therefore, there is a need to develop a smart EV charge controller that can meet users' requirements, extend battery cycle life and have minimum impact on the grid supply. In this paper, a smart controller is proposed which determines the optimal charging current based on grid voltage, battery state of health and user's trip requirements. Models of a typical UK power distribution network and an EV battery (that allows simulation of battery aging process) are developed to investigate the performance of the smart charging system. Simulation and experimental results are presented to demonstrate the effectiveness of the proposed controller. (C) 2014 Elsevier Ltd. All rights reserved.</t>
  </si>
  <si>
    <t>10.1016/j.ijepes.2014.03.023</t>
  </si>
  <si>
    <t>El Idrissi, RN; Ouassaid, M; Maaroufi, M</t>
  </si>
  <si>
    <t>El Idrissi, Rajaa Naji; Ouassaid, Mohammed; Maaroufi, Mohamed</t>
  </si>
  <si>
    <t>A Constrained Programming-Based Algorithm for Optimal Scheduling of Aggregated EVs Power Demand in Smart Buildings</t>
  </si>
  <si>
    <t>Electric vehicle charging; Load modeling; Peak to average power ratio; Optimal scheduling; Indexes; Batteries; Water heating; EV charging control; coordinated management; peak-to-average ratio; user satisfaction</t>
  </si>
  <si>
    <t>ELECTRIC VEHICLES; STRATEGY; OPTIMIZATION; SYSTEMS</t>
  </si>
  <si>
    <t>In this paper, a novel cooperative charging strategy for electric vehicles tuned by a constraint programming algorithm has been proposed. The implemented model handles heterogeneous and large-scale residential areas by not only reducing the EV peak charging load, but also improving the user satisfaction levels. The evaluation of the capability of the proposed model at both individual and aggregated levels is considered through various scenarios. The simulated results prove the potential of the proposed cooperative EV strategy in outperforming the uncoordinated EV charging model in terms of peak-to-average ratio reduction, user satisfaction level, and load factor improvement in addition to the suppression of the peak load increase. Furthermore, comparative analysis with existing models shows that the proposed algorithm can manage more complex policies and is performed significantly and efficiently.</t>
  </si>
  <si>
    <t>10.1109/ACCESS.2022.3154781</t>
  </si>
  <si>
    <t>Kisacikoglu, MC; Erden, F; Erdogan, N</t>
  </si>
  <si>
    <t>Kisacikoglu, Mithat C.; Erden, Fatih; Erdogan, Nuh</t>
  </si>
  <si>
    <t>Distributed Control of PEV Charging Based on Energy Demand Forecast</t>
  </si>
  <si>
    <t>Distributed control; grid integration; peak shaving; plug-in electric vehicle (PEV); smart charging</t>
  </si>
  <si>
    <t>IN ELECTRIC VEHICLES; GENERATION; ALGORITHM; NETWORKS; SYSTEMS; IMPACT</t>
  </si>
  <si>
    <t>This paper presents a new distributed smart charging strategy for grid integration of plug-in electric vehicles (PEVs). The main goal is to smooth the daily grid load profile while ensuring that each PEV has a desired state of charge level at the time of departure. Communication and computational overhead, and PEV user privacy are also considered during the development of the proposed strategy. It consists of two stages: 1) an offline process to estimate a reference operating power level based on the forecasted mobility energy demand and base loading profile, and 2) a real-time process to determine the charging power for each PEV so that the aggregated load tracks the reference loading level. Tests are carried out both on primary and secondary distribution networks for different heuristic charging scenarios and PEV penetration levels. Results are compared to that of the optimal solution and other state-of-the-art techniques in terms of variance and peak values, and shown to be competitive. Finally, a real vehicle test implementation is done using a commercial-of-the-shelf charging station and an electric vehicle.</t>
  </si>
  <si>
    <t>10.1109/TII.2017.2705075</t>
  </si>
  <si>
    <t>Jahangir, H; Tayarani, H; Ahmadian, A; Golkar, MA; Miret, J; Tayarani, M; Gao, HO</t>
  </si>
  <si>
    <t>Jahangir, Hamidreza; Tayarani, Hanif; Ahmadian, Ali; Golkar, Masoud Aliakbar; Miret, Jaume; Tayarani, Mohammad; Gao, H. Oliver</t>
  </si>
  <si>
    <t>Charging demand of Plug-in Electric Vehicles: Forecasting travel behavior based on a novel Rough Artificial Neural Network approach</t>
  </si>
  <si>
    <t>Plug-in electric vehicle; Travel behavior; Artificial neural network; Rough neuron; Smart charging</t>
  </si>
  <si>
    <t>TEMPORAL MODEL; REGIONAL TRANSPORTATION; WIND; SYSTEM; EMISSIONS; LOAD; OPTIMIZATION; UNCERTAINTY; ALGORITHM; STORAGE</t>
  </si>
  <si>
    <t>The market penetration of Plug-in Electric Vehicles (PEVs) is escalating due to their energy saving and environmental benefits. In order to address PEVs impact on the electric networks, the aggregators need to accurately predict the PEV Travel Behavior (PEV-TB) since the addition of a great number of PEVs to the current distribution network poses serious challenges to the power system. Forecasting PEV-TB is critical because of the high degree of uncertainties in drivers' behavior. Existing studies mostly simplified the PEV-TB by mapping travel behavior from conventional vehicles. This could cause bias in power estimation considering the differences in PEV-TB because of charging pattern which consequently could bungle economic analysis of aggregators. In this study, to forecast PEV-TB an artificial intelligence-based method-feedforward and recurrent Artificial Neural Networks (ANN) with Levenberg Marquardt (LM) training method based on Rough structure - is developed. The method is based on historical data including arrival time, departure time and trip length. In this study, the correlation among arrival time, departure time and trip length is also considered. The forecasted PEV-TB is then compared with Monte Carlo Simulation (MCS) which is the main benchmarking method in this field. The results comparison depicted the robustness of the proposed methodology. The proposed method reduces the aggregators' financial loss approximately by 16 $/PEV per year compared to the conventional methods. The findings underline the importance of applying more accurate methods to forecast PEV-TB to gain the most benefit of vehicle electrification in the years to come. (C) 2019 Elsevier Ltd. All rights reserved.</t>
  </si>
  <si>
    <t>AUG 20</t>
  </si>
  <si>
    <t>10.1016/j.jclepro.2019.04.345</t>
  </si>
  <si>
    <t>Tayarani, H; Jahangir, H; Nadafianshahamabadi, R; Golkar, MA; Ahmadian, A; Elkamel, A</t>
  </si>
  <si>
    <t>Tayarani, Hanif; Jahangir, Hamidreza; Nadafianshahamabadi, Razieh; Golkar, Masoud Aliakbar; Ahmadian, Ali; Elkamel, Ali</t>
  </si>
  <si>
    <t>Optimal Charging of Plug-In Electric Vehicle: Considering Travel Behavior Uncertainties and Battery Degradation</t>
  </si>
  <si>
    <t>stochastic optimization; plug-in electric vehicle; smart charging; vehicle to grid; modeling uncertainties</t>
  </si>
  <si>
    <t>POWER-SYSTEMS; OPTIMIZATION; NETWORK; STORAGE; DEMAND</t>
  </si>
  <si>
    <t>Featured Application Authors are encouraged to provide a concise description of the specific application or a potential application of the work. Abstract The negative environmental impacts of using fossil fuel-powered vehicles underlined the need for inventing an alternative eco-friendly transportation fleet. Plug-in electrical vehicles (PEVs) are introduced to cut the continuing increase in energy use and carbon emission of the urban mobility. However, the increased demand for mobility, and therefore energy, can create constraints on the power network which can reduce the benefits of electrification as a certain and reliable source. Thus, the rise in the use of electric vehicles needs electric grids to be able to feed the increased energy demand while the current infrastructure supports it. In this paper, we introduce a methodological framework for scheduling smart PEVs charging by considering the uncertainties and battery degradation. This framework includes an economic model for charging and discharging of PEVs which has been implemented in a 21-node sample distribution network with a wind turbine as a distributed generation (DG) unit. Our proposed approach indicates that the optimal charging of the PEVs has a high impact on the distribution network operation, particularly under the high market penetration of PEVs. Thus, the smart grid to vehicle (G2V) charging mode is a potential solution to maximize the PEV's owner profit, while considering the battery degradation cost of the PEVs. The simulation result indicates that smart charging effectuation is economical.</t>
  </si>
  <si>
    <t>10.3390/app9163420</t>
  </si>
  <si>
    <t>Robisson, B; Guillemin, S; Marchadier, L; Vignal, G; Mignonac, A</t>
  </si>
  <si>
    <t>Robisson, Bruno; Guillemin, Sylvain; Marchadier, Laurie; Vignal, Gerald; Mignonac, Alexandre</t>
  </si>
  <si>
    <t>Solar Charging of Electric Vehicles: Experimental Results</t>
  </si>
  <si>
    <t>electric vehicles (EVs); photovoltaic (PV) production; smart charging; planning algorithm; field test; self-production</t>
  </si>
  <si>
    <t>MANAGEMENT-SYSTEM; PARKING LOT; POWER; STATIONS; FEASIBILITY</t>
  </si>
  <si>
    <t>Sales of electric vehicles, for commercial use and personal use, keep rising. In parallel of the development of the associated Electric Vehicle Charging Infrastructure (EVCI), systems for controlling the charging of EVs will have to be developed in order to reduce the impact of such a development on the power grid. In this paper, we present a supervision system that controls the electric vehicle charging of employees of CEA Cadarache research center. The EVCI of Cadarache, set up in 2016, is constituted of more than 80 22-kW AC charging points spread over 30 zones. This EVCI currently supplies more than 376 vehicles including taxis, service vehicles as well as employees' vehicles. This infrastructure is one of the largest private EVCIs in the region. The supervision system controls electric vehicle (EV) charging in real-time according to two objectives: respecting user preferences, by fully charging the EV battery, and synchronizing the power consumption of a fraction of the EVCI, i.e., 24 charging points, with the power production of a solar photovoltaic plant. This paper details the supervision system that is used to carry out these experiments and presents experimental results. These results show that it is technically feasible to increase (up to 60 percentage points) the self-production ratio while satisfying EV users.</t>
  </si>
  <si>
    <t>10.3390/app12094523</t>
  </si>
  <si>
    <t>Lin, JH; Leung, KC; Li, VOK</t>
  </si>
  <si>
    <t>Lin, Junhao; Leung, Ka-Cheong; Li, Victor O. K.</t>
  </si>
  <si>
    <t>Optimal Scheduling With Vehicle-to-Grid Regulation Service</t>
  </si>
  <si>
    <t>Charging/discharging scheduling; decentralized algorithm; electric vehicles (EVs); regulation service; vehicle-to-grid (V2G)</t>
  </si>
  <si>
    <t>FREQUENCY; CAPACITY</t>
  </si>
  <si>
    <t>In a vehicle-to-grid (V2G) system, aggregators coordinate the charging/discharging schedules of electric vehicle (EV) batteries so that they can collectively form a massive energy storage system to provide ancillary services, such as frequency regulation, to the power grid. In this paper, the optimal charging/discharging scheduling between one aggregator and its coordinated EVs for the provision of the regulation service is studied. We propose a scheduling method that assures adequate charging of EVs and the quality of the regulation service at the same time. First, the scheduling problem is formulated as a convex optimization problem relying on accurate forecasts of the regulation demand. By exploiting the zero-energy nature of the regulation service, the forecast-based scheduling in turn degenerates to an online scheduling problem to cope with the high uncertainty in the forecasts. Decentralized algorithms based on the gradient projection method are designed to solve the optimization problems, enabling each EV to solve its local problem and to obtain its own schedule. Our simulation study of 1000 EVs shows that the proposed online scheduling can perform nearly as well as the forecast-based scheduling, and it is able to smooth out the real-time power fluctuations of the grid, demonstrating the potential of V2G in providing the regulation service.</t>
  </si>
  <si>
    <t>10.1109/JIOT.2014.2361911</t>
  </si>
  <si>
    <t>Mehboob, N; Restrepo, M; Canizares, CA; Rosenberg, C; Kazerani, M</t>
  </si>
  <si>
    <t>Mehboob, Nafeesa; Restrepo, Mauricio; Canizares, Claudio A.; Rosenberg, Catherine; Kazerani, Mehrdad</t>
  </si>
  <si>
    <t>Smart Operation of Electric Vehicles With Four-Quadrant Chargers Considering Uncertainties</t>
  </si>
  <si>
    <t>Bootstrap; distribution system management; electric vehicle; EV smart charging; uncertainty; vehicle-to-grid</t>
  </si>
  <si>
    <t>COORDINATION</t>
  </si>
  <si>
    <t>Given the expected impact of electric vehicle (EV) charging on power grids, this paper presents a novel two-step approach for the smart operation of EVs with four-quadrant chargers in a primary distribution feeder, accounting for the uncertainties associated with EVs, and considering the perspectives of both the utility and the EV owners. In the first step of the proposed approach, the mean daily feeder peak demand and corresponding hourly feeder control schedules, such as taps and switched capacitor setpoints, considering the bidirectional active and reactive power transactions between EVs and the grid, are determined. A nonparametric bootstrap technique is used, in conjunction with a genetic algorithm-based optimization model, to account for EV uncertainties and discrete variables. In the second step, the maximum possible power that can be given to connected EVs at each node, while providing active and/or reactive power to maintain the peak demand value and corresponding feeder dispatch schedules defined in the first step, is computed every few minutes in a way which is fair to the EVs. The proposed approach is validated using the distribution feeder model of a real primary feeder in Ontario, Canada, considering significant EV penetration levels. The results show that the proposed approach could be implemented in practice to properly operate EVs, satisfying feeder, and peak demand constraints, which would be better than the business-as-usual practice or a popular heuristic method in terms of number of tap operations, system peak demand, and voltage regulation.</t>
  </si>
  <si>
    <t>10.1109/TSG.2018.2816404</t>
  </si>
  <si>
    <t>Jian, LN; Zhu, XY; Shao, ZY; Niu, SX; Chan, CC</t>
  </si>
  <si>
    <t>Jian, Linni; Zhu, Xinyu; Shao, Ziyun; Niu, Shuangxia; Chan, C. C.</t>
  </si>
  <si>
    <t>A scenario of vehicle-to-grid implementation and its double-layer optimal charging strategy for minimizing load variance within regional smart grids</t>
  </si>
  <si>
    <t>ENERGY CONVERSION AND MANAGEMENT</t>
  </si>
  <si>
    <t>Electric vehicle; Charging strategy; Vehicle-to-grid; Smart grid; Load variance; Regional grid</t>
  </si>
  <si>
    <t>HYBRID ELECTRIC VEHICLES</t>
  </si>
  <si>
    <t>As an emerging new electrical load, plug-in electric vehicles (PEVs)' impact on the power grid has drawn increasing attention worldwide. An optimal scenario is that by digging the potential of PEVs as a moveable energy storage device, they may not harm the power grid by, for example, triggering extreme surges in demand at rush hours, conversely, the large-scale penetration of PEVs could benefit the grid through flattening the power load curve, hence, increase the stability, security and operating economy of the grid. This has become a hot issue which is known as vehicle-to-grid (V2G) technology within the framework of smart grid. In this paper, a scenario of V2G implementation within regional smart grids is discussed. Then, the problem is mathematically formulated. It is essentially an optimization problem, and the objective is to minimize the overall load variance. With the increase of the scale of PEVs and charging posts involved, the computational complexity will become tremendously high. Therefore, a double-layer optimal charging (DLOC) strategy is proposed to solve this problem. The comparative study demonstrates that the proposed DLOC algorithm can effectively solve the problem of tremendously high computational complexity arising from the large-scaled PEVs and charging posts involved. (C) 2013 Elsevier Ltd. All rights reserved.</t>
  </si>
  <si>
    <t>10.1016/j.enconman.2013.11.007</t>
  </si>
  <si>
    <t>Zhang, GC; Tan, ST; Wang, GG</t>
  </si>
  <si>
    <t>Zhang, Guanchen; Tan, Shaoqing Tim; Wang, G. Gary</t>
  </si>
  <si>
    <t>Real-Time Smart Charging of Electric Vehicles for Demand Charge Reduction at Non-Residential Sites</t>
  </si>
  <si>
    <t>Electric vehicle; smart charging; demand charge; peak shaving; demand response; direct load control</t>
  </si>
  <si>
    <t>COORDINATION; STRATEGY</t>
  </si>
  <si>
    <t>Smart electric vehicle (EV) charging deals with increasing demand charges caused by EV load on EV supply equipment (EVSE) hosts. This paper proposes a real-time smart charging algorithm that can be integrated with commercial &amp; industrial EVSE hosts through building energy management system or with utility back office through the advanced metering infrastructure. The proposed charging scheme implements a real-time water-filling algorithm able to reduce the peak demand and to prioritize EV charging based on the data of plugged-in EVs. The algorithm also accommodates utility and local demand response and load control signals for extensive peak shaving. Real-world EV charging data from different types of venues are used to develop and evaluate the smart charging scheme for demand charge reduction at medium &amp; large general service locations. The results show that even at constrained venues such as large retails, monthly demand charges caused by EVs can be reduced by 20%-35% for 30% EV penetration level without depreciating EVs' charging demand.</t>
  </si>
  <si>
    <t>10.1109/TSG.2016.2647620</t>
  </si>
  <si>
    <t>Xie, D; Chu, HX; Gu, CH; Li, FR; Zhang, Y</t>
  </si>
  <si>
    <t>Xie, Da; Chu, Haoxiang; Gu, Chenghong; Li, Furong; Zhang, Yu</t>
  </si>
  <si>
    <t>A Novel Dispatching Control Strategy for EVs Intelligent Integrated Stations</t>
  </si>
  <si>
    <t>Electric vehicle (EV); generalized energy; intelligent integrated station (IIS); optimal charging; smart grid</t>
  </si>
  <si>
    <t>ELECTRIC VEHICLES; LOAD MANAGEMENT; IMPACT; DEMAND; TRANSPORT; ENERGY</t>
  </si>
  <si>
    <t>In order to provide a cost-effective solution for accommodating the increasing electric vehicles (EVs) and maximizing their benefits to the grid, a novel EV intelligent integrated station (IIS) making full use of ex-service batteries, is proposed in this paper. It first presents the framework and characteristics of IISs by describing its components, including a dispatching center, multipurpose converter devices, a charge exchange system, and an echelon battery system. The grid status, batteries exchanging requests, and energy capacity of IISs are monitored timely to offer inputs for its optimal operation. The concept of generalized energy is thereby introduced to systematically understand the energy/power flow between IISs and EVs, as well as between IISs and power grids. Then, a novel charging and discharging control strategy for managing EVs is presented. Compared with existing approaches, the proposed control strategy can offer peak load shifting when meeting EV battery charging/exchanging requests. The experimental results demonstrate the effectiveness and benefits of the control strategy in terms of providing peak load shifting for the power grid. This integrated station concept can maximize the benefits of EVs, and the retired batteries more flexibly and effectively.</t>
  </si>
  <si>
    <t>10.1109/TSG.2015.2463819</t>
  </si>
  <si>
    <t>Yan, LF; Chen, X; Zhou, JY; Chen, Y; Wen, JY</t>
  </si>
  <si>
    <t>Yan, Linfang; Chen, Xia; Zhou, Jianyu; Chen, Yin; Wen, Jinyu</t>
  </si>
  <si>
    <t>Deep Reinforcement Learning for Continuous Electric Vehicles Charging Control With Dynamic User Behaviors</t>
  </si>
  <si>
    <t>Electric vehicle charging; Vehicle dynamics; Batteries; Dynamic scheduling; Uncertainty; Mathematical model; Dynamic programming; Electric vehicle charging; deep reinforcement learning; soft actor-critic; dynamic user behaviors</t>
  </si>
  <si>
    <t>RANGE ANXIETY; IMPACT; GO</t>
  </si>
  <si>
    <t>This paper aims to crack the individual EV charging scheduling problem considering the dynamic user behaviors and the electricity price. The uncertainty of the EV charging demand is described by several factors, including the driver's experience, the charging preference and the charging locations for realistic scenarios. An aggregate anxiety concept is introduced to characterize both the driver's anxiety on the EV's range and uncertain events. A mathematical model is also provided to describe the anxiety quantitatively. The problem is formulated as a Markov Decision Process (MDP) with an unknown state transition function. The objective is to find the optimal sequential charging decisions that can balance the charging cost and driver's anxiety. A model-free deep reinforcement learning (DRL) based approach is developed to learn the optimal charging control strategy by interacting with the dynamic environment. The continuous soft actor-critic (SAC) framework is applied to design the learning method, which contains a supervised learning (SL) stage and a reinforcement learning (RL) stage. Finally, simulation studies verify the effectiveness of the proposed approach under dynamic user behaviors at different charging locations.</t>
  </si>
  <si>
    <t>10.1109/TSG.2021.3098298</t>
  </si>
  <si>
    <t>Olovsson, J; Taljegard, M; Von Bonin, M; Gerhardt, N; Johnsson, F</t>
  </si>
  <si>
    <t>Olovsson, Johanna; Taljegard, Maria; Von Bonin, Michael; Gerhardt, Norman; Johnsson, Filip</t>
  </si>
  <si>
    <t>Impacts of Electric Road Systems on the German and Swedish Electricity Systems-An Energy System Model Comparison</t>
  </si>
  <si>
    <t>electric vehicle; energy system modeling; method; vehicle-to-grid; variability management; smart charging</t>
  </si>
  <si>
    <t>VEHICLES; ELECTRIFICATION; DEMAND</t>
  </si>
  <si>
    <t>This study analyses the impacts of electrification of the transport sector, involving both static charging and electric road systems (ERS), on the Swedish and German electricity systems. The impact on the electricity system of large-scale ERS is investigated by comparing the results from two model packages: 1) a modeling package that consists of an electricity system investment model (ELIN) and electricity system dispatch model (EPOD); and 2) an energy system investment and dispatch model (SCOPE). The same set of scenarios are run for both model packages and the results for ERS are compared. The modeling results show that the additional electricity load arising from large-scale implementation of ERS is mainly, depending on model and scenario, met by investments in wind power in Sweden (40-100%) and in both wind (20-75%) and solar power (40-100%) in Germany. This study also concludes that ERS increase the peak power demand (i.e., the net load) in the electricity system. Therefore, when using ERS, there is a need for additional investments in peak power units and storage technologies to meet this new load. A smart integration of other electricity loads than ERS, such as optimization of static charging at the home location of passenger cars, can facilitate efficient use of renewable electricity also with an electricity system including ERS. A comparison between the results from the different models shows that assumptions and methodological choices dictate which types of investments are made (e.g., wind, solar and thermal power plants) to cover the additional demand for electricity arising from the use of ERS. Nonetheless, both modeling packages yield increases in investments in solar power (Germany) and in wind power (Sweden) in all the scenarios, to cover the new electricity demand for ERS.</t>
  </si>
  <si>
    <t>JUL 9</t>
  </si>
  <si>
    <t>10.3389/fenrg.2021.631200</t>
  </si>
  <si>
    <t>Islam, MR; Lu, HY; Hossain, J; Islam, MR; Li, L</t>
  </si>
  <si>
    <t>Islam, Md. Rabiul; Lu, Haiyan; Hossain, Jahangir; Islam, Md. Rabiul; Li, Li</t>
  </si>
  <si>
    <t>Multiobjective Optimization Technique for Mitigating Unbalance and Improving Voltage Considering Higher Penetration of Electric Vehicles and Distributed Generation</t>
  </si>
  <si>
    <t>Optimization; Electric vehicle charging; Load modeling; Energy loss; Voltage control; Reactive power; Compensating neutral current; coordinated; uncoordinated charging; distributed generation (DG) dispatch; electric vehicle (EV); mitigating voltage unbalance</t>
  </si>
  <si>
    <t>DISTRIBUTION NETWORKS; MANAGEMENT; IMPACT; MODEL</t>
  </si>
  <si>
    <t>The increasing penetration of distributed generations (DGs) and electric vehicles (EVs) offers not only several opportunities but also introduces many challenges for the distribution system operators (DSOs) regarding power quality. This article investigates the network performances due to uncoordinated DG and EV distribution. It also considers power quality-related performances such as the neutral current, energy loss, voltage imbalance, and bus voltage as a multiobjective optimization problem. The differential evolution optimization algorithm is employed to solve the multiobjective optimization problem to coordinate EV and DG in a distribution grid. This article proposed a method to coordinate EV and DG distribution. The proposed method allows DSOs to jointly optimize the phase sequence and optimal dispatch of DGs to improve the network's performance. If the network requires further improvement, the EV charging or discharging rate is coordinated for a particular location. The efficacy of the proposed method is tested in an Australian low-voltage distribution grid considering the amount of imbalance due to higher penetration of DG and EV. It is observed that the proposed method reduces voltage unbalance factor by up to 98.24%, neutral current up to 94%, and energy loss by 59.45%, and improve bus voltage by 10.42%.</t>
  </si>
  <si>
    <t>10.1109/JSYST.2020.2967752</t>
  </si>
  <si>
    <t>de Faria, H; Voos, H</t>
  </si>
  <si>
    <t>de Faria Junior, Haroldo; Voos, Holger</t>
  </si>
  <si>
    <t>Heuristic Procedure For The Centralized Control Of EV Charging In LV Networks</t>
  </si>
  <si>
    <t>Electric vehicles; Computational modeling; IEEE transactions; Low voltage; Optimization; Instruments; Security; Electric power distribution systems; electric vehicles; heuristics; optimization; smart charging</t>
  </si>
  <si>
    <t>ELECTRIC VEHICLES; COORDINATION</t>
  </si>
  <si>
    <t>High penetration levels of electric vehicles (EVs) in distribution networks will create significant operational challenges to distribution system operators and demand robust methods to optimize the charging problem. This work addresses the problem of controlling the charging of electric vehicles in low voltage distribution systems using an optimization framework formulated as a scheduling problem. A computationally efficient procedure with a detailed modeling of the network is sought. The objective is to obtain a charging schedule for all the EVs connected to the network satisfying a set of network operational constraints. The approach uses a complete AC three-phase modeling of the network and deploys a time-series power flow coupled with a greedy heuristic to obtain a smart charging procedure over a fixed planning period considering the variable behavior of loads and EV connection patterns. Distribution network constraints consider phase unbalance, transformer and line limitations, and node voltage limits. The approach is tested on an IEEE low voltage distribution test feeder.</t>
  </si>
  <si>
    <t>10.1109/TLA.2019.8863316</t>
  </si>
  <si>
    <t>Scott, C; Ahsan, M; Albarbar, A</t>
  </si>
  <si>
    <t>Scott, Connor; Ahsan, Mominul; Albarbar, Alhussein</t>
  </si>
  <si>
    <t>Machine Learning Based Vehicle to Grid Strategy for Improving the Energy Performance of Public Buildings</t>
  </si>
  <si>
    <t>carbon neutral; electric vehicle; vehicle-to-grid; renewable energy; smart charging; net-zero</t>
  </si>
  <si>
    <t>ELECTRIC VEHICLES; CONSUMPTION; PREDICTION; MANAGEMENT; SYSTEM</t>
  </si>
  <si>
    <t>Carbon neutral buildings are dependent on effective energy management systems and harvesting energy from unpredictable renewable sources. One strategy is to utilise the capacity from electric vehicles, while renewables are not available according to demand. Vehicle to grid (V2G) technology can only be expanded if there is funding and realisation that it works, so investment must be in place first, with charging stations and with the electric vehicles to begin with. The installer of the charging stations will achieve the financial benefit or have an incentive and vice versa for the owners of the electric vehicles. The paper presents an effective V2G strategy that was developed and implemented for an operational university campus. A machine learning algorithm has also been derived to predict energy consumption and energy costs for the investigated building. The accuracy of the developed algorithm in predicting energy consumption was found to be between 94% and 96%, with an average of less than 5% error in costs predictions. The achieved results show that energy consumption savings are in the range of 35%, with the potentials to achieve about 65% if the strategy was applied at all times. This has demonstrated the effectiveness of the machine learning algorithm in carbon print reductions.</t>
  </si>
  <si>
    <t>10.3390/su13074003</t>
  </si>
  <si>
    <t>Knezovic, K; Martinenas, S; Andersen, PB; Zecchino, A; Marinelli, M</t>
  </si>
  <si>
    <t>Knezovic, Katarina; Martinenas, Sergejus; Andersen, Peter Bach; Zecchino, Antonio; Marinelli, Mattia</t>
  </si>
  <si>
    <t>Enhancing the Role of Electric Vehicles in the Power Grid: Field Validation of Multiple Ancillary Services</t>
  </si>
  <si>
    <t>Ancillary services; electric vehicle (EV); power distribution control; power system testing; smart charging</t>
  </si>
  <si>
    <t>CHARGING STRATEGIES; SMART GRIDS; SUPPORT; MANAGEMENT</t>
  </si>
  <si>
    <t>With increased penetration of distributed energy resources and electric vehicles (EVs), different EV integration strategies can be used for mitigating various adverse effects, and supporting the grid. However, the research regarding EV smart charging has mostly remained on simulations, whereas the experimental validation has rarely been touched upon. This paper focuses mainly on evaluating the technical feasibility of a series-produced EV to provide flexibility in real distribution grids. The implemented controller uses contemporary and widely supported standards for limiting the EV charging rate, which essentially means that it is applicable to any EV complying with IEC 61851 and SAE J1772 standards. The field test validation is conducted in a real Danish distribution grid with a Nissan Leaf providing three ancillary services through unidirectional ac charging, namely, congestion management, local voltage support, and primary frequency regulation. Several performance parameters, such as EV response time and accuracy, are assessed and benchmarked with current requirements. Ultimately, this paper aims to strengthen the applied research within the EV integration domain through validating smart grid concepts on original standard-compliant equipment.</t>
  </si>
  <si>
    <t>10.1109/TTE.2016.2616864</t>
  </si>
  <si>
    <t>Monteiro, V; Lima, P; Sousa, TJC; Martins, JS; Afonso, JL</t>
  </si>
  <si>
    <t>Monteiro, Vitor; Lima, Pedro; Sousa, Tiago J. C.; Martins, Julio S.; Afonso, Joao L.</t>
  </si>
  <si>
    <t>An Off-Board Multi-Functional Electric Vehicle Charging Station for Smart Homes: Analysis and Experimental Validation</t>
  </si>
  <si>
    <t>electric vehicles; smart grid; smart home; off-board charging station; renewable energy source; power quality; power electronics</t>
  </si>
  <si>
    <t>RENEWABLE ENERGY; PLUG; SYSTEMS; GRIDS</t>
  </si>
  <si>
    <t>This paper presents the analysis and experimental validation of a single-phase off-board multi-functional electric vehicle (EV) charging station (MF-EVCS), which has a single ac interface and two dc interfaces. As innovative aspects, the proposed MF-EVCS handles the interface of the ac power grid, the dc interface of a renewable energy source (RES), as well as the dc interface of an EV to perform dc charging or discharging of the batteries (in off-board grid-to-vehicle (G2V) or vehicle-to-grid (V2G) modes). Considering the power grid, the individual operation modes of the RES and the EV interfaces can be considered. Moreover, a combination of these modes is also possible. Besides, the MF-EVCS has as key innovative aspect the possibility of operating as an active power filter (APF), supporting the operation with reactive power and/or selected current harmonics. This possibility can be associated with any of the previous mentioned modes. These new features are framed in two distinct scenarios: in a smart home, where the ac-side current can be determined as a function of the other electrical appliances; in a smart grid, where the ac-side current can be determined as a requisite of the power grid. The proposed power theory, as well as the current control strategies for both ac-side and dc-side of the MF-EVCS, are presented in the paper for all the possible operation scenarios. A laboratory prototype was developed to validate the proposed MF-EVCS and the experimental results confirm its suitability for smart homes.</t>
  </si>
  <si>
    <t>10.3390/en13081864</t>
  </si>
  <si>
    <t>van der Kam, M; Peters, A; van Sark, W; Alkemade, F</t>
  </si>
  <si>
    <t>van der Kam, Mart; Peters, Annemijn; van Sark, Wilfried; Alkemade, Floor</t>
  </si>
  <si>
    <t>Agent-Based Modelling of Charging Behaviour of Electric Vehicle Drivers</t>
  </si>
  <si>
    <t>JASSS-THE JOURNAL OF ARTIFICIAL SOCIETIES AND SOCIAL SIMULATION</t>
  </si>
  <si>
    <t>Electric Vehicles; Intermittent Renewables; Smart Charging; Environmental Self-Identity; Range Anxiety; Agent-Based Model</t>
  </si>
  <si>
    <t>PHOTOVOLTAIC SYSTEMS; TECHNOLOGY ADOPTION; MARKET PENETRATION; BIOSPHERIC VALUES; ENERGY; DIFFUSION; ACCEPTANCE; MOTIVATION; PREFERENCES; FRAMEWORK</t>
  </si>
  <si>
    <t>The combination of electric vehicles (EVs) and intermittent renewable energy sources has received increasing attention over the last few years. Not only does charging electric vehicles with renewable energy realize their true potential as a clean mode of transport, charging electric vehicles at times of peaks in renewable energy production can help large scale integration of renewable energy in the existing energy infrastructure. We present an agent-based model that investigates the potential contribution of this combination. More specifically, we investigate the potential effects of different kinds of policy interventions on aggregate EV charging patterns. The policy interventions include financial incentives, automated smart charging, information campaigns and social charging. We investigate how well the resulting charging patterns are aligned with renewable energy production and how much they affect user satisfaction of EV drivers. Where possible, we integrate empirical data in our model, to ensure realistic scenarios. We use recent theory from environmental psychology to determine agent behaviour, contrary to earlier simulation models, which have focused only on technical and financial considerations. Based on our simulation results, we articulate some policy recommendations. Furthermore, we point to future research directions for environmental psychology scholars and modelers who want to use theory to inform simulation models of energy systems.</t>
  </si>
  <si>
    <t>10.18564/jasss.4133</t>
  </si>
  <si>
    <t>Zhang, Q; Liu, HZ; Li, C</t>
  </si>
  <si>
    <t>Zhang, Qian; Liu, Huazhen; Li, Chen</t>
  </si>
  <si>
    <t>A hierarchical dispatch model for optimizing real-time charging and discharging strategy of electric vehicles</t>
  </si>
  <si>
    <t>electric vehicles (EVs); hierarchical dispatch model; charging and discharging scheduling; evaluation index system; priority</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</si>
  <si>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(c) 2018 Institute of Electrical Engineers of Japan. Published by John Wiley &amp; Sons, Inc.</t>
  </si>
  <si>
    <t>10.1002/tee.22599</t>
  </si>
  <si>
    <t>Bautista, PB; Cardenas, LL; Aguiar, LU; Igartua, MA</t>
  </si>
  <si>
    <t>Barbecho Bautista, Pablo; Lemus Cardenas, Leticia; Urquiza Aguiar, Luis; Aguilar Igartua, Monica</t>
  </si>
  <si>
    <t>A traffic-aware electric vehicle charging management system for smart cities</t>
  </si>
  <si>
    <t>VEHICULAR COMMUNICATIONS</t>
  </si>
  <si>
    <t>VANET; Electric vehicles (EVs); Smart charging service; Vehicle-to-vehicle; Applications; Intelligent transportation systems</t>
  </si>
  <si>
    <t>DISTRIBUTION NETWORKS; ROUTING PROTOCOL; STRATEGIES; 802.11P; VANETS</t>
  </si>
  <si>
    <t>The expected increase in the number of electric vehicles (EVs) in the coming years will contribute to reducing CO2pollution in our cities. Currently, EVs' users may suffer from distress due to long charging service times and overloaded charging stations (CSs). Critical traffic conditions (e.g., traffic jams) affect EVs' trip time (TT) towards CSs and thus influence the total trip duration. With this concern, Intelligent transport systems (ITS) and more specifically connected vehicle technologies, can leverage an efficient real-time EV charging service by jointly considering CSs status and traffic conditions in the city. In this work, we propose a scheme to manage EVs' charging planning, focusing on the selection of a CS for the energy-requiring EV. The proposed scheme considers anticipated charging slots reservations performed through a vehicular ad hoc network (VANET), which has been regarded as a cost-efficient communication framework. In specific, we consider two aspects: 1) the EV's total trip time towards its destination considering an intermediate charging at each candidate CS, and 2) the communication delay of the VANET routing protocol. First, in order to estimate the EV's total trip time, our CS selection scheme takes into account the average road speed, traffic lights, and route distance, along the path of the EV. The optimal CS that produces the minimum total charging service time (including the TT) is suggested to that energy-requiring EV. Then, we introduce two communication modes based on geographical routing protocols for VANETs to attain an anticipated charging slot reservation. Simulation results show that with our charging scheme EVs' charging service time is reduced and more EVs are successfully charged. (c) 2019 Elsevier Inc. All rights reserved.</t>
  </si>
  <si>
    <t>10.1016/j.vehcom.2019.100188</t>
  </si>
  <si>
    <t>Rubino, L; Capasso, C; Veneri, O</t>
  </si>
  <si>
    <t>Rubino, Luigi; Capasso, Clemente; Veneri, Ottorino</t>
  </si>
  <si>
    <t>Review on plug-in electric vehicle charging architectures integrated with distributed energy sources for sustainable mobility</t>
  </si>
  <si>
    <t>Plug-in electric vehicles; PEV charging infrastructure; Energy storage systems; Power converters; Smart grid</t>
  </si>
  <si>
    <t>WIRELESS POWER TRANSFER; BATTERY CHARGER; STORAGE TECHNOLOGIES; TRANSFER SYSTEM; MOTOR DRIVE; DESIGN; MANAGEMENT; CONVERTER; STATION; IMPLEMENTATION</t>
  </si>
  <si>
    <t>In this review, the aim is to present a complete outlook for innovative charging infrastructures. In a real smart grid scenario, these infrastructures are candidates to support the integration of electric and hybrid mobility with distributed energy sources. In this paper, at the outset, an analysis of the scientific and technical literature about main international standards and classifications has been provided. Also taken into consideration in this analysis are the expected challenges related to charging technologies for electric and plug-in hybrid vehicles, giving specific details on current and possible future trends for both stationary and dynamic inductive charging systems. In particular, for each charging level, traditional and more innovative power electronic architectures equipped with the new technologies that support both slow and fast conductive charging operations for the new-generation road vehicle-have been reported, described and analysed in detail. The analysis has been conducted through a comparison of power architectures, in terms of efficiency, scalability and charging power/time of the vehicle battery packs. Specific attention has also been devoted to off-board DC fast-charging architectures, which play a fundamental role in the integration of stationary energy storage systems and renewable energy sources with the main grid. Finally, in this review, a wide range of the most interesting applications, technical experiences and international pilot projects have been summarized and discussed, with specific references to the new technologies mentioned above. The overview reported in this paper highlights the importance of a proper charging infrastructure, in combination with next generation energy storage technologies, to support the large-scale diffusion of electric and plug-in hybrid vehicles. (C) 2017 Elsevier Ltd. All rights reserved.</t>
  </si>
  <si>
    <t>10.1016/j.apenergy.2017.06.097</t>
  </si>
  <si>
    <t>Casini, M; Vicino, A; Gino, G</t>
  </si>
  <si>
    <t>A chance constraint approach to peak mitigation in electric vehicle charging stations</t>
  </si>
  <si>
    <t>AUTOMATICA</t>
  </si>
  <si>
    <t>Plug-in electric vehicles; EV parking lots; Optimization; Chance constraints; Smart charging; Peak reduction</t>
  </si>
  <si>
    <t>ENERGY; REDUCTION; OPERATION; STORAGE; MODEL; LOAD</t>
  </si>
  <si>
    <t>The increased penetration of plug-in electric vehicles asks for efficient algorithms to be adopted in parking lots equipped with charging units. In this paper, the peak power minimization problem for a plug-in charging station is addressed. A chance constraint approach is adopted in order to minimize the daily peak power, allowing for a tolerance on the charging service customer satisfaction expressing the probability that a vehicle leaves the station violating the agreed level of charge. Numerical simulations are provided to evaluate the performance of the proposed approach as well as to make a comparison with other techniques. (C) 2021 Elsevier Ltd. All rights reserved.</t>
  </si>
  <si>
    <t>10.1016/j.automatica.2021.109746</t>
  </si>
  <si>
    <t>Basmadjian, R; Kirpes, B; Mrkos, J; Cuchy, M</t>
  </si>
  <si>
    <t>Basmadjian, Robert; Kirpes, Benedikt; Mrkos, Jan; Cuchy, Marek</t>
  </si>
  <si>
    <t>A Reference Architecture for Interoperable Reservation Systems in Electric Vehicle Charging</t>
  </si>
  <si>
    <t>smart cities; electric mobility; sustainable transport; electric vehicles; charging stations; reservation; reference architecture; interoperability</t>
  </si>
  <si>
    <t>TRANSPORT; MOBILITY</t>
  </si>
  <si>
    <t>The charging infrastructure for electric vehicles faces the challenges of insufficient capacity and long charging duration. These challenges decrease the electric vehicle users' satisfaction and lower the profits of infrastructure providers. Reservation systems can mitigate these issues. We introduce a reference architecture for interoperable reservation systems. The advantages of the proposed architecture are: it (1) considers the needs of the most relevant electric mobility stakeholders, (2) satisfies the interoperability requirements of existing technological heterogeneity, and (3) provides a classification of reservation types based on a morphological methodology. We instantiate the reference architecture and verify its interoperability and fulfillment of stakeholder requirements. Further, we demonstrate a proof-of-concept by instantiating and implementing an ad-hoc reservation approach. Our validation was based on simulations of real-world case studies for various reservation deployments in the Netherlands. We conclude that, in certain high demand situations, reservations can save significant time for electric vehicle trips. The findings indicate that a reservation system does not directly increase the utilization of the charging infrastructure.</t>
  </si>
  <si>
    <t>10.3390/smartcities3040067</t>
  </si>
  <si>
    <t>Tarroja, B; Shaffer, B; Samuelsen, S</t>
  </si>
  <si>
    <t>Tarroja, Brian; Shaffer, Brendan; Samuelsen, Scott</t>
  </si>
  <si>
    <t>The importance of grid integration for achievable greenhouse gas emissions reductions from alternative vehicle technologies</t>
  </si>
  <si>
    <t>Greenhouse gas emissions; Electric grid; Electric vehicles; Fuel cell vehicles; Smart charging; Energy storage</t>
  </si>
  <si>
    <t>ELECTRIC VEHICLES; POWER-SYSTEMS; HYDROGEN</t>
  </si>
  <si>
    <t>Alternative vehicles must appropriately interface with the electric grid and renewable generation to contribute to decarbonization. This study investigates the impact of infrastructure configurations and management strategies on the vehicle-grid interface and vehicle greenhouse gas reduction potential with regard to California's Executive Order S-21-09 goal. Considered are battery electric vehicles, gasoline-fueled plug-in hybrid electric vehicles, hydrogen-fueled fuel cell vehicles, and plug-in hybrid fuel cell vehicles. Temporally resolved models of the electric grid, electric vehicle charging, hydrogen infrastructure, and vehicle powertrain simulations are integrated. For plug-in vehicles, consumer travel patterns can limit the greenhouse gas reductions without smart charging or energy storage. For fuel cell vehicles, the fuel production mix must be optimized for minimal greenhouse gas emissions. The plug-in hybrid fuel cell vehicle has the largest potential for emissions reduction due to smaller battery and fuel cells keeping efficiencies higher and meeting 86% of miles on electric travel keeping the hydrogen demand low. Energy storage is required to meet Executive Order S-21-09 goals in all cases. Meeting the goal requires renewable capacities of 205 GIN for plug-in hybrid fuel cell vehicles and battery electric vehicle 100s, 255 GW for battery electric vehicle 200s, and 325 GW for fuel cell vehicles. (C) 2015 Elsevier Ltd. All rights reserved.</t>
  </si>
  <si>
    <t>10.1016/j.energy.2015.05.012</t>
  </si>
  <si>
    <t>Xu, XH; Yao, LZ; Zeng, PL; Liu, YJ; Cai, TT</t>
  </si>
  <si>
    <t>Xu, Xiaohui; Yao, Liangzhong; Zeng, Pingliang; Liu, Yujun; Cai, Tingting</t>
  </si>
  <si>
    <t>Architecture and performance analysis of a smart battery charging and swapping operation service network for electric vehicles in China</t>
  </si>
  <si>
    <t>Demonstration project; Electric vehicles; Data analysis; Smart charging and swapping operational network; Queuing theory</t>
  </si>
  <si>
    <t>SYSTEMS; DEMAND; POWER</t>
  </si>
  <si>
    <t>In recent years, the Chinese government and State Grid Corporation of China (SGCC) have paid great attention to the technical development and infrastructure construction for electric vehicles (EVs). This paper focuses on the mechanism of Smart Battery Charging and Swapping Operation Service Network for EVs including its overall architecture and operational mode. The overall architecture based on the internet of things is analyzed and clarified through terminal device, station management and management center layers. Then two different types of demonstration projects are presented which expound on the condition of EV's infrastructure construction. Lastly, performance analysis of the charging behaviors of electric taxis in fast charging station based on the Queuing theory is proposed. The simulation results show that the service time and the number of generators has an influence on the average waiting time and the length of queue.</t>
  </si>
  <si>
    <t>10.1007/s40565-015-0118-y</t>
  </si>
  <si>
    <t>Garcia-Villalobos, J; Zamora, I; Knezovic, K; Marinelli, M</t>
  </si>
  <si>
    <t>Garcia-Villalobos, J.; Zamora, I.; Knezovic, K.; Marinelli, M.</t>
  </si>
  <si>
    <t>Multi-objective optimization control of plug-in electric vehicles in low voltage distribution networks</t>
  </si>
  <si>
    <t>Plug-in electric vehicles; Optimal control; Smart charging; Smart grid; Low voltage distribution networks; Vehicle to grid</t>
  </si>
  <si>
    <t>LOAD PROFILES; SERVICES; IMPACT</t>
  </si>
  <si>
    <t>The massive introduction of plug-in electric vehicles (PEVs) into low voltage (LV) distribution networks will lead to several problems, such as: increase of energy losses, decrease of distribution transformer lifetime, lines and transformer overload issues, voltage drops and unbalances. In this context, this paper proposes a new multi-objective optimization algorithm in order to reduce the mentioned problems. At the same time, users' interests in terms of charging cost and privacy have been taken into account. The proposed multi-objective optimization is based on minimizing the load variance and charging costs by using the weighted sum method and fuzzy control. The use of vehicle to grid (V2G) concept and load forecast uncertainties have been also considered. Furthermore, an innovative method for mitigating voltage unbalances has been developed. The effectiveness of this methodology has been tested using real data of a LV distribution network, located in Borup (Denmark). Simulation results show that this approach can reduce both energy losses and charging costs as well as it allows a high PEV penetration rates (PEV-PR). (C) 2016 Elsevier Ltd. All rights reserved.</t>
  </si>
  <si>
    <t>10.1016/j.apenergy.2016.07.110</t>
  </si>
  <si>
    <t>Hussain, A; Bui, V; Kim, HM</t>
  </si>
  <si>
    <t>Hussain, Akhtar; Bui, Van-Hai; Kim, Hak-Man</t>
  </si>
  <si>
    <t>Deep reinforcement learning-based operation of fast charging stations coupled with energy storage system</t>
  </si>
  <si>
    <t>Charging station; Deep reinforcement learning; Electric vehicles; Energy storage system; Reinforcement learning; Smart grid</t>
  </si>
  <si>
    <t>RENEWABLE ENERGY; DEMAND RESPONSE; OPTIMIZATION</t>
  </si>
  <si>
    <t>Fast charging stations (FCSs) can reduce the charging time of electric vehicles (EVs) and thus can help in the widespread adoption of EVs. However, FCSs may result in the power system overload. Therefore, the deployment of the battery energy storage system (BESS) in FCSs is considered as a potential solution to avoid system overload. However, the optimal operation of FCSs equipped with BESS is challenging due to the involvement of several uncertainties, such as EV arrival/departure times and electricity prices. Therefore, in this study, a deep reinforcement learning-based method is proposed to operate FCSs with BESS under these uncertainties. The stateof-the-art soft actor-critic method (SAC) is adopted and the model is trained with one-year data to cover seasonality and different types of days (working days and holidays). The performance of SAC is compared with two other deep reinforcement learning methods, i.e., deep deterministic policy gradient and twin delayed deep deterministic policy gradient. A comprehensive reward function is devised to train the model offline, which can then be used for the real-time operation of FCS with BESS under different uncertainties. The trained model has successfully reduced the peak load of the FCS during both weekdays and holidays by optimizing the operation of the BESS. In addition, the robustness of the proposed model against different EV arrival scenarios and extreme market price scenarios is also evaluated. Simulation results have shown that the proposed model can reduce the peak load of the FCS under diverse conditions in the desired fashion.</t>
  </si>
  <si>
    <t>10.1016/j.epsr.2022.108087</t>
  </si>
  <si>
    <t>Held, L; Baumann, S; Suriyah, MR; Leibfried, T; Ratajczak, L; Lossau, S; Konermann, M</t>
  </si>
  <si>
    <t>Held, Lukas; Baumann, Sebastian; Suriyah, Michael R.; Leibfried, Thomas; Ratajczak, Levin; Lossau, Selma; Konermann, Martin</t>
  </si>
  <si>
    <t>Operation of Battery Storage as a Temporary Equipment During Grid Reinforcement Caused by Electric Vehicles</t>
  </si>
  <si>
    <t>electric vehicles; EV charging; smart grids; distribution grids; energy storage systems; battery storage systems</t>
  </si>
  <si>
    <t>Electric vehicle charging stresses distribution grids significantly with high penetrations of electric vehicles. This will lead to grid reinforcement works in several distribution grids. Battery storage is a possible solution to bypass times of grid reinforcement due to electric vehicle charging. In this paper, different operation strategies for such a battery storage are tested at first in simulations. The main difference between the strategies is the necessary input data. Following the simulations, selected strategies are tested in reality in the project Netzlabor E-Mobility-Allee. It is proved that battery storage is a functioning possibility to bypass times of grid reinforcement.</t>
  </si>
  <si>
    <t>10.3390/electronics9060888</t>
  </si>
  <si>
    <t>Woody, M; Craig, MT; Vaishnav, PT; Lewis, GM; Keoleian, GA</t>
  </si>
  <si>
    <t>Woody, Maxwell; Craig, Michael T.; Vaishnav, Parth T.; Lewis, Geoffrey M.; Keoleian, Gregory A.</t>
  </si>
  <si>
    <t>Optimizing future cost and emissions of electric delivery vehicles</t>
  </si>
  <si>
    <t>JOURNAL OF INDUSTRIAL ECOLOGY</t>
  </si>
  <si>
    <t>electric vehicles; greenhouse gas emissions; industrial ecology; last-mile delivery; multiobjective optimization; smart charging</t>
  </si>
  <si>
    <t>CARBON; TRANSPORTATION; BENEFITS; ADOPTION; CITY</t>
  </si>
  <si>
    <t>Electrification of delivery vehicles will play an important role in decarbonizing the transportation sector. As electricity-generating technologies vary regionally and temporally, where electric vehicles are deployed and when they are charged will determine the greenhouse gas (GHG) emissions and cost consequences of delivery vehicle electrification. We couple a vehicle charging model with a dataset that provides hourly projections of marginal electricity cost and marginal emissions factors across 134 electricity balancing areas in the United States. We calculate the cost and emissions of charging an electric delivery vehicle over a 10-year service life (2021-2030) at different times of day and in different locations. Using a multiobjective optimization framework, we explore two potential goals-minimizing GHG emissions and minimizing cost-and investigate the tradeoffs between those goals. We show emissions ranging from 136 to 485 g CO2/mile, and costs ranging from 0.79 to 3.18 cents/mile depending on location and optimization weighting. We demonstrate the impact of charge time-of-day optimization frequency, showing emissions reductions of 19-62% by choosing the optimal charging time every day, rather than annually. We show that the benefits of electrification are reduced when potential charge times are constrained (e.g., if charging must take place overnight), and we calculate the carbon price needed to align cost-optimized and emissions-optimized charge timing in different regions. Our results highlight the opportunity to reduce cost and emissions by strategically charging at certain times of day and show the importance of accounting for spatial and temporal variability when developing effective carbon-reduction strategies.</t>
  </si>
  <si>
    <t>10.1111/jiec.13263</t>
  </si>
  <si>
    <t>MAR 2022</t>
  </si>
  <si>
    <t>Iqbal, A; Rajasekaran, AS; Nikhil, GS; Azees, M</t>
  </si>
  <si>
    <t>Iqbal, Atif; Rajasekaran, Arun Sekar; Nikhil, Gadilli Sai; Azees, Maria</t>
  </si>
  <si>
    <t>A Secure and Decentralized Blockchain Based EV Energy Trading Model Using Smart Contract in V2G Network</t>
  </si>
  <si>
    <t>Blockchain; Vehicle-to-grid; Heuristic algorithms; Pricing; Vehicle dynamics; Smart contracts; Electric vehicle charging; Bilinear pairing; blockchain; electric vehicle; smart contract; vehicle to grid</t>
  </si>
  <si>
    <t>SCHEME; AUTHENTICATION</t>
  </si>
  <si>
    <t>In this work, a secure and decentralized Blockchain based energy trading model for electric vehicles (EVs) using Smart contract that achieves Peer-to-Peer (P2P) transactions between EVs in Vehicle to Grid networks is designed. The traditional energy trading model is a centralized structure based on trusted third parties, and there may an issue of single-point failure and leakage of privacy. In this way, a blockchain-based framework offers a secure, efficient and transparent trading model. Initially, the participating EVs and aggregator in the trading process should register at the trusted authority. Once the registration is successfully completed, both EVs and aggregator authenticate each other mutually in an anonymous manner. Moreover, only authorized EVs (charging and discharging EVs) participate in the contrary auction mechanism to exchange power/money based on their demand. Simulation conducted for the proposed scheme shows that our scheme has high speed (i.e., less computational time and execution time) which improves the market efficiency. In-addition, the transactions are non tamperable, when compared to the conventional scheme.</t>
  </si>
  <si>
    <t>10.1109/ACCESS.2021.3081506</t>
  </si>
  <si>
    <t>Franco, JF; Rider, MJ; Romero, R</t>
  </si>
  <si>
    <t>Franco, John F.; Rider, Marcos J.; Romero, Ruben</t>
  </si>
  <si>
    <t>A Mixed-Integer Linear Programming Model for the Electric Vehicle Charging Coordination Problem in Unbalanced Electrical Distribution Systems</t>
  </si>
  <si>
    <t>Electric vehicles charging coordination (EVCC); mixed integer linear programming (MILP); unbalanced electrical distribution systems (EDSs)</t>
  </si>
  <si>
    <t>LOAD DEMAND; SIMULATION; ENERGY</t>
  </si>
  <si>
    <t>This paper presents a novel mixed-integer linear programming (MILP) model for the electric vehicle charging coordination (EVCC) problem in unbalanced electrical distribution systems (EDSs). Linearization techniques are applied over a mixed-integer nonlinear programming model to obtain the proposed MILP formulation based on current injections. The expressions used to represent the steady-state operation of the EDS take into account a three-phase representation of the circuits, as well as the imbalance of the loads, leading to a more realistic model. Additionally, the proposed formulation considers the presence of distributed generators and operational constraints such as voltage and current magnitude limits. The optimal solution for the mathematical model was found using commercial MILP solvers. The proposed formulation was tested in a distribution system used in the specialized literature. The results show the efficiency and the robustness of the methodology, and also demonstrate that the model can be used in the solution of the EVCC problem in EDSs.</t>
  </si>
  <si>
    <t>10.1109/TSG.2015.2394489</t>
  </si>
  <si>
    <t>Jin, JL; Hao, LL; Xu, YJ; Wu, JJ; Jia, QS</t>
  </si>
  <si>
    <t>Jin, Jiangliang; Hao, Liangliang; Xu, Yunjian; Wu, Junjie; Jia, Qing-Shan</t>
  </si>
  <si>
    <t>Joint Scheduling of Deferrable Demand and Storage With Random Supply and Processing Rate Limits</t>
  </si>
  <si>
    <t>Task analysis; Servers; Dynamic scheduling; Process control; Energy storage; Dynamic programming; Electric vehicle charging; Dynamic programming; electric vehicle; reinforcement learning; renewable generation; stochastic deadline scheduling</t>
  </si>
  <si>
    <t>ELECTRIC VEHICLES; POWER; COORDINATION; COOPERATION; GENERATION; CAPACITY; SERVICES; UNITS</t>
  </si>
  <si>
    <t>We study the joint scheduling of deferrable demands (e.g., the charging of electric vehicles) and storage systems in the presence of random supply, demand arrivals, processing costs, and subject to processing rate limit constraint. We formulate the scheduling problem as a dynamic program so as to minimize the expected total cost, the sum of processing costs, and the noncompletion penalty (incurred when a task is not fully processed by its deadline). Under mild assumptions, we characterize an optimal index-based priority rule: Tasks with less laxity should be processed first, and for two tasks with the same laxity, the task with a later deadline has the priority. Based on the established optimal control policy characterizations (on resource allocation among multitasks and storage operation), we propose to apply data-driven reinforcement learning (RL) methods to make energy procurement decisions. Numerical results show that the proposed approach significantly outperforms existing RL methods combined with the earliest deadline first priority rule (by reducing 26%-32% of system cost).</t>
  </si>
  <si>
    <t>10.1109/TAC.2020.3046555</t>
  </si>
  <si>
    <t>Tang, HL; Wu, JK</t>
  </si>
  <si>
    <t>Tang, Huiling; Wu, Jiekang</t>
  </si>
  <si>
    <t>Multi-objective coordination optimisation method for DGs and EVs in distribution networks</t>
  </si>
  <si>
    <t>ARCHIVES OF ELECTRICAL ENGINEERING</t>
  </si>
  <si>
    <t>charging and discharging of electric vehicles; distribution networks; distributed generation; multi-objective coordination optimisation; SAPSO</t>
  </si>
  <si>
    <t>ELECTRIC VEHICLES; DISTRIBUTION-SYSTEMS; GENERATION; ALGORITHM; ENERGY</t>
  </si>
  <si>
    <t>The loss of power and voltage can affect distribution networks that have a significant number of distributed power resources and electric vehicles. The present study focuses on a hybrid method to model multi-objective coordination optimisation problems for distributed power generation and charging and discharging of electric vehicles in a distribution system. An improved simulated annealing based particle swarm optimisation (SAPSO) algorithm is employed to solve the proposed multi-objective optimisation problem with two objective functions including the minimal power loss index and minimal voltage deviation index. The proposed method is simulated on IEEE 33-node distribution systems and IEEE-118 nodes large scale distribution systems to demonstrate the performance and effectiveness of the technique. The simulation results indicate that the power loss and node voltage deviation are significantly reduced via the coordination optimisation of the power of distributed generations and charging and discharging power of electric vehicles. With the methodology supposed in this paper, thousands of EVs can be accessed to the distribution network in a slow charging mode.</t>
  </si>
  <si>
    <t>10.24425/aee.2019.125977</t>
  </si>
  <si>
    <t>Aznavi, S; Fajri, P; Asrari, A; Harirchi, F</t>
  </si>
  <si>
    <t>Aznavi, Sima; Fajri, Poria; Asrari, Arash; Harirchi, Farshad</t>
  </si>
  <si>
    <t>Realistic and Intelligent Management of Connected Storage Devices in Future Smart Homes Considering Energy Price Tag</t>
  </si>
  <si>
    <t>Smart homes; Batteries; Energy management; Energy exchange; Optimization; Charging stations; Coordinated energy management; energy price tag; household energy storage systems; optimization; plug-in electric vehicle; smart home</t>
  </si>
  <si>
    <t>DEMAND-SIDE MANAGEMENT; ELECTRIC VEHICLES; BUILDINGS; SYSTEM; POWER; MODEL</t>
  </si>
  <si>
    <t>Coordinated energy management plays a main role in increasing the performance and economic benefits of future smart homes. This article focuses on the energy management of a smart home equipped with a plug-in electric vehicle (PEV), household battery storage, and photovoltaics (PV), and it proposes an energy price tag (EPT) for all energy storage devices connected to the smart home system. A hybrid approach that consists of optimization and a rule-based prioritization is presented. The proposed algorithm establishes a priority order between the PEV, the household battery, and the imported power from the grid based on the EPT of energy sources. The proposed energy management algorithm seeks for the minimum overall energy cost for the smart home and PEV owner while satisfying household power demand and charging requirements of the storage devices. The performance of the energy management algorithm is examined on a typical smart home over a 24-h period based on time-varying grid electricity price.</t>
  </si>
  <si>
    <t>10.1109/TIA.2019.2956718</t>
  </si>
  <si>
    <t>Zhang, Y; Yang, QY; Yu, W; An, D; Li, DH; Zhao, W</t>
  </si>
  <si>
    <t>Zhang, Yang; Yang, Qingyu; Yu, Wei; An, Dou; Li, Donghe; Zhao, Wei</t>
  </si>
  <si>
    <t>An Online Continuous Progressive Second Price Auction for Electric Vehicle Charging</t>
  </si>
  <si>
    <t>Electric vehicle (EV) charging; Internet of Things; online trading; progressive second price (PSP); smart grid; smart transportation</t>
  </si>
  <si>
    <t>SMART; DEMAND; MARKET; MANAGEMENT; SYSTEM</t>
  </si>
  <si>
    <t>In this paper, we address the issue of the energy trading in the scenario of electric vehicles (EVs) charging in the smart grid. The EVs energy trading problems have attracted growing attention with the popularity of EVs. As the traditional first-reserve-first-serve scheme in the energy trading market impairs the benefits of both buyers and seller, we consider an auction scheme, called progressive second price (PSP), which has been proved to be an efficient way to conduct resource allocation in the trading market. Compared with other auction schemes, the PSP scheme can achieve both incentive compatibility and Nash equilibrium, which are important properties for the market. Nonetheless, the PSP auction scheme is not designed for online auction and it cannot guarantee that the seller can provide an enough number of charging piles to satisfy the demand of winners. To tackle these issues, in this paper we propose a novel online continuous PSP-based auction scheme, which is capable of not only achieving the property of online energy trading but also guaranteeing that the number of winners is limited to be no more than the number of charging piles. Further, we prove that our auction scheme achieves incentive compatibility and Nash equilibrium. The extensive experimental results demonstrate that our auction scheme achieves good performance with respect to social welfare, the seller satisfaction ratio, the buyer satisfaction ratio, as well as computation overhead.</t>
  </si>
  <si>
    <t>10.1109/JIOT.2018.2876422</t>
  </si>
  <si>
    <t>Mwasilu, F; Justo, JJ; Kim, EK; Do, TD; Jung, JW</t>
  </si>
  <si>
    <t>Mwasilu, Francis; Justo, Jackson John; Kim, Eun-Kyung; Ton Duc Do; Jung, Jin-Woo</t>
  </si>
  <si>
    <t>Electric vehicles and smart grid interaction: A review on vehicle to grid and renewable energy sources integration</t>
  </si>
  <si>
    <t>Vehicle to grid (V2G); Electric vehicle (EV); Smart grid; Advanced metering infrastructure; Smart charging; Renewable energy sources</t>
  </si>
  <si>
    <t>IMPACTS; GENERATION; SERVICES; SYSTEMS; PHEV; COORDINATION; TECHNOLOGIES; BATTERIES; MODEL; COST</t>
  </si>
  <si>
    <t>This paper presents a comprehensive review and assessment of the latest research and advancement of electric vehicles (EVs) interaction with smart grid portraying the future electric power system model. The concept goal of the smart grid along with the future deployment of the EVs puts forward various challenges in terms of electric grid infrastructure, communication and control. Following an intensive review on advanced smart metering and communication infrastructures, the strategy for integrating the EVs into the electric grid is presented. Various EV smart charging technologies are also extensively examined with the perspective of their potential, impacts and limitations under the vehicle-to-grid (V2G) phenomenon. Moreover, the high penetration of renewable energy sources (wind and photovoltaic solar) is soaring up into the power system. However, their intermittent power output poses different challenges on the planning, operation and control of the power system networks. On the other hand, the deployment of EVs in the energy market can compensate for the fluctuations of the electric grid. In this context, a literature review on the integration of the renewable energy and the latest feasible solution using EVs with the insight of the promising research gap to be covered up are investigated. Furthermore, the feasibility of the smart V2G system is thoroughly discussed. In this paper, the EVs interactions with the smart grid as the future energy system model are extensively discussed and research gap is revealed for the possible solutions. (C) 2014 Elsevier Ltd. All rights reserved.</t>
  </si>
  <si>
    <t>10.1016/j.rser.2014.03.031</t>
  </si>
  <si>
    <t>Li, SH; Bao, K; Fu, XG; Zheng, HY</t>
  </si>
  <si>
    <t>Li, Shuhui; Bao, Ke; Fu, Xingang; Zheng, Huiying</t>
  </si>
  <si>
    <t>Energy Management and Control of Electric Vehicle Charging Stations</t>
  </si>
  <si>
    <t>ELECTRIC POWER COMPONENTS AND SYSTEMS</t>
  </si>
  <si>
    <t>charging station; electric vehicle; battery charge and discharge control; real-time simulation; smart grid</t>
  </si>
  <si>
    <t>CURRENT VECTOR CONTROL; SYSTEM</t>
  </si>
  <si>
    <t>Charging infrastructure is an important component for the healthy growth of the electric vehicle industry. This article presents an energy management and control study of an electric vehicle charging station. The charging station consists of an AC/DC converter for grid interface and multiple DC/DC converters for electric vehicle battery management. For the grid-side AC/DC converter, a direct-current control mechanism is employed for reactive power, AC system bus voltage, and DC-link voltage control. For the electric vehicle-side DC/DC converters, constant current and constant voltage control mechanisms are developed for electric vehicle charging and discharging management. The article considers energy management needs for charge and discharge of multiple electric vehicles simultaneously in a dynamic price framework. A real-time simulation system is developed to evaluate how the electric vehicle charging station can meet grid-to-vehicle, vehicle-to-grid, and vehicle-to-vehicle charging and discharging requirements.</t>
  </si>
  <si>
    <t>MAR 12</t>
  </si>
  <si>
    <t>3-4</t>
  </si>
  <si>
    <t>10.1080/15325008.2013.837120</t>
  </si>
  <si>
    <t>Kabir, ME; Sorkhoh, I; Moussa, B; Assi, C</t>
  </si>
  <si>
    <t>Kabir, Mohammad Ekramul; Sorkhoh, Ibrahim; Moussa, Bassam; Assi, Chadi</t>
  </si>
  <si>
    <t>Joint Routing and Scheduling of Mobile Charging Infrastructure for V2V Energy Transfer</t>
  </si>
  <si>
    <t>Energy exchange; Companies; Vehicular ad hoc networks; Routing; Electric vehicle charging; Schedules; Batteries; Dantzig-Wolfe decomposition; electric vehicle; routing; scheduling; V2V</t>
  </si>
  <si>
    <t>An adequate charging infrastructure advocates to ameliorate the range anxiety to propel the disparaged electric vehicle (EV) market. But, the high initial installation cost, requirement of suitable places and the anticipated immense load on the grid during peak times hinder to elongate the charging station network, especially in urban areas. Fortunately, the bidirectional energy transferring capability between vehicles (i.e., V2V) may act as an auxiliary solution to charge an EV at any place and at any time without leaning on a stationary charging infrastructure. In this work, we assume a market where charging providers each has a number of charging trucks equipped with a larger battery and a fast charger to charge a number of EVs at some particular parking lots. A provider intends to maximize the served number of EVs using its limited number of charging trucks, when an EV should be considered as served only if it would be fully charged during its declared charging window. All charging requests are assumed to be received by an agent which provisions a route and schedule for each charging truck and all trucks should return to the depot after serving EVs. We formulate this combinatorially hard problem as an integer linear program (ILP) to maximize the number of served EVs by determining the optimal trajectory of each truck. Owing to its complexity, we present a solution methodology by decomposing the problem using Dantzig-Wolfe decomposition approach; we divide the problem into one master problem and a set of pricing problems (one for each EV) and achieve the solution iteratively. Though the solution achieved from the decomposition might not be optimal, it is faster to be applicable in practice. We also compare the performance with two heuristic algorithms and report on the collected results.</t>
  </si>
  <si>
    <t>10.1109/TIV.2021.3063221</t>
  </si>
  <si>
    <t>Zhan, KQ; Hu, ZC; Song, YH; Lu, N; Xu, ZW; Jia, L</t>
  </si>
  <si>
    <t>Zhan, Kaiqiao; Hu, Zechun; Song, Yonghua; Lu, Ning; Xu, Zhiwei; Jia, Long</t>
  </si>
  <si>
    <t>A probability transition matrix based decentralized electric vehicle charging method for load valley filling</t>
  </si>
  <si>
    <t>Electric vehicle; Load valley filling; Decentralized charging control; Smart grid; Probability transition matrix; Aggregators</t>
  </si>
  <si>
    <t>DEMAND; GENERATION</t>
  </si>
  <si>
    <t>This paper presents a decentralized control method to schedule EV (electric vehicle) charging loads to fill the overnight load valley while meeting customers' charging requirements. A PTM (probability transition matrix) is calculated at the aggregator side as the control signal to guide EV charging processes based on submitted EV charging schedules. Elements of the PTM represent the transition probabilities of moving a charging load from one time period to another. At the EV side, each EV individually updates its charging schedule according to its charging requirements and the PTM. Then the updated schedules are sent back to the aggregator. This process is repeated iteratively until convergence. In this method, no optimal control problems need to be solved locally so that its implementation on the EV side requires low computation capability. Simulation results show that the proposed method can create desired EV charging schedules for load valley filling within only several iterations, making it suitable for real-time implementation. (C) 2015 Elsevier B.V. All rights reserved.</t>
  </si>
  <si>
    <t>10.1016/j.epsr.2015.03.013</t>
  </si>
  <si>
    <t>Sohet, B; Hayel, Y; Beaude, O; Jeandin, A</t>
  </si>
  <si>
    <t>POWER DISTRIBUTION; NAVIGATION STRATEGY; TRANSPORTATION; SYSTEM</t>
  </si>
  <si>
    <t>10.1109/TSG.2021.3107896</t>
  </si>
  <si>
    <t>Ucer, E; Kisacikoglu, MC; Yuksel, M; Gurbuz, AC</t>
  </si>
  <si>
    <t>Ucer, Emin; Kisacikoglu, Mithat C.; Yuksel, Murat; Gurbuz, Ali Cafer</t>
  </si>
  <si>
    <t>An Internet-Inspired Proportional Fair EV Charging Control Method</t>
  </si>
  <si>
    <t>Charging stations; complex networks; computer networks; distributed managament; electric vehicles; power distribution; smart grids; TCPIP</t>
  </si>
  <si>
    <t>ELECTRIC VEHICLES; CONGESTION; ALGORITHMS; IMPACT; GRIDS</t>
  </si>
  <si>
    <t>Transportation systems are undergoing a major transition with the integration of electric vehicles (EVs). However, due to increase in battery energy and charger power ratings, potential adverse effects on the distribution grid is a crucial issue to be addressed. Large voltage drops at charging nodes will deteriorate the quality of power service and cause unfair utilization of grid capacity among EV users. Safe and efficient operation of the grid along with a fast, convenient, and fair charging strategy is an important research problem. In this paper, we adapt the additive increase multiplicative decrease (AIMD) algorithm used in the Internet congestion control to EV charging using only local node measurements. We analyze the relationship between distance and grid voltage, and show how to extract this information from local measurements. Then, we present a detailed analysis to understand the relationship between distance and charging power in a distribution network to better address the fairness in the proposed AIMD EV charging algorithm. Results show that localized information at charging node voltages include important signature information on grid congestion and can be used to implement AIMD control for EV charging.</t>
  </si>
  <si>
    <t>10.1109/JSYST.2019.2903835</t>
  </si>
  <si>
    <t>Sundstrom, O; Binding, C</t>
  </si>
  <si>
    <t>Sundstroem, Olle; Binding, Carl</t>
  </si>
  <si>
    <t>Flexible Charging Optimization for Electric Vehicles Considering Distribution Grid Constraints</t>
  </si>
  <si>
    <t>Balancing power; demand management; distribution networks; electric vehicles; electricity grid; maximum flow algorithms; smart charging</t>
  </si>
  <si>
    <t>In this paper, the basic functions of an electric vehicle charging service provider are described with a focus on the associated optimization problems. A novel method of planning the charging of electric drive vehicles including electricity grid constraints, both voltage and power, is shown. The method establishes an individual charging plan for each vehicle and avoids distribution grid congestion while satisfying the requirements of the individual vehicle owners. The concepts proposed in this paper are tested on a simulated electricity grid. It is shown that both power and voltage constraints due to electric vehicle charging can be avoided using the proposed method.</t>
  </si>
  <si>
    <t>10.1109/TSG.2011.2168431</t>
  </si>
  <si>
    <t>Yalcin, GD; Ozsoy, CY; Taskin, Y</t>
  </si>
  <si>
    <t>Yalcin, Gulcin Dinc; Ozsoy, Cem Yakup; Taskin, Yigit</t>
  </si>
  <si>
    <t>A multi-objective mathematical model for the electric vehicle charging station placement problem in urban areas</t>
  </si>
  <si>
    <t>INTERNATIONAL JOURNAL OF SUSTAINABLE ENERGY</t>
  </si>
  <si>
    <t>Electric vehicle; charging station; sustainability; multi-objective optimisation; weighted sum scalarisation method; smart city</t>
  </si>
  <si>
    <t>OPTIMIZATION; LOCATION</t>
  </si>
  <si>
    <t>As the popularity of electric vehicle (EV) technology continues to develop rapidly, so does the demand for charging stations, which are expected to be the main source of energy for electric vehicles in smart cities. An ideal charging network of stations would facilitate easy access to charging stations for drivers by ensuring that there is always a station nearby, and do that with the minimum number of stations to reduce infrastructure costs. Motivated by striking a balance between these two, we propose a novel multi-objective model for the EV charging station placement problem under a renewed constraint of a network that aims to make it easy for drivers to reach a station from anywhere in a city within a reasonable distance. We apply the model to Eskisehir in Turkey and then solved it with the weighted sum scalarisation method. We demonstrate and discuss the results which show practicality of the model.</t>
  </si>
  <si>
    <t>10.1080/14786451.2021.2016761</t>
  </si>
  <si>
    <t>DEC 2021</t>
  </si>
  <si>
    <t>Dahmane, Y; Chenouard, R; Ghanes, M; Alvarado-Ruiz, M</t>
  </si>
  <si>
    <t>Dahmane, Yassir; Chenouard, Raphael; Ghanes, Malek; Alvarado-Ruiz, Mario</t>
  </si>
  <si>
    <t>Optimized time step for electric vehicle charging optimization considering cost and temperature</t>
  </si>
  <si>
    <t>Electric vehicle; Lithium-ion batteries; Smart charging; Decentralized control; Dynamic time step; Temperature effect</t>
  </si>
  <si>
    <t>LITHIUM-ION BATTERIES; ISSUES</t>
  </si>
  <si>
    <t>An optimal decentralized scheduling strategy for charging one Electric Vehicle (EV) is proposed to minimize the customer charging cost. Moreover, the EVs can offers more profit when considering the vehicle to grid feature, by discharging the EV in the grid at high peak demand the EV' owner can earn money and reduce his charging bill. Compared to existing methods, the main advantages of the proposed strategy is the considerations of an optimized time step. By doing so, the optimization problem uses a minimum number of decision variables and constraints. Then, the problem can be solved by all optimization method to reach the global optimum in reduced time. To formulate and solve a non-linear constrained optimization problem, the scheduling process takes into consideration: the time of arrival and time departure of the EV, the daily energy prices, the initial State of Charge (SoC) and the final SoC desired by the customer, the power limitations, and the temperature. The results obtained show a high impact of the optimal scheduling strategy and significant charging cost reduction compared to the uncontrolled charging and fixed time step algorithms. Moreover, the charging strategy only requires that each EV solves its optimization problem locally, therefore, its deployment requires a low computing capacity. (c) 2021 Elsevier Ltd. All rights reserved.</t>
  </si>
  <si>
    <t>10.1016/j.segan.2021.100468</t>
  </si>
  <si>
    <t>Wang, R; Wang, P; Xiao, GX</t>
  </si>
  <si>
    <t>Wang, Ran; Wang, Ping; Xiao, Gaoxi</t>
  </si>
  <si>
    <t>Two-Stage Mechanism for Massive Electric Vehicle Charging Involving Renewable Energy</t>
  </si>
  <si>
    <t>Charging mechanism design; electric vehicles (EVs); energy generation scheduling; peak shaving; power regulation; renewable energy</t>
  </si>
  <si>
    <t>DEMAND-SIDE MANAGEMENT; GAME-THEORETIC APPROACH; SMART GRIDS; INTEGRATION; ALGORITHM; NETWORKS; STRATEGY; STATIONS; SYSTEMS</t>
  </si>
  <si>
    <t>Integrating massive electric vehicles (EVs) into the power grid requires charging to be coordinated to reduce energy costs and the peak-to-average ratio (PAR) of the system. The coordination becomes more challenging when the highly fluctuant renewable energies constitute a significant portion of the power resources. To tackle this problem, a novel two-stage EV charging mechanism is designed in this paper, which mainly includes three parts. At the first stage, based on the prediction of future energy requests and considering the elastic charging property of EVs, an offline optimal energy generation scheduling problem is formulated and solved in a day-ahead manner to determine the energy generation in each time slot the next day. Then, at the second stage, based on the planned energy generation day-ahead, an adaptive real-time charging strategy is developed to determine the charging rate of each vehicle in a dynamic manner. Finally, we develop a charging rate compression (CRC) algorithm, which tremendously reduces the complexity of the problem solving. The fast algorithm supports real-time operations and enables the large-scale small-step scheduling more efficiently. Simulation results indicate that the proposed scheme can help effectively save energy costs and reduce the system PAR. Detailed evaluations on the impact of renewable energy uncertainties show that our proposed approach performs well in enhancing the system fault tolerance against uncertainties and the noises of real-time data. We further extend the mechanism to track a given load profile and handle the scenario where EVs only have several discrete charging rates. As a universal methodology, the proposed scheme is not restricted to any specific data traces and can be easily applied to many other cases as well.</t>
  </si>
  <si>
    <t>10.1109/TVT.2016.2523256</t>
  </si>
  <si>
    <t>Zhao, D; Thakur, N; Chen, JY</t>
  </si>
  <si>
    <t>Zhao, Dong; Thakur, Navwant; Chen, Jiayu</t>
  </si>
  <si>
    <t>Optimal Design of Energy Storage System to Buffer Charging Infrastructure in Smart Cities</t>
  </si>
  <si>
    <t>JOURNAL OF MANAGEMENT IN ENGINEERING</t>
  </si>
  <si>
    <t>Charging stations; Electric vehicle; Monte Carlo; Smart mobility; Construction management; Network optimization; Battery storage</t>
  </si>
  <si>
    <t>BATTERY; STATION</t>
  </si>
  <si>
    <t>A parallel trend of vehicle automation and electrification represents smart mobility in smart cities. Dramatic growth of electric vehicles (EVs) on roads is projected in the next decade. The pivotal challenge to infrastructure is how to fill the charging-capacity gap for the increased number of EVs. The challenge is twofold: one is the energy gap in charging stations due to peak demands, and the other is shortage of charging infrastructure owing to high construction costs. As an emerging solution, energy storage technology provides stable and reliable electricity buffers during peak hours; however, it is unknown how to effectively integrate energy storage to charging stations while obtaining the lowest cost. The objective of this paper is to develop a simulation model that determines the optimal design of the energy storage system (ESS) for a given network of charging stations. The model is made novel by integrating the charging station network and energy storage system as a whole. The optimal ESS design informs the configuration and distribution of battery type, size, amount, and location. A case study of the Detroit area in Michigan indicates the model is robust and provides efficient decision support for planners, designers, and engineers to construct energy storage systems. Strategies retrieved from the case suggest large-sized batteries and microgrids for cross-station energy exchange, which leads to a potential 20%-36% of cost savings for energy storage development.</t>
  </si>
  <si>
    <t>10.1061/(ASCE)ME.1943-5479.0000742</t>
  </si>
  <si>
    <t>Kim, J; Son, SY; Lee, JM; Ha, HT</t>
  </si>
  <si>
    <t>Kim, Jerim; Son, Sung-Yong; Lee, Jung-Min; Ha, Hyung-Tae</t>
  </si>
  <si>
    <t>Scheduling and performance analysis under a stochastic model for electric vehicle charging stations</t>
  </si>
  <si>
    <t>Electric vehicles; Battery charging station; Stochastic modeling; Charge scheduling; Markov-modulated Poisson process; Performance measures</t>
  </si>
  <si>
    <t>TIME</t>
  </si>
  <si>
    <t>Wide-spread infrastructures for electric vehicle battery charging stations are essential in order to significantly increase the implementation of electric vehicles (EVs) in the foreseeable future. Therefore, we propose a stochastic model and charge scheduling methods for an EV battery charging system. We utilize a flexible Poisson process with a hidden Markov chain for modeling the complexity of the time-varying behavior of the EV stream into the system. Relevant random factors and constraints, which include parking times, requested amounts of electricity, the number of parking lots (charging facilities), and maximal demand level, are considered within the proposed stochastic model. Performance measures for the proposed charge scheduling are analytically derived by obtaining stationary distributions of states concerning the number of inbound EVs, waiting time distributions, and the joint distributions of parking time and electricity charged during random parking times. (C) 2016 Elsevier Ltd. All rights reserved.</t>
  </si>
  <si>
    <t>10.1016/j.omega.2015.11.010</t>
  </si>
  <si>
    <t>Shuaib, K; Zhang, LR; Gaouda, A; Abdel-Hafez, M</t>
  </si>
  <si>
    <t>Shuaib, Khaled; Zhang, Liren; Gaouda, Ahmed; Abdel-Hafez, Mohammed</t>
  </si>
  <si>
    <t>A PEV Charging Service Model for Smart Grids</t>
  </si>
  <si>
    <t>vehicle charging scheme; power distribution systems; modeling; plug-in electric vehicle (PEV); smart grid</t>
  </si>
  <si>
    <t>Plug-in Electric Vehicles (PEVs) are envisioned to be more popular during the next decade as part of Smart Grid implementations. Charging multiple PEVs at the same time within a power distribution area constitutes a major challenge for energy service providers. This paper discusses a priority-based approach for charging PEVs in a Smart Grid environment. In this work, ideas from the communication network paradigm are being utilized and tailored toward achieving the desired objective of monitoring and controlling PEVs electric load in Smart Grid. A detailed example is given to show how uncontrolled penetration of PEVs can impact distribution transformer reliability. The paper introduces the concept of Charging Quality of Service (CQoS) as a smart electric vehicle charging scheme and models it using a priority-controlled leaky bucket approach. The performance of such a model is investigated under the umbrella of a Smart Grid environment.</t>
  </si>
  <si>
    <t>10.3390/en5114665</t>
  </si>
  <si>
    <t>Wi, YM; Lee, JU; Joo, SK</t>
  </si>
  <si>
    <t>Wi, Young-Min; Lee, Jong-Uk; Joo, Sung-Kwan</t>
  </si>
  <si>
    <t>Electric Vehicle Charging Method for Smart Homes/Buildings with a Photovoltaic System</t>
  </si>
  <si>
    <t>IEEE TRANSACTIONS ON CONSUMER ELECTRONICS</t>
  </si>
  <si>
    <t>Home Energy Management System; Building Energy Management System; Smart Electric Vehicle Charging; Photovoltaic System</t>
  </si>
  <si>
    <t>ENERGY MANAGEMENT-SYSTEM; COMMUNICATION; SELECTION; ZIGBEE</t>
  </si>
  <si>
    <t>Due to the increased penetration of electric vehicles (EVs) and photovoltaic (PV) systems, additional application for home/building energy management system (EMS) is needed to determine when and how much to charge an electric vehicle in an individual home/building. This paper presents a smart EV charging method for smart homes/buildings with a PV system. The paper consists of two parts: EV charging scheduling algorithm for smart homes/buildings and implementation of prototype application for home/building EMS. The proposed EV charging algorithm is designed to determine the optimal schedules of EV charging based on predicted PV output and electricity consumption. The implemented prototype application for home/building EMS can provide EV charging schedules according to user preferences. Numerical results are provided to demonstrate the effectiveness of the proposed smart EV charging method(1).</t>
  </si>
  <si>
    <t>10.1109/TCE.2013.6531113</t>
  </si>
  <si>
    <t>Tookanlou, MB; Kani, SAP; Marzband, M</t>
  </si>
  <si>
    <t>Tookanlou, Mahsa Bagheri; Kani, S. Ali Pourmousavi; Marzband, Mousa</t>
  </si>
  <si>
    <t>A comprehensive day-ahead scheduling strategy for electric vehicles operation</t>
  </si>
  <si>
    <t>Charging and discharging strategy; Cloud scheduling system; Electricity pricing; Electric vehicles; Three-layer optimisation problem</t>
  </si>
  <si>
    <t>PARTICLE SWARM OPTIMIZATION; PARKING LOT; ALGORITHM; PERFORMANCE; COMMITMENT; MANAGEMENT; ENERGY</t>
  </si>
  <si>
    <t>Distribution networks are envisaged to host significant number of electric vehicles and potentially many charging stations in the future to provide charging as well as vehicle-2-grid services to the electric vehicle owners. The main goal of this study is to develop a comprehensive day-ahead scheduling framework to achieve an economically rewarding operation for the ecosystem of electric vehicles, charging stations and retailers using a comprehensive optimal charging/discharging strategy that accounts for the network constraints. To do so, an equilibrium problem is solved using a three-layer iterative optimisation problem for all stakeholders in the ecosystem. EV routing problem is solved based on a cost-benefit analysis rather than choosing the shortest route. The proposed method can be implemented as a cloud scheduling system that is operated by a non-profit entity, e. g., distribution system operators or distribution network service providers, whose role is to collect required information from all agents, perform the day-ahead scheduling, and ultimately communicate the results to relevant stakeholders. To evaluate the effectiveness of the proposed framework, a simulation study, including three retailers, one aggregator, nine charging stations and 600 electric vehicles, is designed based on real data from San Francisco, the USA. The simulation results show that the total cost of electric vehicles decreased by 17.6%, and the total revenue of charging stations and retailers increased by 21.1% and 22.6%, respectively, in comparison with a base case strategy.</t>
  </si>
  <si>
    <t>10.1016/j.ijepes.2021.106912</t>
  </si>
  <si>
    <t>George-Williams, H; Wade, N; Carpenter, RN</t>
  </si>
  <si>
    <t>George-Williams, H.; Wade, N.; Carpenter, R. N.</t>
  </si>
  <si>
    <t>A probabilistic framework for the techno-economic assessment of smart energy hubs for electric vehicle charging</t>
  </si>
  <si>
    <t>Electric vehicle; Smart charging; Hydrogen storage; Solar microgrid; Monte Carlo simulation; Vehicle-to-Grid</t>
  </si>
  <si>
    <t>TO-GRID TECHNOLOGY; STORAGE SYSTEMS; DESIGN; DISTRIBUTIONS; CONSUMPTION; MANAGEMENT; STATIONS; DISPATCH; POWER; HOME</t>
  </si>
  <si>
    <t>Smart energy hubs (Smart Hubs) equipped with Vehicle-to-Grid (V2G) charging, photovoltaic (PV) energy generation, and hydrogen storage capabilities, are an emerging technology with potential to alleviate the impact of electric vehicles (EV) on the electricity grid. Their operation, however, is characterised by intermittent PV energy generation, as well as uncertainties in EV traffic and driver preference. These uncertainties, when combined with the need to maximise their financial return while guaranteeing driver satisfaction, yields a challenging decision-making problem. This paper presents a novel Monte-Carlo-based modelling and computational framework for simulating the operation of Smart Hubs - providing a means for a holistic assessment of their technical and financial viability. The framework utilises a compact and representative mathematical model, accounting for power losses, PV module degradation, variability in EV uptake, price inflation, driver preference, and diversity in charge points and EVs. It provides a comprehensive approach for dealing with uncertainties and dependencies in EV data while being built on an energy management algorithm that maximises revenue generation, ensures driver satisfaction, and preserves battery life. The energy management problem is formulated as a mixed-integer linear programming problem constituting a business case that includes an adequate V2G reward model for drivers. To demonstrate its applicability, the framework was used to assess the financial viability of a fleet management site, for various caps on vehicle stay at the site. From the assessment, controlled charging was found to be more financially rewarding in all cases, yielding between 1.7% and 3.1% more revenue than uncontrolled charging. The self-consumption of the site was found to be nearly 100%, due mainly to local load shifting and dispatchable hydrogen generation. V2G injection was, however, negligible - suggesting its unattractiveness for sites that do not participate in the demand side response market. Overall, the numerical results obtained validate the applicability of the proposed framework as a decision-support tool in the sustainable design and operation of Smart Hubs for EV charging.</t>
  </si>
  <si>
    <t>10.1016/j.rser.2022.112386</t>
  </si>
  <si>
    <t>Singh, M; Kumar, P; Kar, I</t>
  </si>
  <si>
    <t>Singh, Mukesh; Kumar, Praveen; Kar, Indrani</t>
  </si>
  <si>
    <t>Implementation of Vehicle to Grid Infrastructure Using Fuzzy Logic Controller</t>
  </si>
  <si>
    <t>Charging station; distributed generation; electric vehicle; fuzzy logic controller; smart grid; vehicle to grid</t>
  </si>
  <si>
    <t>RENEWABLE ENERGY; SYSTEMS</t>
  </si>
  <si>
    <t>With high penetration of electric vehicles (EVs), stability of the electric grid becomes a challenging task. A greater penetration level would demand a proper coordination amongst the various EVs as they charge or discharge to the grid. Coordination here refers to controlling the charging and discharging patterns of different EVs depending on their individual battery states and the present grid condition. Therefore, a good coordination between EVs is required for making the grid stable. With high penetration of EVs, the vehicle to grid (V2G) concept can be explored where excess energy of the battery can be supplied back to the grid in controlled fashion. Discharging EVs' battery energy to the grid in coordination can make V2G utilization as distributed energy storage. Charging EVs in coordination can flatten the voltage profile of a distribution node. In this work, a typical distribution system of a city is modeled to demonstrate V2G capabilities such as meeting peak demand and voltage sag reduction. The simulation of the distribution system with V2G capabilities are tested using fuzzy logic controller (FLC). Two controllers have been developed, namely the charging station controller and the V2G controller. Together they decide the proper energy flow between the EVs and the grid. Energy discharge to the grid from EVs or energy required for charging EVs is controlled and tested for the real time scenario.</t>
  </si>
  <si>
    <t>10.1109/TSG.2011.2172697</t>
  </si>
  <si>
    <t>Amamra, SA; Marco, J</t>
  </si>
  <si>
    <t>Amamra, Sid-Ali; Marco, James</t>
  </si>
  <si>
    <t>Vehicle-to-Grid Aggregator to Support Power Grid and Reduce Electric Vehicle Charging Cost</t>
  </si>
  <si>
    <t>Electric vehicle; vehicle-to-grid; battery degradation performance; frequency regulation service; voltage regulation service; charging cost; day-ahead scheduling; smart-grid</t>
  </si>
  <si>
    <t>This paper presents an optimised bidirectional Vehicle-to-Grid (V2G) operation, based on a fleet of Electric Vehicles (EVs) connected to a distributed power system, through a network of charging stations. The system is able to perform day-ahead scheduling of EV charging/discharging to reduce EV ownership charging cost through participating in frequency and voltage regulation services. The proposed system is able to respond to real-time EV usage data and identify the required changes that must be made to the day-ahead energy prediction, further optimising the use of EVs to support both voltage and frequency regulation. An optimisation strategy is established for V2G scheduling, addressing the initial battery State Of Charge (SOC), EV plug-in time, regulation prices, desired EV departure time, battery degradation cost and vehicle charging requirements. The effectiveness of the proposed system is demonstrated using a standardized IEEE 33-node distribution network integrating five EV charging stations. Two case studies have been undertaken to verify the contribution of this advanced energy supervision approach. Comprehensive simulation results clearly show an opportunity to provide frequency and voltage support while concurrently reducing EV charging costs, through the integration of V2G technology, especially during on-peak periods when the need for active and reactive power is high.</t>
  </si>
  <si>
    <t>10.1109/ACCESS.2019.2958664</t>
  </si>
  <si>
    <t>Turker, H; Bacha, S</t>
  </si>
  <si>
    <t>Turker, Harun; Bacha, Seddik</t>
  </si>
  <si>
    <t>Optimal Minimization of Plug-In Electric Vehicle Charging Cost With Vehicle-to-Home and Vehicle-to-Grid Concepts</t>
  </si>
  <si>
    <t>Housing sector; plug-in electric vehicle; smart charging; vehicle-to-home; vehicle-to-grid</t>
  </si>
  <si>
    <t>OPERATION; OPTIMIZATION; STRATEGY</t>
  </si>
  <si>
    <t>This paper deals with the problems of the Plug-in Electric Vehicles charging costs in housing sector. A review of the optimal strategies is proposed and as such six algorithms are presented: three smart unidirectional and three smart bidirectional charging algorithms where the Vehicle-to-Grid (V2G) and the Vehicle-to-Home (V2H) concepts were exploited. In addition an innovative V2G algorithm named Optimal Logical Control (V2GOLC) is introduced in this paper. This latter is dedicated to the French energy billing system within the peak/base hour's contract. All the algorithms are tested over a set of 1000 data composed of real elements with four different daily energy price profiles. The results show a great efficiency of the V2G-OLC algorithm compared to the traditional optimal charging strategies. Indeed, the results show a reduction of 47.94% of the average charging cost with a unitary selling/buying price ratio in comparison to the simple charging at 230V-32A.</t>
  </si>
  <si>
    <t>10.1109/TVT.2018.2867428</t>
  </si>
  <si>
    <t>Wang, S; Dong, ZY; Luo, FJ; Meng, K; Zhang, YX</t>
  </si>
  <si>
    <t>Wang, Shu; Dong, Zhao Yang; Luo, Fengji; Meng, Ke; Zhang, Yongxi</t>
  </si>
  <si>
    <t>Stochastic Collaborative Planning of Electric Vehicle Charging Stations and Power Distribution System</t>
  </si>
  <si>
    <t>Charging station planning; electric vehicle (EV); multi-objective optimization; smart grid; vehicle-to-grid</t>
  </si>
  <si>
    <t>DISTRIBUTION NETWORK; ALGORITHMS; CAPACITY; LOCATION; IMPACT</t>
  </si>
  <si>
    <t>The increasing prevalence of electric vehicles (EVs) calls for the effective planning of the charging infrastructure. In this study, a multi-objective, multistage collaborative planning model is proposed for the coupled EV charging station infrastructure and power distribution network. The planning model aims to minimize the investment and operation costs of the distribution system while maximize the annually captured traffic flow. The uncertainties of EV charging loads are modeled for three different types of charging stations. The FISK's stochastic traffic assignment model is utilized to model realistic traffic flows. And a new class of volume-delay functions, conical congestion functions, is employed to overcome the shortcomings of the conventional Bureau of Public Roads function. The multi-objective evolutionary algorithm based on decomposition (MOEA/D) algorithm is applied to find the nondominated solutions of the proposed collaborative planning model. Finally, simulations based on a 54-node distribution system are conducted to validate the effectiveness of the proposed method.</t>
  </si>
  <si>
    <t>10.1109/TII.2017.2662711</t>
  </si>
  <si>
    <t>Evaluation of Achievable Vehicle-to-Grid Capacity Using Aggregate PEV Model</t>
  </si>
  <si>
    <t>Capacity evaluation; plug-in electric vehicle (PEV); reserve; smart charging; vehicle-to-grid (V2G)</t>
  </si>
  <si>
    <t>Large-scale plug-in electric vehicles (PEVs) utilizing vehicle-to-grid (V2G) technology can collectively behave as a storage system under the control of an aggregator, e.g., arbitraging in the energy market and providing ancillary services to the grid. Quantitatively evaluating V2G capacity, i.e., charging and discharging power ranges, for a PEV fleet utilizing V2G technology (which is referred to as a V2G fleet in this paper) ahead of time is of fundamental importance for V2G implementation. However, because of the stochastic characteristics of PEV driving behaviors, charging demands are difficult to forecast, which makes evaluating V2G capacity technically difficult. This paper first establishes an aggregate model of a V2G fleet that employs aggregated parameters to represent energy and power constraints of the entire V2G fleet and, therefore, reduces the difficulty of forecasting. Then, an evaluation method for V2G capacity of large-scale PEVs is developed based on the proposed aggregate model. To make the V2G capacity evaluated in advance achievable while guaranteeing charging demands during real-time operation, a heuristic smart charging strategy is designed. The application of the evaluation method in optimal charge and discharge scheduling for a V2G fleet providing power reserves is illustrated. Numerical simulations are conducted to validate the proposed method.</t>
  </si>
  <si>
    <t>10.1109/TPWRS.2016.2561296</t>
  </si>
  <si>
    <t>Rasouli, B; Salehpour, MJ; Wang, J; Kim, GJ</t>
  </si>
  <si>
    <t>Rasouli, Behnam; Salehpour, Mohammad Javad; Wang, Jin; Kim, Gwang-jun</t>
  </si>
  <si>
    <t>Optimal Day-Ahead Scheduling of a Smart Micro-Grid via a Probabilistic Model for Considering the Uncertainty of Electric Vehicles' Load</t>
  </si>
  <si>
    <t>Monte Carlo simulation; electric vehicles charging station; smart micro-grid; uncertainty; mixed-integer linear programming</t>
  </si>
  <si>
    <t>ENERGY MANAGEMENT; OPTIMAL OPERATION; RENEWABLE ENERGY; ANCILLARY SERVICES; BIDDING STRATEGY; FUEL-CELL; POWER; OPTIMIZATION; STORAGE; DEMAND</t>
  </si>
  <si>
    <t>This paper presents a new model based on the Monte Carlo simulation method for considering the uncertainty of electric vehicles' charging station's load in a day-ahead operation optimization of a smart micro-grid. In the proposed model, some uncertain effective factors on the electric vehicles' charging station's load including battery capacity, type of electric vehicles, state of charge, charging power level and response to energy price changes are considered. In addition, other uncertainties of operating parameters such as market price, photovoltaic generation and loads are also considered. Therefore, various stochastic scenarios are generated and involved in a cost minimization problem, which is formulated in the form of mixed-integer linear programming. Finally, the proposed model is simulated on a typical micro-grid with two 60 kW micro-turbines, a 60 kW photovoltaic unit and some loads. The results showed that by applying the proposed model for estimation of charging station load, the total operation cost decreased.</t>
  </si>
  <si>
    <t>NOV 2</t>
  </si>
  <si>
    <t>10.3390/app9224872</t>
  </si>
  <si>
    <t>Cao, YS; Wang, H; Li, DM; Zhang, GL</t>
  </si>
  <si>
    <t>Cao, Yongsheng; Wang, Hao; Li, Demin; Zhang, Guanglin</t>
  </si>
  <si>
    <t>Smart Online Charging Algorithm for Electric Vehicles via Customized Actor-Critic Learning</t>
  </si>
  <si>
    <t>Electric vehicle charging; Approximation algorithms; Uncertainty; Schedules; Internet of Things; Charging stations; Prediction algorithms; Actor-critic method; demand response; electric vehicle (EV); load scheduling; online learning; projection</t>
  </si>
  <si>
    <t>DEMAND RESPONSE; SYSTEM; MODEL</t>
  </si>
  <si>
    <t>With the advances in the Internet-of-Things technology, electric vehicles (EVs) have become easier to schedule in daily life, which is reshaping the electric load curve. It is important to design efficient charging algorithms to mitigate the negative impact of EV charging on the power grid. This article investigates an EV charging scheduling problem to reduce the charging cost while shaving the peak charging load, under unknown future information about EVs, such as arrival time, departure time, and charging demand. First, we formulate an EV charging problem to minimize the electricity bill of the EV fleet and study the EV charging problem in an online setting without knowing future information. We develop an actor-critic learning-based smart charging algorithm (SCA) to schedule the EV charging against the uncertainties in EV charging behaviors. The SCA learns an optimal EV charging strategy with continuous charging actions instead of discrete approximation of charging. We further develop a more computationally efficient customized actor-critic learning charging (CALC) algorithm by reducing the state dimension and thus improving the computational efficiency. Finally, simulation results show that our proposed SCA can reduce EVs' expected cost by 24.03%, 21.49%, 13.80%, compared with the eagerly charging algorithm, online charging algorithm, reinforcement learning (RL)-based adaptive energy management algorithm, respectively. CALC is more computationally efficient, and its performance is close to that of SCA with only a gap of 5.56% in the cost.</t>
  </si>
  <si>
    <t>10.1109/JIOT.2021.3084923</t>
  </si>
  <si>
    <t>Kaur, K; Rana, R; Kumar, N; Singh, M; Mishra, S</t>
  </si>
  <si>
    <t>Kaur, Kuljeet; Rana, Rubi; Kumar, Neeraj; Singh, Mukesh; Mishra, S.</t>
  </si>
  <si>
    <t>A Colored Petri Net Based Frequency Support Scheme Using Fleet of Electric Vehicles in Smart Grid Environment</t>
  </si>
  <si>
    <t>Aggregators; charging points; colored petri net; electric vehicles; frequency support; smart grid; vehicle-to-grid</t>
  </si>
  <si>
    <t>DESIGN</t>
  </si>
  <si>
    <t>The ever-growing dependency of modern life on electricity may impose huge burden on smart grids (SGs). This dependency affects the demand-supply gap and may lead to undesirable frequency fluctuations. In the worst case, these fluctuations may result in blackouts. In this direction, fleet of electric vehicles (EVs) may play a crucial role in reducing these fluctuations to a great extent. So, this paper proposes a novel scheme for efficient frequency support in SG environment by utilizing fleet of EVs. These EVs act as controllable loads and work in close coordination with aggregators and charging stations. Aggregators play a crucial role in regulating charging and discharging rates of EVs while meeting their energy requirements with the help of the proposed colored petri net based controller. The proposed scheme has been evaluated with respect to publicly available frequency regulation data acquired from PJM and ERCOT. In addition to this, the scheme has also been compared with an existing approach and results clearly depict that the proposed scheme is more scalable in comparison to the existing schemes in V2G environment.</t>
  </si>
  <si>
    <t>10.1109/TPWRS.2016.2518743</t>
  </si>
  <si>
    <t>Erden, F; Kisacikoglu, MC; Erdogan, N</t>
  </si>
  <si>
    <t>Erden, Fatih; Kisacikoglu, Mithat C.; Erdogan, Nuh</t>
  </si>
  <si>
    <t>Adaptive V2G Peak Shaving and Smart Charging Control for Grid Integration of PEVs</t>
  </si>
  <si>
    <t>grid integration; peak shaving; plug-in electric vehicles (PEVs); smart charging; vehicle-to-grid (V2G)</t>
  </si>
  <si>
    <t>IN ELECTRIC VEHICLES; COORDINATION; ALGORITHM; IMPACT; PHEVS</t>
  </si>
  <si>
    <t>The stochastic nature of plug-in electric vehicle (PEV) driving behavior and distribution grid load profile make it challenging to control vehicle-grid integration in a mutually beneficial way. This article proposes a new adaptive control strategy that manages PEV charging/discharging for peak shaving and load leveling in a distribution grid. For accurate and high fidelity transportation mobility modeling, real vehicle driving test data are collected from the field. Considering the estimated total required PEV battery charging energy, the vehicle-to-grid capabilities of PEVs, and the forecasted non-PEV base load, a reference operating point for the grid is estimated. This reference operating point is updated once at the end of peak hours to guarantee a full final state-of-charge to each PEV. Proposed method provides cost-efficient operation for the utility grid, utmost user convenience free from range anxiety, and ease of implementation at the charging station nodes. It is tested on a real residential transformer, which serves approximately one thousand customers, under various PEV penetration levels and charging scenarios. Performance is assessed in terms of mean-square-error and peak shaving index. Results are compared with those of various reference operating point choices and shown to be superior.</t>
  </si>
  <si>
    <t>AUG 9</t>
  </si>
  <si>
    <t>10.1080/15325008.2018.1489435</t>
  </si>
  <si>
    <t>Anastasiadis, AG; Konstantinopoulos, S; Kondylis, GP; Volzas, GA</t>
  </si>
  <si>
    <t>Anastasiadis, Anestis G.; Konstantinopoulos, Stavros; Kondylis, Georgios P.; Volzas, Georgios A.</t>
  </si>
  <si>
    <t>Electric vehicle charging in stochastic smart microgrid operation with fuel cell and RES units</t>
  </si>
  <si>
    <t>INTERNATIONAL JOURNAL OF HYDROGEN ENERGY</t>
  </si>
  <si>
    <t>Fuel cell; Renewable energy sources; Distributed energy resources; Stochastic optimal charging; Electric vehicles; Smart microgrid</t>
  </si>
  <si>
    <t>COORDINATION; BENEFITS</t>
  </si>
  <si>
    <t>Plug-in electric vehicles increasingly augment their share in the global market as they appear to be an economic and emission-free alternative to modern means of transportation. As their presence strengthens, ways that will ensure economic charge along with uninterrupted grid operation are necessary to be found. This paper aims to approach the economic optimization problem that includes several Electric Vehicles (EVs) within a Low Voltage (LV) network comprising various Distributed Energy Resources (DER) as fuel cell, Renewable Energy Sources (RES), (photovoltaics, wind turbine) etc. via a scenario based simulation. The purpose is to investigate the main variables of the grid, such as its operating cost, charging patterns, power injection from the upstream network, resulting from the coordinated control of DER in Smart Microgrid operation in conjunction to the flexible load the controlled EV charging introduces. The base case study is that of absence of EVs, and therefore the demand is met only by the upstream network and the DER units. Subsequently, EVs are introduced as controllable loads and finally as dispatchable storage units incorporating a Vehicle to Grid (V2G) capability to the Smart Microgrid. Furthermore, the problem is not tackled deterministically and although forecasts for all network parameters are assumed to be known, forecasting errors and stochastic driver patterns cannot be ignored. Thus, for each imposed policy, a scenario based approach is implemented to determine operating cost in various cases along to DER utilization and the effect EVs bear on these results. (C) 2017 Hydrogen Energy Publications LLC. Published by Elsevier Ltd. All rights reserved.</t>
  </si>
  <si>
    <t>MAR 23</t>
  </si>
  <si>
    <t>10.1016/j.ijhydene.2017.01.208</t>
  </si>
  <si>
    <t>Yan, DX; Yin, H; Li, T; Ma, CB</t>
  </si>
  <si>
    <t>Yan, Dongxiang; Yin, He; Li, Tao; Ma, Chengbin</t>
  </si>
  <si>
    <t>A Two-Stage Scheme for Both Power Allocation and EV Charging Coordination in a Grid-Tied PV-Battery Charging Station</t>
  </si>
  <si>
    <t>Batteries; Charging stations; Resource management; Electric vehicle charging; Energy management; Informatics; Game theory; Charging coordination; charging station energy management; energy storage; game theory; renewable energy</t>
  </si>
  <si>
    <t>Charging station that incorporates renewable energy resource and energy storage is a promising solution to meet the growing charging demand of electric vehicles (EVs) without the need to expand the distribution network. The aggregation of multiple energy resources and EVs requires an efficient and flexible energy management strategy. This article presents a two-stage scheme to solve the power allocation and charging coordination of plugged-in EVs. Game-theory-based control is utilized to address the interaction among different components for respecting their individual preferences. The first stage determines the power allocation of photovoltaic, battery, and the grid as well as total charging power for EVs. In the second stage, charging power dispatch among individual EVs is coordinated based on the available total charging power determined in the first stage. As a result, the two energy management problems of charging station are addressed sequentially. The proposed solution is validated via simulation and experiment, and the comparisons with benchmarks show its advantages.</t>
  </si>
  <si>
    <t>10.1109/TII.2021.3054417</t>
  </si>
  <si>
    <t>Ping, J; Yan, Z; Chen, SJ</t>
  </si>
  <si>
    <t>Ping, Jian; Yan, Zheng; Chen, Sijie</t>
  </si>
  <si>
    <t>A Two-stage Autonomous EV Charging Coordination Method Enabled by Blockchain</t>
  </si>
  <si>
    <t>Cascading style sheets; Electric vehicle charging; Blockchain; Power demand; Resource management; Schedules; Convex functions; Electric vehicle (EV) charging coordination; Nash bargaining; alternating direction method of multipliers (ADMM); blockchain</t>
  </si>
  <si>
    <t>Increasing electric vehicle (EV) penetration in distribution networks necessitate EV charging coordination. This paper proposes a two-stage EV charging coordination mechanism that frees the distribution system operator (DSO) from extra burdens of EV charging coordination. The first stage ensures that the total charging demand meets facility constraints, and the second stage ensures fair charging welfare allocation while maximizing the total charging welfare via Nash-bargaining trading. A decentralized algorithm based on the alternating direction method of multipliers (ADMM) is proposed to protect individual privacy. The proposed mechanism is implemented on the blockchain to enable trustworthy EV charging coordination in case a third-party coordinator is absent. Simulation results demonstrate the effectiveness and efficiency of the proposed approach.</t>
  </si>
  <si>
    <t>10.35833/MPCE.2019.000139</t>
  </si>
  <si>
    <t>Coria, GE; Sanchez, AM; Al-Sumaiti, AS; Ratta, GA; Rivera, SR; Romero, AA</t>
  </si>
  <si>
    <t>Coria, Gustavo E.; Sanchez, Angel M.; Al-Sumaiti, Ameena S.; Ratta, Guiseppe A.; Rivera, Sergio R.; Romero, Andres A.</t>
  </si>
  <si>
    <t>A Framework for Determining a Prediction-Of-Use Tariff Aimed at Coordinating Aggregators of Plug-In Electric Vehicles</t>
  </si>
  <si>
    <t>plug-in electric vehicle; prediction-of-use tariff; charging coordination; valley filling; aggregator; power transformers</t>
  </si>
  <si>
    <t>The objective of this article is to propose a framework for defining a day-ahead prediction-of-use tariff (POU) that promotes aggregators of the plug-in electric vehicles (PEVs) to operate as closely as possible to an optimal charging curve previously calculated by the distribution system operator (DSO). The DSO calculates this optimal charging curve to flatten the load curve of the distribution transformers as much as possible by coordinating the daily recharging of PEVs. The objective is to establish the optimal power profile of the PEV aggregators needed to flatten the power curve supplied by the transformer, so that PEV customers' needs can be met throughout the day. The proposed framework is applied in a case study accounting for uncertainties associated with charging through Monte Carlo simulation, in order to find the POU tariff. The results demonstrate that applying the POU tariff determines the transformer's minimum power limit necessary to meet all PEV users' needs. Additionally, the day-ahead POU tariff does not generate new demand peaks, since it does not concentrate the energy supply of flexible loads in pre-established time bands. Finally, simulation reflects the significant effect of the PEV charging on the distribution system in terms of enhancing the voltage profile, maximizing the transformer life, and reducing the power/energy losses.</t>
  </si>
  <si>
    <t>10.3390/en12234487</t>
  </si>
  <si>
    <t>Nunes, P; Brito, MC</t>
  </si>
  <si>
    <t>Nunes, Pedro; Brito, M. C.</t>
  </si>
  <si>
    <t>Displacing natural gas with electric vehicles for grid stabilization</t>
  </si>
  <si>
    <t>Electric vehicles; Power grid stabilization; Future energy systems; Smart charging; EnergyPLAN; Vehicle-to-grid (V2G)</t>
  </si>
  <si>
    <t>RENEWABLE ENERGY; DISTRIBUTION-SYSTEMS; SOLAR ELECTRICITY; DRIVE VEHICLES; POWER-SYSTEMS; INTEGRATION; PENETRATION; PARTICIPATION; TECHNOLOGIES; SERVICES</t>
  </si>
  <si>
    <t>High renewable and variable electricity penetration in power systems requires increased grid stabilization from balancing power plants, namely gas operated. In the future, however, stabilization might be provided by electric vehicles operating under the smart-grid framework. Departing from this, this paper discusses and quantifies to what extent electric vehicles are required to be possible to shut down gas power plants. The analysis is performed using the EnergyPLAN tool, for the case study of the Portuguese power system in 2050. The results suggest that even a small share of the fleet of electric vehicles providing load balancing could lead to important reductions in gas use and energy excess. The gas share in the electricity mix is reduced from 10.2% without electric vehicles providing for stabilization to zero with 30% of the fleet providing it; the energy excess is reduced from 1.5% to zero above 15% of electric vehicles stabilizing the grid. Therefore, to achieve a power system without fossil fuels, electric vehicles capable of supporting the grid should be developed and adopted, as should be promoted the market and regulatory conditions to allow this. (C) 2017 Elsevier Ltd. All rights reserved.</t>
  </si>
  <si>
    <t>10.1016/j.energy.2017.09.064</t>
  </si>
  <si>
    <t>Comodi, G; Caresana, F; Salvi, D; Pelagalli, L; Lorenzetti, M</t>
  </si>
  <si>
    <t>Comodi, G.; Caresana, F.; Salvi, D.; Pelagalli, L.; Lorenzetti, M.</t>
  </si>
  <si>
    <t>Local promotion of electric mobility in cities: Guidelines and real application case in Italy</t>
  </si>
  <si>
    <t>EV (Electric vehicles); Charging stations; Urban mobility; Electric mobility plan; Local energy planning; Smart cities</t>
  </si>
  <si>
    <t>ENERGY DEMAND; TRANSPORT; VEHICLES; IMPACT; CITY</t>
  </si>
  <si>
    <t>In the contest of European and National choices regarding energy and mobility policies, the goal of this paper is to introduce reasonable guidelines for the local promotion of electric mobility in an area of central Italy and possibly to extend the methodology to other regions/countries. In fact, the path towards car electrification is started worldwide, but the rate of increase of electrically powered cars will depend primarily on charging stations availability. In this respect, utilities that manage/own local grids may be key actors by investing on infrastructures and thus locally creating the conditions for the spreading of electric cars. A techno-economic analysis of the investment of a local utility has been performed taking into account medium- and long term-forecasts of electricity and fuel prices, as well as electric cars market share and economic risk. The study proved that an investment in urban charging station infrastructure in Italy can be profitable even without incentives, with a payback period of 4-5 years. The results of the analysis have been exploited by an Italian utility which owns/manages the local electric grid in two municipalities. The first steps of the plan implementation, which started in 2014, are reported in the paper. (C) 2015 Elsevier Ltd. All rights reserved.</t>
  </si>
  <si>
    <t>10.1016/j.energy.2015.12.038</t>
  </si>
  <si>
    <t>Islam, MS; Mithulananthan, N; Hung, DQ</t>
  </si>
  <si>
    <t>Islam, Md Shariful; Mithulananthan, Nadarajah; Duong Quoc Hung</t>
  </si>
  <si>
    <t>Coordinated EV charging for correlated EV and grid loads and PV output using a novel, correlated, probabilistic model</t>
  </si>
  <si>
    <t>Battery energy storage; Charging quality of service; Coordinated charging; Electric vehicle; Photovoltaic; Probabilistic correlation; Reactive power support; Three-phase unbalanced distribution system</t>
  </si>
  <si>
    <t>ELECTRIC VEHICLES; PHOTOVOLTAIC GENERATION; ENERGY-STORAGE; IMPACT; MANAGEMENT; SYSTEMS</t>
  </si>
  <si>
    <t>Conventional deterministic electric vehicles (EV) charging coordination is performed assuming the EV and grid loads and PV output are known advance. In contrast, conventional probabilistic EV charging coordination takes into account the uncertainties of EV and grid loads and PV output without considering their mutual correlations. The major drawbacks of these methods are that the conventional deterministic charging increases the probability of voltage and current noncompliance (PVCN), while the conventional probabilistic charging decreases the quality of service (QoS). Therefore, this paper proposes a novel correlated probabilistic model for EV charging loads in coordination with a solar photovoltaic (PV)-rich commercial grid. In this model, correlated samples are generated from uncorrelated samples, which contain various random variables associated with EVs, battery energy storage (BES) and PV. The generated samples are subsequently incorporated in the proposed coordinated EV charging method, where the power factors of BES and PV are also controlled, to maximize QoS while minimizing PVCN. The effectiveness and practicability of the developed model are validated on an IEEE 37-bus unbalanced distribution system, which is associated with the real data of vehicles and solar PV collected from a campus of the University of Queensland.</t>
  </si>
  <si>
    <t>10.1016/j.ijepes.2018.07.002</t>
  </si>
  <si>
    <t>Zhang, WJ; Gandhi, O; Quan, H; Rodriguez-Gallegos, CD; Srinivasan, D</t>
  </si>
  <si>
    <t>Zhang, Wenjie; Gandhi, Oktoviano; Quan, Hao; Rodriguez-Gallegos, Carlos D.; Srinivasan, Dipti</t>
  </si>
  <si>
    <t>A multi-agent based integrated volt-var optimization engine for fast vehicle-to-grid reactive power dispatch and electric vehicle coordination</t>
  </si>
  <si>
    <t>Electric vehicle; Volt-var optimization; Multi-agent system; Charging coordination; Vehicle-to-grid; Var dispatch</t>
  </si>
  <si>
    <t>DISTRIBUTION NETWORKS; CHARGING STATIONS; SYSTEM; MANAGEMENT; PLACEMENT; STRATEGY; BEHAVIOR; MODEL</t>
  </si>
  <si>
    <t>Electric Vehicles have been receiving increasing attention. As the number of electric vehicles increases, uncoordinated charging of electric vehicles can lead to voltage and frequency instability in microgrids. Various methods have been proposed for electrical vehicle coordination, where most of them focused on controlling active power. Vehicle-to-grid var has been recently included in volt-var optimization approaches, which aim at improving voltage stability using var sources. However, most of these approaches are based on computationally inefficient heuristic methods, which are not applicable to handle fast-changing vehicle-to-grid var. Furthermore, the uncertainties and charging demands of electric vehicles have not been considered thoroughly. In this paper, an integrated volt-var optimization engine is proposed for distributed electric vehicle charging coordination and fast vehicle-to-grid var dispatch, considering the uncertainties and charging demands of electric vehicles. The proposed method is based on a multi-agent system, which distributes complex optimization processes to enhance computational efficiency. Case studies show that the proposed distributed method reduces up to 92% computational time without economic losses, compared with the central coordination. It is also observed that the costly usage of diesel generators can be reduced by employing more vehicle-to-grid var due to their similar functionality in voltage regulation. Surprisingly, it is found that when utilizing the power support from electric vehicles and diesel generators, the computational time decreases even when more decision variables are added.</t>
  </si>
  <si>
    <t>10.1016/j.apenergy.2018.07.092</t>
  </si>
  <si>
    <t>Gong, LL; Cao, W; Liu, KL; Zhao, JF; Li, X</t>
  </si>
  <si>
    <t>Gong, Lili; Cao, Wu; Liu, Kangli; Zhao, Jianfeng; Li, Xiang</t>
  </si>
  <si>
    <t>Spatial and Temporal Optimization Strategy for Plug-In Electric Vehicle Charging to Mitigate Impacts on Distribution Network</t>
  </si>
  <si>
    <t>plug-in electric vehicles; coordinated charging; distribution network; trip chain; particle swarm optimization; national household trip survey data</t>
  </si>
  <si>
    <t>The large deployment of plug-in electric vehicles (PEVs) challenges the operation of the distribution network. Uncoordinated charging of PEVs will cause a heavy load burden at rush hour and lead to increased power loss and voltage fluctuation. To overcome these problems, a novel coordinated charging strategy which considers the moving characteristics of PEVs is proposed in this paper. Firstly, the concept of trip chain is introduced to analyze the spatial and temporal distribution of PEVs. Then, a stochastic optimization model for PEV charging is established to minimize the distribution network power loss (DNPL) and maximal voltage deviation (MVD). After that, the particle swarm optimization (PSO) algorithm with an embedded power flow program is adopted to solve the model, due to its simplicity and practicality. Last, the feasibility and efficiency of the proposed strategy is tested on the IEEE 33 distribution system. Simulation results show that the proposed charging strategy not only reduces power loss and the peak valley difference, but also improves voltage profile greatly.</t>
  </si>
  <si>
    <t>10.3390/en11061373</t>
  </si>
  <si>
    <t>Talpur, S; Lie, TT; Zamora, R; Das, BP</t>
  </si>
  <si>
    <t>Talpur, Saifal; Lie, Tek Tjing; Zamora, Ramon; Das, Bhaba Priyo</t>
  </si>
  <si>
    <t>Maximum Utilization of Dynamic Rating Operated Distribution Transformer (DRoDT) with Battery Energy Storage System: Analysis on Impact from Battery Electric Vehicles Charging</t>
  </si>
  <si>
    <t>battery energy storage system; coordinated versus uncoordinated battery electric vehicles charging; distribution transformer; dynamic transformer rating; paper insulation</t>
  </si>
  <si>
    <t>DEMAND RESPONSE</t>
  </si>
  <si>
    <t>This paper investigates thermal overloading, voltage dips and insulation failure across a distribution transformer (DT), under residential and battery electric vehicle (BEV) loadings. The objective of this paper is to discuss the charging impact of BEVs on voltage across consumer-service points, as well as across the life of paper insulation under varying ambient temperatures (during winter and summer), with and without a centralized battery energy storage system (BESS). This study contributes in two ways. The first part of this study deals with coordinated and uncoordinated BEV charging scenarios. The second part of this study deals with maximum utilization of a test DT rated under dynamic thermal rating (DRoDT). The DRoDT integration with BESS is carried out to flatten the load spikes, to obtain maximum DT utilization, to achieve active power and voltage supports in addition to an enhanced DT lifespan. The obtained results indicate that, when test DT operates under the proposed hybrid technique (combining both dynamic transformer ratings and a centralized BESS), it attains maximum utilization, lower hot-spot temperature, enhanced lifespan, less degraded paper insulation and an improved voltage across each consumer service point. The proposed technique is furthermore found effective in maintaining the loading across the distribution transformer within the nominal limits. However, under excess loading during peak hours, the proposed technique provides relief to the DT to a certain extent. To achieve an optimal DT operation and an enhanced BESS lifespan, the BESS is operated under nominal charging and discharging cyclic limits. Under the proposed DRoDT integration with BESS, DT attains 25.9% more life when loaded with coordinated BEV charging, in comparison to no BESS integration under the same loading scenario. The worst loading due to uncoordinated BEV charging also brings 51% increase in DT life when loaded under the proposed technique.</t>
  </si>
  <si>
    <t>10.3390/en13133411</t>
  </si>
  <si>
    <t>Coria, G; Romero-Quete, D; Romero, A</t>
  </si>
  <si>
    <t>Coria, G.; Romero-Quete, D.; Romero, A.</t>
  </si>
  <si>
    <t>Computational efficient approach to compute a prediction-of-use tariff for coordinating charging of plug-in electric vehicles under uncertainty</t>
  </si>
  <si>
    <t>Prediction-of-use tariff; Scenario reduction; Plug-in electric vehicle; Photovoltaic generation; Uncertainties; Charging coordination</t>
  </si>
  <si>
    <t>DEMAND; ENERGY; RECONFIGURATION; FLEXIBILITY; MANAGEMENT; REDUCTION</t>
  </si>
  <si>
    <t>The stochastic nature associated with the baseload (BL) forecasting, photovoltaic (PV) generation and conditions of use of plug-in electric vehicles (PEV) adds new complexity to the definition of PEVs charging coordination strategies. Therefore, a large number of scenarios must be generated to integrate these uncertainties in the definition of a prediction-of-use (POU) tariff that encourages the PEVs to charge at certain times of the day. The main purpose of this article is to analyze the effects of scenario reduction techniques in the determination of an adequate POU tariff that considers the uncertainties associated with BL, PV generation and conditions of use of PEVs. The methodology proposed in this work considers the backward scenario reduction technique to determine the optimal charging power profiles of PEV aggregators through the Distribution System Operator (DSO) coordination. From the PEV optimal charging profiles, the DSO calculates a POU tariff for each aggregator, considering the uncertainties in of the problem. Results show that the use of scenario reduction techniques to determine the POU tariff reduces the computational burden without significantly affecting the obtained results. Finally, the simulation reflects the advantage of integrating PV generation in the distribution system, since using the proposed coordination strategy, the loss of life of the transformer slowed down.</t>
  </si>
  <si>
    <t>10.1016/j.ijepes.2021.107692</t>
  </si>
  <si>
    <t>Zhao, J; Wan, C; Xu, Z; Wang, JH</t>
  </si>
  <si>
    <t>Zhao, Jian; Wan, Can; Xu, Zhao; Wang, Jianhui</t>
  </si>
  <si>
    <t>Risk-Based Day-Ahead Scheduling of Electric Vehicle Aggregator Using Information Gap Decision Theory</t>
  </si>
  <si>
    <t>Information gap decision theory; electric vehicle (EV) charging and discharging schedule; EV aggregator; electricity market; price uncertainty</t>
  </si>
  <si>
    <t>WIND POWER-GENERATION; DRIVE VEHICLES; MARKETS; DISPATCH; DEMAND; PARTICIPATION; UNCERTAINTY; STRATEGY; MODEL</t>
  </si>
  <si>
    <t>In the context of electricity market and smart grid, the uncertainty of electricity prices due to the high complexities involved in market operation would significantly affect the profit and behavior of electric vehicle (EV) aggregators. An information gap decision theory-based approach is proposed in this paper to manage the revenue risk of the EV aggregator caused by the information gap between the forecasted and actual electricity prices. The proposed decision-making framework can offer effective strategies to either guarantee the predefined profit for risk-averse decision-makers or pursue the windfall return for risk-seeking decision-makers. Day-ahead charging and discharging scheduling strategies of the EV aggregators are arranged using the proposed model considering the risks introduced by the electricity price uncertainty. The results of case studies validate the effectiveness of the proposed framework under various price uncertainties.</t>
  </si>
  <si>
    <t>10.1109/TSG.2015.2494371</t>
  </si>
  <si>
    <t>Li, HZ; Han, DZ; Tang, MD</t>
  </si>
  <si>
    <t>Li, Hongzhi; Han, Dezhi; Tang, Mingdong</t>
  </si>
  <si>
    <t>A Privacy-Preserving Charging Scheme for Electric Vehicles Using Blockchain and Fog Computing</t>
  </si>
  <si>
    <t>Edge computing; Cloud computing; Privacy; Servers; Electric vehicle charging; Blockchain; fog computing; security and privacy; smart contract; vehicle charging</t>
  </si>
  <si>
    <t>INTERNET</t>
  </si>
  <si>
    <t>A distributed charging system based on the Internet of Things can provide important supports to ensure the safe and sustainable operation of electric vehicles (EVs). Usually, drivers prefer to use local charging piles by querying the remote cloud server. Frequent communication with the cloud server will not only produce an unnecessary communication overhead but also increase the latency of response. More seriously, the cloud-based centralized management mode is vulnerable to cyber-attacks, which usually leads to privacy leakage. However, previous studies seldom focus on the privacy issue of the charging system for EVs. In this article, a decentralized and privacy-preserving charging scheme for EVs is proposed, which is based on blockchain and fog computing. In this scheme, fog computing is introduced to provide local computing with low latency. Specifically, a fog computing network, which is composed of fog computing nodes (FCNs), is used to provide localized services. Besides, a flexible consortium blockchain architecture is proposed. The blockchain system is deployed on the distributed FCNs, providing a decentralized and secure storage environment. By combining mutual authentication, smart contract, and blockchain-based storage, the security of privacy in the charging process can be ensured. The theoretical analysis and experiments demonstrate the advantages of the proposed scheme.</t>
  </si>
  <si>
    <t>10.1109/JSYST.2020.3009447</t>
  </si>
  <si>
    <t>Mehta, R; Srinivasan, D; Trivedi, A; Yang, J</t>
  </si>
  <si>
    <t>Mehta, Rahul; Srinivasan, Dipti; Trivedi, Anupam; Yang, Jing</t>
  </si>
  <si>
    <t>Hybrid Planning Method Based on Cost-Benefit Analysis for Smart Charging of Plug-In Electric Vehicles in Distribution Systems</t>
  </si>
  <si>
    <t>Cost-benefit analysis; decentralized charging; distribution infrastructure upgrade; plug-in electric vehicles (PEVs); smart charging strategies; vehicle-to-grid (V2G)</t>
  </si>
  <si>
    <t>In this paper, a multiyear hybrid planning method (HPM) based on cost-benefit analysis is proposed for implementation of smart charging strategies for plug-in electric vehicles (PEVs) in a distribution system. Two different strategies which consider an integrated grid-to-vehicle and vehicle-to-grid charging framework are utilized in this paper for smart charging of PEVs. The objective functions of the two strategies, namely minimization of total daily cost and minimization of peak-to-average ratio, represent an economic and a technical perspective, respectively. The proposed HPM is based on optimally allocating two different charging strategies at different nodes of the distribution system during the planning horizon. The network impacts and the related financial impacts of the proposed HPM are assessed against two conventional planning methods (CPMs) which are developed corresponding to the two charging strategies. In a CPM, a single charging strategy is implemented on all the nodes of the distribution system fir the entire planning horizon. The simulation studies performed on small and medium sized distribution systems demonstrate the effectiveness, feasibility, and scalability of the proposed HPM.</t>
  </si>
  <si>
    <t>10.1109/TSG.2017.2746687</t>
  </si>
  <si>
    <t>Fang, BL; Li, B; Li, XC; Jia, YZ; Xu, WZ; Liao, Y</t>
  </si>
  <si>
    <t>Fang, Baling; Li, Bo; Li, Xingcheng; Jia, Yunzhen; Xu, Wenzhe; Liao, Ying</t>
  </si>
  <si>
    <t>Multi-Objective Comprehensive Charging/Discharging Scheduling Strategy for Electric Vehicles Based on the Improved Particle Swarm Optimization Algorithm</t>
  </si>
  <si>
    <t>electric vehicle; multi-objective optimization; improved particle swarm algorithm; grid peak shaving; charging; discharging scheduling</t>
  </si>
  <si>
    <t>MANAGEMENT; V2G; ALLOCATION; SYSTEM</t>
  </si>
  <si>
    <t>To solve the problems that a large number of random and uncontrolled electric vehicles (EVs) connecting to the distribution network, resulting in a decrease in the performance and stability of the grid and high user costs, in this study, a multi-objective comprehensive charging/discharging scheduling strategy for EVs based on improved particle swarm optimization (IPSO) is proposed. In the distribution network, the minimum root-mean-square error and the minimum peak valley difference of system load are first designed as objective functions; on the user side, the lowest charge and discharge cost of electric vehicle users and the lowest battery loss cost are used as objective functions, then a multi-objective optimization scheduling model for EVs is established, and finally, the optimization through IPSO is performed. The simulation results show that the proposed method is effective, which enhances the peak regulating capacity of the power grid, and it optimizes the system load and reduces the user cost compared with the conventional methods.</t>
  </si>
  <si>
    <t>DEC 21</t>
  </si>
  <si>
    <t>10.3389/fenrg.2021.811964</t>
  </si>
  <si>
    <t>Khaki, B; Chu, CC; Gadh, R</t>
  </si>
  <si>
    <t>Khaki, Behnam; Chu, Chicheng; Gadh, Rajit</t>
  </si>
  <si>
    <t>Hierarchical distributed framework for EV charging scheduling using exchange problem</t>
  </si>
  <si>
    <t>Alternating direction method of multipliers; Electric vehicle charging scheduling; Clustered exchange problem; Hierarchical distributed optimization</t>
  </si>
  <si>
    <t>IN ELECTRIC VEHICLES; ENERGY MANAGEMENT; COORDINATION; INTEGRATION; CAPACITY; DEMAND</t>
  </si>
  <si>
    <t>In this paper, a distributed trilayer multi-agent framework is proposed for optimal electric vehicle charging scheduling (EVCS). The framework reduces the negative effects of electric vehicle charging demand on the electrical grids. To solve the scheduling problem, a novel hierarchical distributed EV charging scheduling (HDEVCS) is developed as the exchange problem, where the agents are clustered based on their coupling constraints. According to the separability of the agents' objectives and the clusters' coupled constraints, HDEVCS is solved efficiently in a distributed manner by the alternating direction method of multipliers (ADMM). Comparing to the exiting trilayer methods, HDEVCS reduces the convergence time and the iteration numbers since its structure allows the agents to update their primal optimization variable simultaneously. The performance of HDEVCS is evaluated by numerical simulation of two small- and large-scale case studies consisting of 306 and 9051 agents, respectively. The results verify the scalability and efficiency of the proposed method, as it reduces the convergence time and iteration numbers by 60% compared to the state-of-the-art methods, flattens the load profile and decreases the charging cost considerably without violating the grid feeders' capacity. The significant outcome of our method is the accommodation of a large EV population without investment in grid expansion.</t>
  </si>
  <si>
    <t>10.1016/j.apenergy.2019.03.008</t>
  </si>
  <si>
    <t>Cao, Y; Jiang, T; Kaiwartya, O; Sun, HJ; Zhou, H; Wang, R</t>
  </si>
  <si>
    <t>Cao, Yue; Jiang, Tao; Kaiwartya, Omprakash; Sun, Hongjian; Zhou, Huan; Wang, Ran</t>
  </si>
  <si>
    <t>Toward Pre-Empted EV Charging Recommendation Through V2V-Based Reservation System</t>
  </si>
  <si>
    <t>IEEE TRANSACTIONS ON SYSTEMS MAN CYBERNETICS-SYSTEMS</t>
  </si>
  <si>
    <t>Electric vehicle charging; Cascading style sheets; Routing; Delays; Vehicular ad hoc networks; Planning; Cellular networks; Charging scheduling; electric vehicle (EV); mobility; route planning; vehicle-to-vehicle (V2V) communication</t>
  </si>
  <si>
    <t>ELECTRIC VEHICLES; NETWORKS; DESIGN; ENERGY</t>
  </si>
  <si>
    <t>Electric vehicles (EVs) are being introduced by different manufacturers, thanks to their environment-friendly perspective to alleviate CO2 pollution. In this paper, the proposed EV charging management scheme enables pre-empted charging service for heterogeneous EVs (depends on different charging capabilities, brands, etc.). Particularly, the anticipated EVs' charging reservations information, including their arrival time and expected charging time at charging stations (CSs), are brought for planning CS-selection (where to charge). Along with applying ubiquitous cellular network communication to deliver (delay tolerant) EVs' charging reservations, we further study the feasibility of applying opportunistic vehicle-to-vehicle (V2V) communication with delay/disruption tolerant networking (DTN) nature, due primarily to its flexibility and cost-efficiency in vehicular ad hoc networks (VANETs). Evaluation results under the realistic Helsinki city scenario show that applying the V2V-based charging reservation is promisingly cost-efficient in terms of communication overhead, while achieving a comparable charging performance to apply cellular network communication.</t>
  </si>
  <si>
    <t>10.1109/TSMC.2019.2917149</t>
  </si>
  <si>
    <t>Qian, T; Shao, CC; Wang, XL; Zhou, Q; Shahidehpour, M</t>
  </si>
  <si>
    <t>Qian, Tao; Shao, Chengcheng; Wang, Xiuli; Zhou, Qian; Shahidehpour, Mohammad</t>
  </si>
  <si>
    <t>Shadow-Price DRL: A Framework for Online Scheduling of Shared Autonomous EVs Fleets</t>
  </si>
  <si>
    <t>Costs; Electric vehicle charging; Wind power generation; Transportation; Schedules; Renewable energy sources; Neural networks; Electric vehicle; electric power and transportation network; charging scheduling; deep reinforcement learning; shadow prices</t>
  </si>
  <si>
    <t>VEHICLE; OPERATIONS; NETWORKS; OPTIMIZATION; PARKING; POWER; GAME; GO</t>
  </si>
  <si>
    <t>This paper studies the online scheduling of shared autonomous electric vehicle (SAEV) fleets. The study includes charging management, routing and rebalancing strategies for SAEVs to serve the trip demands in the coupled power and transportation network (PTN). It aims to minimize the total social cost of PTN. The difficulty lies in how to deal with time-varying trip demands with the time-coupled SAEV scheduling and PTN operation considered. To address this challenge, for the first time, we propose a novel framework named the shadow-price deep reinforcement learning (shadow-price DRL), which combines the rigorous PTN operation model and the data-driven model-free DRL-based algorithm. Within the shadow-price DRL, the policy neural network adaptively learns the system dynamics and imposes its actions on the online SAEV scheduling problem as the dynamic shadow prices. By doing so, the SAEV schedule will be determined in the online manner. In addition, the connection between the proposed framework and Lagrangian Relaxation method is discussed, which illustrates the principles and effectiveness of the proposed method. The case studies include the practical Xi'an city which verifies the effectiveness of the shadow-price DRL and illustrates its significant superiority over the safe DRL and model predictive control (MPC) based methods.</t>
  </si>
  <si>
    <t>10.1109/TSG.2022.3155455</t>
  </si>
  <si>
    <t>Jin, JL; Xu, YJ</t>
  </si>
  <si>
    <t>Jin, Jiangliang; Xu, Yunjian</t>
  </si>
  <si>
    <t>Optimal Policy Characterization Enhanced Actor-Critic Approach for Electric Vehicle Charging Scheduling in a Power Distribution Network</t>
  </si>
  <si>
    <t>Electric vehicle charging; Optimal scheduling; Stochastic processes; Distribution networks; Reinforcement learning; Solar power generation; Dynamic programming; deep reinforcement learning; electric vehicle charging; actor-critic approach; power distribution network</t>
  </si>
  <si>
    <t>DEMAND RESPONSE; ENERGY-STORAGE; REINFORCEMENT; SYSTEMS</t>
  </si>
  <si>
    <t>We study the scheduling of large-scale electric vehicle (EV) charging in a power distribution network under random renewable generation and electricity prices. The problem is formulated as a stochastic dynamic program with unknown state transition probability. To mitigate the curse of dimensionality, we establish the nodal multi-target (NMT) characterization of the optimal scheduling policy: all EVs with the same deadline at the same bus should be charged to approach a single target of remaining energy demand. We prove that the NMT characterization is optimal under arbitrarily random system dynamics. To adaptively learn the dynamics of system uncertainty, we propose a model-free soft-actor-critic (SAC) based method to determine the target levels for the characterized NMT policy. The proposed SAC + NMT approach significantly outperforms existing deep reinforcement learning methods (in our numerical experiments on the IEEE 37-node test feeder), as the established NMT characterization sharply reduces the dimensionality of neural network outputs without loss of optimality.</t>
  </si>
  <si>
    <t>10.1109/TSG.2020.3028470</t>
  </si>
  <si>
    <t>Yoon, S; Hwang, E</t>
  </si>
  <si>
    <t>Yoon, Seungwook; Hwang, Euiseok</t>
  </si>
  <si>
    <t>Load Guided Signal-Based Two-Stage Charging Coordination of Plug-In Electric Vehicles for Smart Buildings</t>
  </si>
  <si>
    <t>Plug-in electric vehicles (PEVs); vehicle-to-grid (V2G); economic charging strategies; charge scheduling; demand response</t>
  </si>
  <si>
    <t>COST-BENEFIT-ANALYSIS; PARKING LOTS; ENERGY; V2G</t>
  </si>
  <si>
    <t>A novel plug-in electric vehicle (PEV) charging coordination scheme for smart buildings, processed in two separate stages bridged by a load guided signal, is proposed in this study. The goal of the proposed coordination is to minimize the overall energy cost of the building, while satisfying the desired target and operation range of the state of charge (SoC) of each PEV. As the PEV penetration level grows, uncoordinated charging may impact the stability of the building's energy system by increasing the peak demand and introducing uncertainty. Consequently, the charging decisions on the PEV fleet require considering the uncertainty of the drivers' behavior and the power demand pattern of the coupled building. In this study, a customized load guided signal is introduced for PEV fleet charging. It formulated and implemented through mixed integer linear programming in two separate stages. The first stage involves the extraction of the electric vehicle supply equipment (EVSE) based guide signal for the benefits and physical constraints of the building's energy system. The load guided signals are created by jointly investigating the charging/discharging flexibility of the EVSE using load prediction and the PEV fleet to minimize the electricity cost in the time-of-use energy market. In the second stage, the priority weight is exploited for distributing the charging/discharging decisions for individual PEVs. To evaluate the performance of the proposed method, numerical evaluations were conducted at various PEV penetration levels using a pair of energy consumption and vehicle parking datasets for the building. The case study demonstrates that the proposed scheme provides 12% load factor improvement and 13% cost reduction at a 50% PEV penetration level.</t>
  </si>
  <si>
    <t>10.1109/ACCESS.2019.2945483</t>
  </si>
  <si>
    <t>Su, S; Li, H; Gao, DW</t>
  </si>
  <si>
    <t>Su, Su; Li, Hao; Gao, David Wenzhong</t>
  </si>
  <si>
    <t>Optimal Planning of Charging for Plug-In Electric Vehicles Focusing on Users' Benefits</t>
  </si>
  <si>
    <t>electric vehicle; cost model of battery degradation; charging management; optimal scheduling; load control; Monte Carlo</t>
  </si>
  <si>
    <t>STRATEGY; LOAD; OPTIMIZATION; MECHANISMS; MODEL</t>
  </si>
  <si>
    <t>Many electric vehicles' (EVs) charging strategies were proposed to optimize the operations of the power grid, while few focus on users' benefits from the viewpoint of EV users. However, low participation is always a problem of those strategies since EV users also need a charging strategy to serve their needs and interests. This paper proposes a method focusing on EV users' benefits that reduce the cost of battery capacity degradation, electricity cost, and waiting time for different situations. A cost model of battery capacity degradation under different state of charge (SOC) ranges is developed based on experimental data to estimate the cost of battery degradation. The simulation results show that the appropriate planning of the SOC range reduces 80% of the cost of battery degradation, and the queuing theory also reduces over 60% of the waiting time in the busy situations. Those works can also become a premise of charging management to increase the participation. The proposed strategy focusing on EV users' benefits would not give negative impacts on the power grid, and the grid load is also optimized by an artificial fish swarm algorithm (AFSA) in the solution space of the charging time restricted by EV users' benefits.</t>
  </si>
  <si>
    <t>10.3390/en10070952</t>
  </si>
  <si>
    <t>Jeon, W; Cho, S; Lee, S</t>
  </si>
  <si>
    <t>Jeon, Wooyoung; Cho, Sangmin; Lee, Seungmoon</t>
  </si>
  <si>
    <t>Estimating the Impact of Electric Vehicle Demand Response Programs in a Grid with Varying Levels of Renewable Energy Sources: Time-of-Use Tariff versus Smart Charging</t>
  </si>
  <si>
    <t>electric vehicle; demand response; variable renewable sources; time-of-use; smart charging; virtual power plant</t>
  </si>
  <si>
    <t>WIND; COST</t>
  </si>
  <si>
    <t>An increase in variable renewable energy sources and soaring electricity demand at peak hours undermines the efficiency and reliability of the power supply. Conventional supply-side solutions, such as additional gas turbine plants and energy storage systems, can help mitigate these problems; however, they are not cost-effective. This study highlights the potential value of electric vehicle demand response programs by analyzing three separate scenarios: electric vehicle charging based on a time-of-use tariff, smart charging controlled by an aggregator through virtual power plant networks, and smart control with vehicle-to-grid capability. The three programs are analyzed based on the stochastic form of a power system optimization model under two hypothetical power system environments in Jeju Island, Korea: one with a low share of variable renewable energy in 2019 and the other with a high share in 2030. The results show that the cost saving realized by the electric vehicle demand response program is higher in 2030 and a smart control with vehicle-to-grid capability provides the largest cost saving. When the costs of implementing an electric vehicle demand response are considered, the difference in cost saving between the scenarios is reduced; however, the benefits are still large enough to attract customers to participate.</t>
  </si>
  <si>
    <t>10.3390/en13174365</t>
  </si>
  <si>
    <t>Sun, W; Neumann, F; Harrison, GP</t>
  </si>
  <si>
    <t>Sun, Wei; Neumann, Fabian; Harrison, Gareth P.</t>
  </si>
  <si>
    <t>Robust Scheduling of Electric Vehicle Charging in LV Distribution Networks Under Uncertainty</t>
  </si>
  <si>
    <t>Uncertainty; Stochastic processes; Standards; Schedules; Batteries; Optimal scheduling; Charging; distribution networks; electric vehicles (EVs); optimization; uncertainty</t>
  </si>
  <si>
    <t>STOCHASTIC OPTIMIZATION; RENEWABLE ENERGY; MANAGEMENT; IMPACT</t>
  </si>
  <si>
    <t>Rapid increase in the number of electric vehicles will likely deteriorate voltage profiles and overload distribution networks. Controlling the charging schedule of electric vehicles in a coordinated manner provides a potential solution to mitigate the issues and could defer reinforcement of network infrastructure. This work presents a method for robust, cost-minimizing, day-ahead scheduling of overnight charging of electric vehicles in low voltage networks in a stochastic environment with minimal real-time adaptation. To reduce the computational complexity, a linear power flow approximation is utilized. The stochastic environment captures multiple uncertainties arising from the mobility behavior including stochastic daily trip distances, arrival and departure times. Knowledge about the probability distributions of these parameters is used to hedge risks regarding the cost of charging, network overloading, voltage violation, and charging reliability. The results on a test network provide an insight into the impact of uncertainty and the effectiveness of addressing aspects of risk during optimization. In particular, planning with more conservative estimates of initial battery charge levels increases the reliability and technical feasibility of optimized schedules.</t>
  </si>
  <si>
    <t>10.1109/TIA.2020.2983906</t>
  </si>
  <si>
    <t>Palanca, J; Jordan, J; Bajo, J; Botti, V</t>
  </si>
  <si>
    <t>Palanca, Javier; Jordan, Jaume; Bajo, Javier; Botti, Vicent</t>
  </si>
  <si>
    <t>An energy-aware algorithm for electric vehicle infrastructures in smart cities</t>
  </si>
  <si>
    <t>FUTURE GENERATION COMPUTER SYSTEMS-THE INTERNATIONAL JOURNAL OF ESCIENCE</t>
  </si>
  <si>
    <t>Electric vehicle; Charging station; Genetic algorithm; Energy; Smart city; Multi-objective; Evolutionary algorithm; Deap; Peru</t>
  </si>
  <si>
    <t>The deployment of a charging infrastructure to cover the increasing demand of electric vehicles (EVs) has become a crucial problem in smart cities. Additionally, the penetration of the EV will increase once the users can have enough charging stations. In this work, we tackle the problem of locating a set of charging stations in a smart city considering heterogeneous data sources such as open data city portals, geo-located social network data, and energy transformer substations. We use a multi-objective genetic algorithm to optimize the charging station locations by maximizing the utility and minimizing the cost. Our proposal is validated through a case study and several experimental results. (C) 2020 Elsevier B.V. All rights reserved.</t>
  </si>
  <si>
    <t>10.1016/j.future.2020.03.001</t>
  </si>
  <si>
    <t>Lopez, G; Custodio, V; Herrera, FJ; Moreno, JI</t>
  </si>
  <si>
    <t>Lopez, Gregorio; Custodio, Victor; Herrera, Francisco J.; Ignacio Moreno, Jose</t>
  </si>
  <si>
    <t>Machine-to-machine communications infrastructure for smart electric vehicle charging in private parking lots</t>
  </si>
  <si>
    <t>INTERNATIONAL JOURNAL OF COMMUNICATION SYSTEMS</t>
  </si>
  <si>
    <t>authentication; authorization; and accounting; charging infrastructure; communications architecture; electric vehicle; machine-to-machine; smart grid</t>
  </si>
  <si>
    <t>AUTHENTICATION; TECHNOLOGY; DECISIONS; PROTOCOL</t>
  </si>
  <si>
    <t>The great concern about climate change and fossil fuel dependency is strongly encouraging the development and use of electric vehicles. However, the wide adoption of such vehicles is not possible without the deployment of charging infrastructures capable of integrating them into current and future electricity grids. There are many on-going research efforts and even products that propose different solutions to this problem. Standing out among them is the Spanish research project DOMOCELL, which aims at designing and developing a smart charging infrastructure for private parking lots. In this paper, we present its communications architecture, designed under the guidelines of efficiency, reliability, and scalability. In addition, we describe, supported by some practical use cases and emulations, how user authentication and authorization, as well as accounting and billing of power consumption, are performed even in roaming scenarios. Copyright (c) 2013 John Wiley &amp; Sons, Ltd.</t>
  </si>
  <si>
    <t>10.1002/dac.2705</t>
  </si>
  <si>
    <t>Woo, S; Fu, Z; Apostolaki-Iosifidou, E; Lipman, TE</t>
  </si>
  <si>
    <t>Woo, Soomin; Fu, Zhe; Apostolaki-Iosifidou, Elpiniki; Lipman, Timothy E.</t>
  </si>
  <si>
    <t>Economic and Environmental Benefits for Electricity Grids from Spatiotemporal Optimization of Electric Vehicle Charging</t>
  </si>
  <si>
    <t>electric vehicle; charge management; smart charging; vehicle grid integration; load shifting; marginal emissions; renewable energy</t>
  </si>
  <si>
    <t>EMISSIONS; FUTURE</t>
  </si>
  <si>
    <t>This article addresses the problem of estimating the potential economic and environmental gains for utility grids of shifting the electric-vehicle (EV) charging time and location. The current literature on shifting EV charging loads has been limited by real-world data availability and has typically therefore relied on simulated studies. Collaborating with a large automobile company and a major utility grid operator in California, this research used actual EV operational data and grid-operation data including locational marginal prices, marginal-grid-emission-rate data, and renewable-energy-generation ratio information. With assumptions about the future potential availability of EV charging stations, this research estimated the maximum potential gains in the economic and environmental performance of the electrical-grid operation by optimizing the time and location of EV charging. For the problem of rescheduling the charging sessions, the optimization models and objective functions were specifically designed based on the information available to the energy system operators that influence their economic and environmental performance like grid congestion, emissions, and renewable energy. The results present the maximum potential in reducing the operational costs and the marginal emissions and increasing the renewable energy use in the utility grid by rescheduling the EV charging load with respect to its time and location. The analysis showed that the objective functions of minimizing the marginal cost or the marginal emission rate performed the best overall.</t>
  </si>
  <si>
    <t>10.3390/en14248204</t>
  </si>
  <si>
    <t>Taljegard, M; Goransson, L; Odenberger, M; Johnsson, F</t>
  </si>
  <si>
    <t>Taljegard, M.; Goransson, L.; Odenberger, M.; Johnsson, F.</t>
  </si>
  <si>
    <t>Impacts of electric vehicles on the electricity generation portfolio - A Scandinavian-German case study</t>
  </si>
  <si>
    <t>Electric vehicle; Energy system modelling; Electric road systems; Peak power; Vehicle-to-grid; Smart charging</t>
  </si>
  <si>
    <t>POWER; INTEGRATION; DEMAND; ENERGY; MANAGEMENT; CONGESTION; SYSTEMS</t>
  </si>
  <si>
    <t>This study investigates how electrification of the Scandinavian and German road transportation sectors under a stringent CO2 cap will influence investments in new electricity generation capacity up to Year 2050 and the dispatch of the electricity generation portfolio in Year 2030. We apply a cost-minimisation investment model and an electricity dispatch model of the Scandinavian and German electricity systems, assuming both optimised charging and a vehicle-to-grid (V2G) charging strategy for passenger electric vehicles (EVs). Different EV battery sizes and EV deployment levels are investigated in 11 different scenarios, whereby two of the scenarios include also electric trucks and buses using electric road systems (ERS). The results of the modelling show that with a cap on CO2 emissions, the additional electricity demand from an electrified road transport sector is met mainly by increases in the outputs from wind power and thermal power plants, in the form of coal in combination with carbon capture and storage. In Year 2030, wind power generation in Scandinavia and Germany increases by 7-30% depending on the EV scenario, as compared to a scenario without EVs, which corresponds to a few more percentage points than the increased demand from EVs in absolute terms. Furthermore, a V2G charging strategy for passenger EVs smoothens the net load curve and almost completely reduces the need for peak power capacity in the Scandinavian-German electricity system. The value of investing in solar power is also reduced in all the EV scenarios by 22-42%, as compared to a scenario without EVs. This is due to the fact that in Northern Europe solar power competes with EVs for peak power supply. ERS for mainly trucks and buses will increase the current load profile by up to 18 GW in the Scandinavian-German electricity system.</t>
  </si>
  <si>
    <t>10.1016/j.apenergy.2018.10.133</t>
  </si>
  <si>
    <t>Tucker, N; Alizadeh, M</t>
  </si>
  <si>
    <t>Tucker, Nathaniel; Alizadeh, Mahnoosh</t>
  </si>
  <si>
    <t>An Online Admission Control Mechanism for Electric Vehicles at Public Parking Infrastructures</t>
  </si>
  <si>
    <t>Schedules; Pricing; Power cables; Resource management; Cost accounting; Charging stations; Electric vehicles; charging stations; multi-agent systems; vehicle routing; scheduling algorithms</t>
  </si>
  <si>
    <t>We study an online reservation system that allows electric vehicles (EVs) to park and charge at parking facilities equipped with EV supply equipment (EVSEs). We consider the case where EVs arrive in an online fashion and the facility coordinator must immediately make an admission or rejection decision as well as assign a specific irrevocable parking spot to each admitted EV. By means of strategic user admittance and smart charging, the objective of the facility coordinator is to maximize total user utility minus the operational costs of the facilities. We discuss an online pricing mechanism based on primal-dual methods for combinatorial auctions that functions as both an admission controller and a distributor of the facilities' limited charging resources. We analyze the online pricing mechanism's performance compared to the optimal offline solution and provide numerical results that validate the mechanism's performance for various test cases.</t>
  </si>
  <si>
    <t>10.1109/TSG.2019.2918524</t>
  </si>
  <si>
    <t>Affonso, CD; Kezunovic, M</t>
  </si>
  <si>
    <t>Affonso, Carolina de Mattos; Kezunovic, Mladen</t>
  </si>
  <si>
    <t>Technical and Economic Impact of PV-BESS Charging Station on Transformer Life: A Case Study</t>
  </si>
  <si>
    <t>Battery energy storage system; economic analysis; electric vehicles; photovoltaic generation; smart charging; transformer loss-of-life</t>
  </si>
  <si>
    <t>SYSTEMS; OPTIMIZATION</t>
  </si>
  <si>
    <t>The uncoordinated charging of several plug-in electric vehicles in a parking garage can potentially overload distribution transformer reducing its lifespan. Attempting to mitigate this issue, this paper proposes a smart charging method to minimize electricity consumption costs and avoid transformer overloading by considering a charging station integrated with photovoltaic generation and battery energy storage system. The optimal coordination among all these elements is investigated assessing transformer hottest-spot temperature and loss-of-life, considering a case study with time-of-use rate and meteorological data from Texas, USA. In addition, an economic analysis is developed to evaluate the viability of the project, with a sensitivity study considering different charging fees and variation in the daily number of vehicles parked in the garage. The results show the proposed approach is feasible, yields tangible financial benefits and can preserve distribution transformer life.</t>
  </si>
  <si>
    <t>10.1109/TSG.2018.2866938</t>
  </si>
  <si>
    <t>Ren, HT; Deng, Q; Wen, FS; Du, JQ; Yu, P; Tian, J</t>
  </si>
  <si>
    <t>Ren, Hongtao; Deng, Qing; Wen, Fushuan; Du, Jinqiao; Yu, Peng; Tian, Jie</t>
  </si>
  <si>
    <t>Joint Planning of a Distribution System and a Charging Network for Electric Vehicles</t>
  </si>
  <si>
    <t>JOURNAL OF ENERGY ENGINEERING</t>
  </si>
  <si>
    <t>Distribution network (DN); Electric vehicle (EV); Charging network; Optimized charging scheduling; Joint planning; Distributed photovoltaic (PV) system; Energy storage (ES)</t>
  </si>
  <si>
    <t>STATIONS; OPTIMIZATION</t>
  </si>
  <si>
    <t>The spatial-temporal distribution of electric vehicle (EV) charging loads can be improved by implementing optimized charging scheduling, and by the joint planning of a distribution network (DN) and a charging network of EVs. In this paper, such a joint planning scheme was studied and modeled as two-level optimization model. In the upper level of the optimization, a joint planning model of a DN and a charging network of EVs with distributed photovoltaic (PV) systems and/or energy storage (ES) units is constructed to minimize the total cost. Then the optimized results of the DN and the EV charging network construction plan are used as the inputs of the lower-level operation model. In the lower-level operation optimization, an optimal charging scheduling approach is proposed to minimize the sum of the DN's operation cost and the traffic congestion cost. The spatial-temporal distribution of the charging demand, under an optimized charging strategy, is used as feedback for the upper-level optimization model, which effectively can reduce the scale of the DN and the charging network construction. The proposed joint planning model was demonstrated through applications in a city in China.</t>
  </si>
  <si>
    <t>10.1061/(ASCE)EY.1943-7897.0000734</t>
  </si>
  <si>
    <t>Visser, LR; Kootte, ME; Ferreira, AC; Sicurani, O; Pauwels, EJ; Vuik, C; van Sark, WGJHM; AlSkaif, TA</t>
  </si>
  <si>
    <t>Visser, L. R.; Kootte, M. E.; Ferreira, A. C.; Sicurani, O.; Pauwels, E. J.; Vuik, C.; van Sark, W. G. J. H. M.; AlSkaif, T. A.</t>
  </si>
  <si>
    <t>An operational bidding framework for aggregated electric vehicles on the electricity spot market</t>
  </si>
  <si>
    <t>Smart charging; Forecast; Electric Vehicles; Day ahead electricity market; Operational bidding framework; Market trading; Machine learning</t>
  </si>
  <si>
    <t>ENERGY MANAGEMENT; OPTIMIZATION; STRATEGY; DEMAND; PRICES; POWER</t>
  </si>
  <si>
    <t>Fluctuating electricity prices offer potential economic savings for the consumption of electricity by flexible assets such as Electric Vehicles (EVs). This study proposes an operational bidding framework that minimizes the charging costs of an EV fleet by submitting an optimized bid to the day-ahead electricity market. The framework consists of a bidding module that determines the most cost-effective bid by considering an electricity price and an EV charging demand forecast module. In this study we develop and evaluate several regression and machine learning models that forecast the electricity price and EV charging demand. Furthermore, we examine the composition of a most optimal operational bidding framework by comparing the outcome of the bidding module when fed with each of the forecast models. This is determined by considering the day-ahead electricity price and imbalance costs due to forecast errors. The study demonstrates that the best performing self-contained forecast models with the objective of electricity price and EV charging demand forecasting, do not deliver the best overall results when included in the bidding framework. Additionally, the results show that the best performing framework obtains a 26% cost savings compared to a reference case where EVs are charged inflexibly. This corresponds to an achieved savings potential of 92%. Consequently, along with the developed bidding framework, these results provide a fundamental basis for effective electricity trading on the day-ahead market.</t>
  </si>
  <si>
    <t>10.1016/j.apenergy.2021.118280</t>
  </si>
  <si>
    <t>Liu, Y; Wang, Y; Li, YZ; Gooi, HB; Xin, HH</t>
  </si>
  <si>
    <t>Liu, Yun; Wang, Yu; Li, Yuanzheng; Gooi, Hoay Beng; Xin, Huanhai</t>
  </si>
  <si>
    <t>Multi-Agent Based Optimal Scheduling and Trading for Multi-Microgrids Integrated With Urban Transportation Networks</t>
  </si>
  <si>
    <t>Optimal scheduling; Transportation; Electric vehicle charging; Convex functions; Power distribution; Peer-to-peer computing; Schedules; Electric vehicle charging; energy management and trading; multi-agent system; multi-microgrids; transportation network</t>
  </si>
  <si>
    <t>ELECTRIC VEHICLES; DISTRIBUTION-SYSTEMS; OPTIMAL OPERATION; ENERGY; POWER</t>
  </si>
  <si>
    <t>This paper investigates multi-period optimal energy scheduling and trading for multi-microgrids (MMGs) integrated with an urban transportation network (UTN). Specifically, an optimization based multi-period traffic assignment model is built to characterize the vehicular flows considering rational drivers with time-flexible travel demand. Meanwhile, each microgrid (MG) is modeled to independently schedule its operation by trading energy with other MGs and charging electric vehicles (EVs) with its fast charging stations (FCSs). The EV charging prices could further influence traffic flow distribution of the UTN. To co-optimize the coupled system, a multi-agent based optimal scheduling and trading scheme is proposed, which is facilitated by peer-to-peer communication of transactive energy information among the agents, thus can preserve privacy of the market participants. Within the scheme, the MGs and EVs take their optimal decisions in response to MG energy trading and EV charging prices updated via multi-bilateral negotiation based on the demand-supply relationship. When an equilibrium of the coupled system is reached, each MG can minimize its operation cost, and the traffic condition could also be improved. Case studies of a MMG system coupled with a double-ring UTN are conducted to validate the effectiveness of the scheme.</t>
  </si>
  <si>
    <t>10.1109/TPWRS.2020.3040310</t>
  </si>
  <si>
    <t>Fabianek, P; Will, C; Wolff, S; Madlener, R</t>
  </si>
  <si>
    <t>Fabianek, Paul; Will, Christian; Wolff, Stefanie; Madlener, Reinhard</t>
  </si>
  <si>
    <t>Green and regional? A multi-criteria assessment framework for the provision of green electricity for electric vehicles in Germany</t>
  </si>
  <si>
    <t>Plug-in electric vehicles (PEVs); Green electricity tariffs; Analytic hierarchy process (AHP); Smart charging; Energy services</t>
  </si>
  <si>
    <t>WILLINGNESS-TO-PAY; RENEWABLE ENERGY TECHNOLOGIES; ANALYTIC HIERARCHY PROCESS; DECISION-MAKING; CONSUMER PREFERENCES; DISTRIBUTION NETWORKS; CHARGING STRATEGIES; MULTIPLE CRITERIA; AHP; SUSTAINABILITY</t>
  </si>
  <si>
    <t>Based on economic and ecological criteria this paper proposes an evaluation framework for the provision of green electricity for charging plug-in electric vehicles in Germany, using the Analytic Hierarchy Process approach for a Multi-Criteria Decision Analysis. The framework allows for a transparent evaluation of the supply of green electricity for electric vehicles from different stakeholder perspectives, without the direct involvement and reassessment by the experts. The relevant criteria for the evaluation are derived from literature, an analysis of eco-labels for electricity tariffs, and 33 expert interviews from four different stakeholder groups (municipal utilities, academia and science, non-governmental organizations, and automobile manufacturers). Eight criteria have been found to be particularly relevant for green electricity service evaluation: regionality, transparency, balancing period, additionality, land use, greenhouse gas emissions, smart charging (via a flexibility discount), and quality premium. The evaluation framework comprises value scores, which represent the degree to which a specific green charging service satisfies a given quality criterion, and combines them with the weights derived in the Analytic Hierarchy Process. The results differ markedly between stakeholder groups and point to the particular importance of additionality, technology-specific greenhouse gas emissions, and transparency. The framework seems useful for service design by (municipal) utilities, charge point operators, non-governmental organizations, and aggregators offering smart charging solutions.</t>
  </si>
  <si>
    <t>10.1016/j.trd.2020.102504</t>
  </si>
  <si>
    <t>Kim, J; Lee, J; Choi, JK</t>
  </si>
  <si>
    <t>Kim, Jangkyum; Lee, Joohyung; Choi, Jun Kyun</t>
  </si>
  <si>
    <t>Joint Demand Response and Energy Trading for Electric Vehicles in Off-Grid System</t>
  </si>
  <si>
    <t>Energy consumption; Generators; Load management; Electric vehicle charging; Reliability; Power system stability; Smart grid; electricity market; electric vehicle; Stackelberg game; off-grid system</t>
  </si>
  <si>
    <t>HYBRID; OPERATION</t>
  </si>
  <si>
    <t>This paper proposes a joint demand response and energy trading for electric vehicles in an off-grid system. We consider isolated microgrid in a region where, at a given time, some renewable energy generators have superflous energy for sale or to keep in storage facilities, whereas some electric vehicles wish to buy additional energy to meet their deficiency. In our system model, broker lead the market by determining the optimal transaction price by considering a trade-off between commission revenue and power reliability. Buyers and sellers follow the broker's decision by independently submitting a transaction price to the broker. Correspondingly transaction energy is allocated to the buyers in the proportion to their payment, whereas the revenue is allocated to the sellers in proportion to their sales. We investigated the economic benefits of such a joint demand response and energy trading by analyzing its hierarchical decision-making scheme as a single-leader-heterogeneous multi-follower Stackelberg game. With demonstrating an existence of a unique Stackelberg equilibrium, we show that the transaction price in the proposed market model is up to 25.8% cheaper than the existing power market. In addition, we compare the power reliability results with other algorithm to show the suitability of proposed algorithm in the isolated microgrid environment.</t>
  </si>
  <si>
    <t>10.1109/ACCESS.2020.3009739</t>
  </si>
  <si>
    <t>Chen, NJ; Kurniawan, C; Nakahira, Y; Chen, LJ; Low, SH</t>
  </si>
  <si>
    <t>Chen, Niangjun; Kurniawan, Christian; Nakahira, Yorie; Chen, Lijun; Low, Steven H.</t>
  </si>
  <si>
    <t>Smoothed Least-Laxity-First Algorithm for Electric Vehicle Charging: Online Decision and Performance Analysis With Resource Augmentation</t>
  </si>
  <si>
    <t>Electric vehicle charging; Charging stations; Prediction algorithms; Power grids; Batteries; Analytical models; Uncertainty; Power generation scheduling; scheduling; road vehicle power systems; resource management; battery chargers</t>
  </si>
  <si>
    <t>Adaptive charging can charge electric vehicles (EVs) at scale cost effectively, despite of the uncertainty in EV arrivals. We formulate adaptive EV charging as a feasibility problem that meets all EVs' energy demands before their deadlines while satisfying constraints in charging rate and total charging power. We propose an online algorithm, smoothed least-laxity-first (sLLF), that decides the current charging rates without the knowledge of future arrivals and demands. We characterize the performance of the sLLF algorithm analytically and numerically. Numerical experiments with real-world data show that it has a significantly higher rate of feasible EV charging than several other existing EV charging algorithms. Resource augmentation framework is employed to assess the feasibility condition of the algorithm. The assessment shows that the sLLF algorithm achieves perfect feasibility with only a 7% increase in the maximal power supply of the charging station.</t>
  </si>
  <si>
    <t>10.1109/TSG.2021.3138615</t>
  </si>
  <si>
    <t>Borray, AFC; Merino, J; Torres, E; Garces, A; Mazon, J</t>
  </si>
  <si>
    <t>Borray, Andres Felipe Cortes; Merino, Julia; Torres, Esther; Garces, Alejandro; Mazon, Javier</t>
  </si>
  <si>
    <t>Centralised coordination of EVs charging and PV active power curtailment over multiple aggregators in low voltage networks</t>
  </si>
  <si>
    <t>Aggregators; Active power curtailment; Charging coordination; Electric vehicles; Low voltage networks; Load flow analysis; Optimisation; Photovoltaic systems</t>
  </si>
  <si>
    <t>IN ELECTRIC VEHICLES; PARKING LOT; ENERGY; SYSTEMS; OPERATION; BEHAVIOR</t>
  </si>
  <si>
    <t>Widespread application of residential photovoltaic (PV) systems and electric vehicles (EVs) has led the distribution system operators (DSOs) to face new technical challenges such as overloading and significant voltage variations, especially on low voltage (LV) grids. This adverse effect may be mitigated by employing the aggregators as intermediary actors to coordinate the operation at the distribution level. Therefore, this paper proposes a centralised coordination strategy to mitigate both PV and EV impacts, such as voltage rising/dropping at noon or evening, respectively, by defining the optimal export limit of PV power and EVs charging among multiple aggregators at the DSO level. The latter is in charge to dictate the optimal aggregated signals to every aggregator by employing a mixed-integer quadratic programming (MIQP) approach. The aggregated PV power is evenly managed for each aggregator by weighting. Two convex optimisation models are defined to satisfy both power and voltage constraints of the LV network. Each proposed optimisation approach can be utilised when there is or no detailed information about the LV network topology. The concepts discussed in this paper are tested on a real low voltage network considering a critical penetration level of EVs and PVs. (C) 2021 Elsevier Ltd. All rights reserved.</t>
  </si>
  <si>
    <t>10.1016/j.segan.2021.100470</t>
  </si>
  <si>
    <t>Wang, LT; Chen, B</t>
  </si>
  <si>
    <t>Wang, Luting; Chen, Bo</t>
  </si>
  <si>
    <t>Dual-level consensus-based frequency regulation using vehicle-to-grid service</t>
  </si>
  <si>
    <t>Plug-in electric vehicles; PEV charging coordination; Consensus-based control; Incremental cost; Primary frequency control; Battery degradation</t>
  </si>
  <si>
    <t>LOAD SHEDDING SCHEME; ELECTRIC VEHICLES; CHARGING CONTROL; SYSTEM</t>
  </si>
  <si>
    <t>To coordinate plug-in electric vehicles (PEVs) to support the primary frequency control, this paper presents a dual-level consensus-based frequency control method. The upper-level control aims to minimize the frequency deviation of multi-area power system, and the lower-level control aims to minimize the frequency regulation cost and battery degradation cost for individual PEVs. The incremental cost functions are formulated based on the objectives of the dual control levels, in this case, no objective function needs to be solved, and instead, the optimal results can be achieved by reaching a consensus incremental cost among neighboring individuals. The graph theory is applied to build the communication network among neighboring control areas in upper-level control, and among neighboring PEVs in lower-level control. The consensus algorithm is applied to specify the information updating and exchange among neighboring individuals. In addition, the dynamic models of multi area power system and PEVs are developed for controller implementation and investigation. The simulation with different case studies are conducted to validate the performance of the proposed dual-level frequency control. The simulation results show that, with limited communication, the connected PEVs can be efficiently coordinated via dual-level controller to provide primary frequency regulation service, and meanwhile meet the battery charging/discharging constraints.</t>
  </si>
  <si>
    <t>10.1016/j.epsr.2018.10.022</t>
  </si>
  <si>
    <t>He, LF; Yang, J; Yan, J; Tang, YF; He, HB</t>
  </si>
  <si>
    <t>He, Lifu; Yang, Jun; Yan, Jun; Tang, Yufei; He, Haibo</t>
  </si>
  <si>
    <t>A bi-layer optimization based temporal and spatial scheduling for large-scale electric vehicles</t>
  </si>
  <si>
    <t>Unit commitment; Electric vehicle; Bi-layer optimization; Charging and discharging scheduling; Wind power; PM2.5 emissions</t>
  </si>
  <si>
    <t>DISTRIBUTION-SYSTEMS; CHARGING STRATEGY; POWER-GENERATION; OPERATION; RECONFIGURATION; MODEL</t>
  </si>
  <si>
    <t>Electric vehicle (EV) is a promising, environmental friendly technique for its potential to reduce the using of fossil fuels. Massive EVs pose both opportunities and challenges for power systems, especially with the growing amount of wind-power integration. This paper investigates the problem of collaborative optimization scheduling of generators, EVs and wind power. A novel bi-layer optimization of transmission and distribution system is proposed to solve the scheduling problem of EVs charging and discharging load from respective time and space domain in the presence of wind-power. The upper layer optimization in transmission grid coordinates EVs with thermal generators, base load, with the consideration of wind power, to optimize load periods of EVs in the time domain. The lower layer optimization in distribution grid then spatially schedules the location of EVs load. Based on a power system benchmark with a 10-unit transmission grid and an IEEE 33-bus distribution grid, the performance of the proposed bi-layer optimization strategy is evaluated. The impacts of electricity price profile, EVs penetration and EVs load location are analyzed. Simulation results show that the proposed bi-layer optimization strategy can accommodate wind power and improve both the economics of grid operation and benefits of EV users by scheduling EVs charging and discharging temporally and spatially. Also, the results have shown that the location of EVs charging and discharging load is critical for the distribution network planning. (C) 2016 Elsevier Ltd. All rights reserved.</t>
  </si>
  <si>
    <t>10.1016/j.apenergy.2016.01.089</t>
  </si>
  <si>
    <t>Hernandez-Arauzo, A; Puente, J; Varela, R; Sedano, J</t>
  </si>
  <si>
    <t>Hernandez-Arauzo, Alejandro; Puente, Jorge; Varela, Ramiro; Sedano, Javier</t>
  </si>
  <si>
    <t>Electric vehicle charging under power and balance constraints as dynamic scheduling</t>
  </si>
  <si>
    <t>Scheduling electric vehicles charging; Dynamic Constraint Satisfaction Problems; Power and balance constraints; One machine sequencing; Tardiness minimization</t>
  </si>
  <si>
    <t>MACHINE AVAILABILITY; ALGORITHMS; TARDINESS; SEARCH; WINDOW; TIMES</t>
  </si>
  <si>
    <t>Scheduling appropriately the charging times for a set of electric vehicles may lead to energy savings but at the same time it may be a hard problem. In this paper, we consider a problem of this family, which is motivated by a private community park where each parking space belongs to a particular user and has a charging point connected to one line of a three-phase electric feeder. The number of vehicles in each line and the difference in the vehicles in every pair of lines charging at the same time are limited. We model this problem in the framework of Dynamic Constraint Satisfaction Problems (DCSP) with optimization, and so it is defined by a sequence of CSPs over time. We propose a solution method that decomposes each CSP into three instances of a one machine sequencing problem with variable capacity. This method was evaluated by simulation on a set of instances defined from different scenarios of vehicle arrivals, departures and energy requirements. The results of the experimental study show clearly that the proposed algorithm is efficient and that it outperforms a classic dispatching rule. (C) 2015 Elsevier Ltd. All rights reserved.</t>
  </si>
  <si>
    <t>10.1016/j.cie.2015.04.002</t>
  </si>
  <si>
    <t>Kroener, N; Forderer, K; Losch, M; Schmeck, H</t>
  </si>
  <si>
    <t>Kroener, Nils; Foerderer, Kevin; Loesch, Manuel; Schmeck, Hartmut</t>
  </si>
  <si>
    <t>State-of-the-Art Integration of Decentralized Energy Management Systems into the German Smart Meter Gateway Infrastructure</t>
  </si>
  <si>
    <t>smart meter gateway; smart meter; energy management systems; building energy management; demand side management; demand response; electric vehicles; smart charging; smart grid traffic light concept</t>
  </si>
  <si>
    <t>The German Smart Meter Gateway (SMGW) infrastructure enables digital access to metering data and distributed energy resources by external parties. There are, however, various restrictions in order to guarantee the privacy of consumers, and strong security requirements. Furthermore, in the current state of development, there are still several challenges to overcome in order to implement demand side management (DSM) measures. In this paper, we present a prototype enabling DSM measures within the SMGW infrastructure, using the smart grid traffic light concept. The prototype implements an automated decentralized energy management system (EMS) that optimally controls an electric vehicle charging station. In the development of this prototype, we did not only evaluate five of the seven available SMGW devices, but also push the limits of the infrastructure itself. The experiments demonstrated the successful implementation of the intended DSM measure by the EMS. Even though there are technical guidelines standardizing the functionality of SMGWs, our evaluation shows that there are substantial differences between the individual SMGW devices.</t>
  </si>
  <si>
    <t>10.3390/app10113665</t>
  </si>
  <si>
    <t>Distributed control for large-scale plug-in electric vehicle charging with a consensus algorithm</t>
  </si>
  <si>
    <t>Large-scale plug-in electric vehicles; PEV charging coordination; Consensus-based distributed control; Charging power loss; Vehicle-to-grid service; Stochastic matrix</t>
  </si>
  <si>
    <t>COOPERATIVE CONTROL; AVERAGE CONSENSUS; ENERGY-SOURCES; OPTIMIZATION; POWER; COST; IMPACT</t>
  </si>
  <si>
    <t>As the development of plug-in-electric vehicles (PEVs) accelerates, the effective integration of large-scale PEVs with power grid becomes an urgent problem for utilities and PEV users. Mainly considering grid side preference, this paper proposes a distributed control method with a consensus algorithm to deal with large-scale PEV charging coordination. The objectives of the proposed coordination strategy are: minimizing the charging power loss and maximizing the available PEV power for vehicle-to-grid (V2G) services. The incremental cost functions are formulated for these objectives. The graph theory is applied to specify the communication network for PEVs. An interaction rule, the consensus algorithm is applied to realize the local information updating and external information exchanging among neighboring PEVs. A variable-size stochastic matrix is defined to specify the communication topology among PEVs, as well as guarantee the convergence of the consensus targets. The simulation results show that, with limited communication, the large-scale PEV charging/discharging can be efficiently coordinated to reduce total charging power loss or provide V2G service with maximum available PEV power. Meanwhile the PEV charging requirements specified by drivers can be satisfied. In addition, the convergence of the proposed distributed consensus algorithm can always be guaranteed upon random PEV departures.</t>
  </si>
  <si>
    <t>10.1016/j.ijepes.2019.02.020</t>
  </si>
  <si>
    <t>Ruecker, F; Schoeneberger, I; Wilmschen, T; Sperling, D; Haberschusz, D; Figgener, J; Sauer, DU</t>
  </si>
  <si>
    <t>Ruecker, Fabian; Schoeneberger, Ilka; Wilmschen, Till; Sperling, Dustin; Haberschusz, David; Figgener, Jan; Sauer, Dirk Uwe</t>
  </si>
  <si>
    <t>Self-sufficiency and charger constraints of prosumer households with vehicle-to-home strategies</t>
  </si>
  <si>
    <t>Electric vehicle; Smart charging; Self-consumption; Self-sufficiency; V2G; Battery aging; Prosumer; Photovoltaic; ISO15118; IEC 61851</t>
  </si>
  <si>
    <t>GREENHOUSE-GAS EMISSIONS; ELECTRIC VEHICLES; PHOTOVOLTAIC POWER; STORAGE; CONSUMPTION; OPERATION; COST</t>
  </si>
  <si>
    <t>In recent years, the market of electric vehicles has been growing strongly. This growth is accompanied by discussions on vehicle-to-home strategies that allow households with a photovoltaic system and an electric vehicle both to charge the vehicle with solar energy and to supply energy from the vehicle to the household. However, vehicle-to-home technology is still not yet widely implemented in prosumer households and there is still little literature about the impact of technological constraints given by the hardware and charging protocols on prosumer energy consumption. To close this research gap, we develop heuristic vehicle-to-home charging strategies that aim to increase self-sufficiency, vehicle availability and traction battery lifetime. We discuss charging power constraints due to technical limitations measured in the laboratory and communication protocols. We investigate the impact of charging power constraints, bidirectional charger capability and forecasting algorithms on the self-sufficiency of the prosumer household. The simulation model integrates a comprehensive electric vehicle model, photovoltaic system model and historic measurement data of prosumer and driving profiles. We propose and simulate three different exemplary mobility profile scenarios. The mobility scenarios differ in their departure and arrival time distributions and are named Worker, Half-time Worker and Late Worker. The developed smart charging strategies can increase the self-sufficiency of the household by up to 16.9 percentage points in comparison to charging the vehicle with maximum power upon plug-in. Decreasing the minimum charging power constraint from 4.1 kW to 1.8 kW can increase self-sufficiency by up to 10.5 percentage points. Smart charging strategies, the use of a bidirectional charger, relaxation of charging power constraints and the use of forecasting algorithms increase the self-sufficiency of a prosumer household with a and an electric vehicle.</t>
  </si>
  <si>
    <t>10.1016/j.apenergy.2022.119060</t>
  </si>
  <si>
    <t>Shahkamrani, A; Askarian-abyaneh, H; Nafisi, H; Marzband, M</t>
  </si>
  <si>
    <t>Shahkamrani, Arian; Askarian-abyaneh, Hossein; Nafisi, Hamed; Marzband, Mousa</t>
  </si>
  <si>
    <t>A framework for day-ahead optimal charging scheduling of electric vehicles providing route mapping: Kowloon case study</t>
  </si>
  <si>
    <t>Day-ahead scheduling; Electric vehicles; Optimal charging; Route mapping; Transformers loss of life; Cloud storing and computing</t>
  </si>
  <si>
    <t>ENERGY; POWER; OPTIMIZATION; MANAGEMENT; DEMAND</t>
  </si>
  <si>
    <t>With the ever-increasing growth of electric vehicles (EV)s in the power industry, their significance as a flexible load has increased drastically. On the other hand, uncontrolled charging of these vehicles can cause serious problems in the grid, such as a peak in demand, a decrease in the life expectancy of transformers and as a result, an increase in charging costs of EVs for the EV owners. In this paper, a framework for day-ahead optimal charging of EVs is proposed which through optimization of active and reactive power exchange at each time interval, could prevent the problems mentioned above and at the same time increase the benefit of EV owners and network operators simultaneously. Furthermore, taking into account the effective factors on electrical energy consumption of EVs and the driving pattern of their owners, a route mapping algorithm is developed based on the proposed framework, so as to provide the EV owners with better services. The simulations are carried out using a hybrid interior-point optimization approach, based on traffic and geographic data collected from the city of Kowloon and a standard IEEE 33 bus system is used. The simulation results show that integrating optimal charging of EVs with a route mapping algorithm into the proposed framework can reduce the loss costs of the network during the hours of EVs' presence in the framework and the selling price of electricity to EV owners by 24.93% and 33.6%, respectively in comparison with the uncontrolled mode. Also, the average life expectancy of power transformers is increased by 2.97% in the optimal charging mode compared to the uncontrolled mode.</t>
  </si>
  <si>
    <t>JUL 20</t>
  </si>
  <si>
    <t>10.1016/j.jclepro.2021.127297</t>
  </si>
  <si>
    <t>Queuing Analysis Based PEV Load Modeling Considering Battery Charging Behavior and Their Impact on Distribution System Operation</t>
  </si>
  <si>
    <t>Queuing analysis; plug-in electric vehicle; battery charging behavior; smart grid; distribution system; optimal power flow</t>
  </si>
  <si>
    <t>PREDICTIVE CONTROL; TRANSFORMER; DEMAND</t>
  </si>
  <si>
    <t>This paper presents a queuing analysis-based method for modeling the 24-h charging load profile of a plug-in electric vehicle (PEV) charging station. The queuing model considers the arrival of PEVs as a non-homogeneous Poisson process with different arrival rates over the day. The first PEV charging load profile assumes customer convenience as the factor that influences the hourly arrival rate of vehicles at the station, while the second profile is developed assuming that customers would respond to PEV charging prices and arrival rates are accordingly affected. One of the main contributions of this paper is to model the PEV service time considering different factors such as the state-of-charge of the vehicle battery, as well as the effect of the battery charging behavior. The impact of PEV load models on distribution systems is studied for a deterministic case, and the impact of uncertainties is examined and compared using the stochastic optimal power flow and the model predictive control approaches.</t>
  </si>
  <si>
    <t>10.1109/TSG.2016.2550219</t>
  </si>
  <si>
    <t>Chis, A; Lunden, J; Koivunen, V</t>
  </si>
  <si>
    <t>Chis, Adriana; Lunden, Jarmo; Koivunen, Visa</t>
  </si>
  <si>
    <t>Reinforcement Learning-Based Plug-in Electric Vehicle Charging With Forecasted Price</t>
  </si>
  <si>
    <t>Cost reduction; demand response; plug-in electric vehicle (PEV); price prediction; reinforcement learning (RL); smart charging</t>
  </si>
  <si>
    <t>NEURAL-NETWORK; MODEL</t>
  </si>
  <si>
    <t>This paper proposes a novel demand response method that aims at reducing the long-term cost of charging the battery of an individual plug-in electric vehicle (PEV). The problem is cast as a daily decision-making problem for choosing the amount of energy to be charged in the PEV battery within a day. We model the problem as a Markov decision process (MDP) with unknown transition probabilities. Abatch reinforcement-learning (RL) algorithm is proposed for learning an optimum cost-reducing charging policy from a batch of transition samples and making cost-reducing charging decisions in new situations. In order to capture the day-to-day differences of electricity charging costs, the method makes use of actual electricity prices for the current day and predicted electricity prices for the following day. A Bayesian neural network is employed for predicting the electricity prices. For constructing the RL training dataset, we use historical prices. A linear-programming-based method is developed for creating a dataset of optimal charging decisions. Different charging scenarios are simulated for each day of the historical time frame using the set of past electricity prices. Simulation results using real-world pricing data demonstrate cost savings of 10%-50% for the PEV owner when using the proposed charging method.</t>
  </si>
  <si>
    <t>10.1109/TVT.2016.2603536</t>
  </si>
  <si>
    <t>Gorbe, P; Magyar, A; Hangos, KM</t>
  </si>
  <si>
    <t>Gorbe, Peter; Magyar, Attila; Hangos, Katalin M.</t>
  </si>
  <si>
    <t>Reduction of power losses with smart grids fueled with renewable sources and applying EV batteries</t>
  </si>
  <si>
    <t>Renewable power sources; CO2 emission reduction; Power quality; Electric vehicle; Battery charging; Smart grid; Nonlinear distortion</t>
  </si>
  <si>
    <t>This paper describes a low-voltage grid composed of small, domestic power plants fueled by clean and renewable energy sources and augmented with electric vehicle batteries as power storage devices. We propose that this grid could utilize a complex multifunctional control unit capable of optimizing the working point and charging current of the system, while also implementing active power factor correction, lowering extant harmonic distortion and controlling the voltage level in the low-voltage power lines. The complex controller structure proposed in this paper contains the following novel components: an upper harmonic controller which (together with the connection voltage controller) minimizes the amplitudes of the 3rd, 5th, 7th, 9th, and 11th high order components in the output voltage; and a connection voltage controller which controls the energy flow between the low-voltage network, its renewable energy sources and the electrical vehicle batteries. Unlike other similar approaches, the harmonic controller proposed in this paper does not rely on a measured current signal but rather optimizes the voltage shape, the latter of which depends on the nonlinear distortion of the whole low-voltage transformer area and determines additional power losses. We analyzed the proposed controller via simulations in a Matlab environment and as a result, achieved substantial improvements to the output voltage, current waveform and energy flow of the system's low-voltage conditions. Our calculations show that the implementation of substantial reductions in CO2 emissions could be achieved for an average household. The robustness of the method against nonlinear loads and fluctuations in overloads and overproductions was also tested. (C) 2012 Elsevier Ltd. All rights reserved.</t>
  </si>
  <si>
    <t>10.1016/j.jclepro.2011.12.021</t>
  </si>
  <si>
    <t>Szinai, JK; Sheppard, CJR; Abhyankar, N; Gopal, AR</t>
  </si>
  <si>
    <t>Szinai, Julia K.; Sheppard, Colin J. R.; Abhyankar, Nikit; Gopal, Anand R.</t>
  </si>
  <si>
    <t>Reduced grid operating costs and renewable energy curtailment with electric vehicle charge management</t>
  </si>
  <si>
    <t>Plug-in electric vehicles; Mobility model; Electricity grid; Renewable energy; Smart charging; Time-of-use electricity rate</t>
  </si>
  <si>
    <t>POWER-SYSTEMS; INTEGRATION; IMPACT; ACCEPTANCE; PROGRAMS; GERMANY; HYBRID; FUTURE; LOAD</t>
  </si>
  <si>
    <t>Widespread adoption of plug-in electric vehicles (PEVs) and renewable energy (RE) can help to jointly decarbonize the transportation and electricity sectors. Previous studies indicate strategies to manage PEV charging facilitate integration of RE into electricity grids, but the value of such strategies at scale is unclear because electricity markets and PEV charging have been inadequately represented together. This analysis focuses on the state of California in 2025, and improves on prior work by linking high-resolution mobility and grid dispatch models to quantify the value of managed charging under a 50% RE grid and PEV adoption scenarios up to California's 5 million vehicle target. Even after accounting for practical charging and grid constraints, 0.95 to 5 million smart charging PEVs avoid $120 to $690 million in California grid operating costs annually (up to 10% of total costs) and reduce RE curtailment up to 40% relative to unmanaged PEVs. Overnight time-of-use (TOU) charging provides similar cost savings but increases curtailment. Both of these managed strategies defer system infrastructure expansion at the 5 million PEV deployment. The results suggest residential smart charging complemented by TOU tariffs with added daytime periods are policies with most potential to advance California's dual PEV and RE goals.</t>
  </si>
  <si>
    <t>10.1016/j.enpol.2019.111051</t>
  </si>
  <si>
    <t>Lymperopoulos, I; Qureshi, FA; Bitlislioglu, A; Poland, J; Zanarini, A; Mercangoez, M; Jones, C</t>
  </si>
  <si>
    <t>Lymperopoulos, Ioannis; Qureshi, Faran A.; Bitlislioglu, Altug; Poland, Jan; Zanarini, Alessandro; Mercangoez, Mehmet; Jones, Colin</t>
  </si>
  <si>
    <t>Ancillary Services Provision Utilizing a Network of Fast-Charging Stations for Electrical Buses</t>
  </si>
  <si>
    <t>Ancillary services; secondary frequency control; smart grids; electric vehicles; fast-charging; energy storage; multistage stochastic optimization; MPC</t>
  </si>
  <si>
    <t>VEHICLES</t>
  </si>
  <si>
    <t>Fast-charging stations that supply energy to electrical vehicles at high power rates may incorporate energy storage to avoid high currents to the grid and reduce peak-demand costs. We demonstrate the potential for utilizing such infrastructure for the provision of ancillary services (AS) to power grids. The main challenge we address is the coordination between the stochastic demand for the real-time delivery of AS while charging the randomly arriving electrical vehicles. The method presented here, employing two-stage stochastic optimization, calculates both the maximum capacity of AS the system can provide and handles optimally the real-time delivery of control-energy to the grid upon request by integrating intraday trades. To showcase our concept we have employed the ABB TOSA electrical bus charging network and demonstrated, through simulation studies, with realistic models and energy prices, that the method is technically feasible, can deliver a considerable level of control energy, offers substantial economic benefits, and has only a minor impact on the lifetime of the storage system.</t>
  </si>
  <si>
    <t>10.1109/TSG.2019.2927701</t>
  </si>
  <si>
    <t>Buczacki, A; Piatek, P</t>
  </si>
  <si>
    <t>Buczacki, Aleksander; Piatek, Piotr</t>
  </si>
  <si>
    <t>Proposal for an Integrated Framework for Electronic Control Unit Design in the Automotive Industry</t>
  </si>
  <si>
    <t>cybersecurity; functional safety; systems engineering; project management; gateway; automotive; V2G; electric vehicles; connected vehicles; smart charging solutions</t>
  </si>
  <si>
    <t>The automotive sector is facing challenges in terms of the requirements for guaranteeing the safety and security of cars. In respect of the engineering process, it is challenging to incorporate functional safety, safety of the intended functionality, and cybersecurity requirements into electrical vehicles. All of these aspects impact not only the vehicles or ECUs produced, but also the structures of the organizations by which the products are created. Based on current standards, drafts of future standards, and an analysis of the performance of a real design process for the ECU of an electrical vehicle, we propose an integrated design framework from the perspective of cybersecurity. Therefore, a stronger emphasis is placed on correct estimations of cybersecurity activity processes. As they affect all areas of development, these estimations cannot be isolated considering the ECU's design process. More cooperation between various stages of the process is required in order to provide complete products at an early stage of design and development. The challenge is the identification of overlapping activities and the combination of design efforts in order to reduce the time and costs of an engineering project. A dedicated process entity will be proposed to an engineering division to manage cybersecurity processes.</t>
  </si>
  <si>
    <t>10.3390/en14133816</t>
  </si>
  <si>
    <t>Nandkeolyar, S; Ray, PK</t>
  </si>
  <si>
    <t>Nandkeolyar, Shobhit; Ray, Pravat Kumar</t>
  </si>
  <si>
    <t>Identifying households with electrical vehicle for demand response participation</t>
  </si>
  <si>
    <t>Demand response; Demand side management; Electric vehicle; EV charging; Hidden Markov Model; Machine learning; Smart grid</t>
  </si>
  <si>
    <t>Due to a surge in the usage of Electric Vehicles (EV), the burden on the power grid utilities have increased in the recent past. But the time-shiftable nature of the charging process of these EVs allow them to participate in Demand Response Programs (DRP) which offers a whole new dimension of flexibility in a Power system. In order to identify the availability of EV in a household, the grid operator can employ the concerned household's consumption data that is available through the smart meter installed there. A Hidden Markov Model (HMM) based approach similar to Machine Learning has been proposed in this paper for identifying houses with EV. For operational purpose, this algorithm helps in desegregation of EV charging from smart meter's energy consumption data along with the determination of their charging/discharging state, and SOC estimation. This has been done in a non-intrusive way and is aimed towards the identification of time-flexible or shiftable loads for Demand Response (DR) participation. Data from the smart meters of over 1000 households have been taken into account at different sampling frequencies. Several of these households have also incorporated roof top PV to make them self-reliant. The practicality of the proposed approach is ascertained by the simulation results that are based on real-world situations. An error analysis has been performed to observe the effectiveness of this method. The scope of participation for the identified EVs in DR programs has been discussed in the end.</t>
  </si>
  <si>
    <t>10.1016/j.epsr.2022.107909</t>
  </si>
  <si>
    <t>Li, HP; Wan, ZQ; He, HB</t>
  </si>
  <si>
    <t>Li, Hepeng; Wan, Zhiqiang; He, Haibo</t>
  </si>
  <si>
    <t>Constrained EV Charging Scheduling Based on Safe Deep Reinforcement Learning</t>
  </si>
  <si>
    <t>Electric vehicle charging; Schedules; Real-time systems; Scheduling; Batteries; Reinforcement learning; Neural networks; Constrained Markov decision process; safe deep reinforcement learning; model-free; EV charging scheduling</t>
  </si>
  <si>
    <t>ELECTRIC VEHICLES; DEMAND RESPONSE; ENERGY; SMART; MODEL</t>
  </si>
  <si>
    <t>Electric vehicles (EVs) have been popularly adopted and deployed over the past few years because they are environment-friendly. When integrated into smart grids, EVs can operate as flexible loads or energy storage devices to participate in demand response (DR). By taking advantage of time-varying electricity prices in DR, the charging cost can be reduced by optimizing the charging/discharging schedules. However, since there exists randomness in the arrival and departure time of an EV and the electricity price, it is difficult to determine the optimal charging/discharging schedules to guarantee that the EV is fully charged upon departure. To address this issue, we formulate the EV charging/discharging scheduling problem as a constrained Markov Decision Process (CMDP). The aim is to find a constrained charging/discharging scheduling strategy to minimize the charging cost as well as guarantee the EV can be fully charged. To solve the CMDP, a model-free approach based on safe deep reinforcement learning (SDRL) is proposed. The proposed approach does not require any domain knowledge about the randomness. It directly learns to generate the constrained optimal charging/discharging schedules with a deep neural network (DNN). Unlike existing reinforcement learning (RL) or deep RL (DRL) paradigms, the proposed approach does not need to manually design a penalty term or tune a penalty coefficient. Numerical experiments with real-world electricity prices demonstrate the effectiveness of the proposed approach.</t>
  </si>
  <si>
    <t>10.1109/TSG.2019.2955437</t>
  </si>
  <si>
    <t>Bian, DS; Kuzlu, M; Pipattanasomporn, M; Rahman, S; Shi, D</t>
  </si>
  <si>
    <t>Bian, Desong; Kuzlu, Murat; Pipattanasomporn, Manisa; Rahman, Saifur; Shi, Di</t>
  </si>
  <si>
    <t>Performance evaluation of communication technologies and network structure for smart grid applications</t>
  </si>
  <si>
    <t>IET COMMUNICATIONS</t>
  </si>
  <si>
    <t>power distribution faults; power distribution reliability; smart power grids; electric vehicles; performance evaluation; network structure; smart grid applications; effective communication network; reliable communication network; appropriate communication technologies; advanced metring infrastructure; smart grid functions; smart metring; electric vehicle charging; discharging applications; selected communication technologies</t>
  </si>
  <si>
    <t>DEMAND RESPONSE; AMI; MANAGEMENT; SYSTEM</t>
  </si>
  <si>
    <t>The design of an effective and reliable communication network supporting smart grid applications requires the selection of appropriate communication technologies and protocols. The objective of this study is to study and quantify the capabilities of an advanced metring infrastructure (AMI) to support the simultaneous operation of major smart grid functions. These include smart metring, price-induced controls, distribution automation, demand response, and electric vehicle charging/discharging applications in terms of throughput and latency. OPNET is used to simulate the performance of selected communication technologies and protocols. Research findings indicate that smart grid applications can operate simultaneously by piggybacking on an existing AMI infrastructure and still achieve their latency requirements.</t>
  </si>
  <si>
    <t>MAY 14</t>
  </si>
  <si>
    <t>10.1049/iet-com.2018.5408</t>
  </si>
  <si>
    <t>Lo Franco, F; Mandrioli, R; Ricco, M; Monteiro, V; Monteiro, LFC; Afonso, JL; Grandi, G</t>
  </si>
  <si>
    <t>Lo Franco, Francesco; Mandrioli, Riccardo; Ricco, Mattia; Monteiro, Vitor; Monteiro, Luis F. C.; Afonso, Joao L.; Grandi, Gabriele</t>
  </si>
  <si>
    <t>Electric Vehicles Charging Management System for Optimal Exploitation of Photovoltaic Energy Sources Considering Vehicle-to-Vehicle Mode</t>
  </si>
  <si>
    <t>electric vehicles; smart charging; vehicle-to-vehicle (V2V); renewable energy source (RES); state of charge (SOC); photovoltaic (PV); parking lot charging station; charging management system (CMS)</t>
  </si>
  <si>
    <t>OPTIMIZATION MODEL; LOAD</t>
  </si>
  <si>
    <t>The growing penetration of distributed renewable energy sources (RES) together with the increasing number of new electric vehicle (EV) model registrations is playing a significant role in zero-carbon energy communities' development. However, the ever-larger share of intermittent renewable power plants, combined with the high and uncontrolled aggregate EV charging demand, requires an evolution toward new planning and management paradigms of energy districts. Thus, in this context, this paper proposes novel smart charging (SC) techniques that aim to integrate as much as possible RES generation and EV charging demand at the local level, synergically acting on power flows and avoiding detrimental effects on the electrical power system. To make this possible, a centralized charging management system (CMS) capable of individually modulating each charging power of plugged EVs is presented in this paper. The CMS aims to maximize the charging self-consumption from local RES, flattening the peak power required to the external grid. Moreover, the CMS guarantees an overall good state of charge (SOC) at departure time for all the vehicles without requiring additional energy from the grid even under low RES power availability conditions. Two methods that differ as a function of the EV power flow direction are proposed. The first SC only involves unidirectional power flow, while the second one also considers bidirectional power flow among vehicles, operating in vehicle-to-vehicle (V2V) mode. Finally, simulations, which are presented considering an actual case study, validate the SC effects on a reference scenario consisting of an industrial area having a photovoltaic (PV) plant, non-modulable electrical loads, and EV charging stations (CS). Results are collected and performance improvements by operating the different SC methods are compared and described in detail in this paper.</t>
  </si>
  <si>
    <t>NOV 8</t>
  </si>
  <si>
    <t>10.3389/fenrg.2021.716389</t>
  </si>
  <si>
    <t>Lv, S; Wei, ZN; Sun, GQ; Chen, S; Zang, HX</t>
  </si>
  <si>
    <t>Lv, Si; Wei, Zhinong; Sun, Guoqiang; Chen, Sheng; Zang, Haixiang</t>
  </si>
  <si>
    <t>Optimal Power and Semi-Dynamic Traffic Flow in Urban Electrified Transportation Networks</t>
  </si>
  <si>
    <t>Numerical models; Mathematical model; Roads; Vehicle dynamics; Electric vehicle charging; Electric vehicle (EV); dynamic wireless charging; McCormick envelope; convex hull; second-order cone; optimization-based bound tightening (OBBT); distribution network; transportation network; coordinated operation</t>
  </si>
  <si>
    <t>GLOBAL OPTIMIZATION; MODEL RELAXATIONS; ASSIGNMENT; VEHICLES; EQUILIBRIUM; ELECTRICITY; PROGRAMS</t>
  </si>
  <si>
    <t>The increasing penetration of electric vehicles (EVs) and emerging dynamic wireless charging techniques have strengthened the coupling between traffic networks and power distribution networks. This increased coupling necessitates greater coordination between the two networks. This paper proposes a multi-period optimal traffic and power flow model that considers time-varying electricity and traffic demands. The distribution of traffic flow is represented by a semi-dynamic traffic assignment (SDTA) model, which considers flow propagation between adjacent periods. Combined second-order cone, convex hull, and McCormick envelope relaxations are employed to convexify the power and traffic flow model. Optimization-based bound tightening (OBBT) method combined with a heuristic sequential bound tightening (SBT) method is employed to improve the tightness of the relaxation. The modeling of multi-period scheduling provided by the SDTA model is thoroughly compared with that provided by the conventional static traffic assignment model. In addition, the proposed traffic and power flow model is employed to conduct congestion analysis of the coupled networks. Numerical results on two test systems demonstrate both the spatial and temporal impacts of congestion on each of the coupled networks. Moreover, numerical results verify that the proposed OBBT-SBT-based convex relaxation is sufficiently tight.</t>
  </si>
  <si>
    <t>10.1109/TSG.2019.2943912</t>
  </si>
  <si>
    <t>Yuan, YL; Jiao, L; Zhu, KL; Zhang, L</t>
  </si>
  <si>
    <t>Yuan, Yulan; Jiao, Lei; Zhu, Konglin; Zhang, Lin</t>
  </si>
  <si>
    <t>Scheduling Online EV Charging Demand Response via V2V Auctions and Local Generation</t>
  </si>
  <si>
    <t>Generators; Charging stations; Electric vehicle charging; Power system dynamics; Load management; Vehicle dynamics; Heuristic algorithms; EV charging; online scheduling; demand response; vehicle to vehicle; auction</t>
  </si>
  <si>
    <t>ELECTRIC VEHICLES; INCENTIVES; MECHANISMS</t>
  </si>
  <si>
    <t>Due to the enormous energy consumption and the wide geographic distribution, Electrical Vehicle (EV) charging stations are believed to have great potential in Emergency Demand Response (EDR) participation. However, EDR limits the electricity drawn from the power grid by the charging station, and can pose threats to satisfying EVs' charging demand. In this paper, in order to complement the charging station's energy supply to meet the dynamic EV charging demand, we formulate an online EV charging scheduling problem under EDR as a non-linear mixed-integer program, and propose a novel polynomial-time online algorithm and auction mechanism to jointly incentivize EVs with energy to sell their energy and utilize the charging station's local generator to produce energy. Our approach conducts an auction in each single round based on a primal-dual method and ties these auctions over time to optimize the system's long-term social cost, while accommodating the local generator' on/off-state control, each EV bidder's cumulative energy budget constraint, and the power grid's EDR energy cap. Our approach achieves the economic properties of truthfulness, individual rationality, and computational efficiency simultaneously for each auction, and a parameterized-constant competitive ratio for the long-term social cost. By rigorous theoretical analysis and trace-driven experimental studies, the results exhibit that our approach outperforms multiple alternative algorithms regarding the social cost, attains the economic properties, and also executes efficiently in practice.</t>
  </si>
  <si>
    <t>10.1109/TITS.2021.3103970</t>
  </si>
  <si>
    <t>Zhou, X; Zou, SL; Wang, P; Ma, ZJ</t>
  </si>
  <si>
    <t>Zhou, Xu; Zou, Suli; Wang, Peng; Ma, Zhongjing</t>
  </si>
  <si>
    <t>Voltage regulation in constrained distribution networks by coordinating electric vehicle charging based on hierarchical ADMM</t>
  </si>
  <si>
    <t>optimisation; iterative methods; battery powered vehicles; electric vehicles; distribution networks; voltage regulation; constrained distribution networks; electric vehicle; hierarchical ADMM; charging coordination; large-scale electric vehicles; feasible ranges; optimisation problems; coupled constraints; alternating direction method; optimal charging strategies; nonseparable property; objective function; nonlinear term; total charging power; EV populations; update step; charging strategy; ADMM method; hierarchical method; iterative update; individual EVs</t>
  </si>
  <si>
    <t>DEMAND RESPONSE; DISTRIBUTION-SYSTEMS; MANAGEMENT; POWER; LOAD; OPTIMIZATION; IMPACT</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</si>
  <si>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t>
  </si>
  <si>
    <t>SEP 4</t>
  </si>
  <si>
    <t>10.1049/iet-gtd.2020.0415</t>
  </si>
  <si>
    <t>Sun, SY; Yang, Q; Yan, WJ</t>
  </si>
  <si>
    <t>Sun, Siyang; Yang, Qiang; Yan, Wenjun</t>
  </si>
  <si>
    <t>Optimal temporal-spatial PEV charging scheduling in active power distribution networks</t>
  </si>
  <si>
    <t>Plug-in electric vehicles (PEVs); Energy storage; Distribution generators (DGs); Charging demand; Charging scheduling strategy; Active power distribution networks; Real-time pricing (RTP)</t>
  </si>
  <si>
    <t>BackgroundThe increasing penetration of a massive number of plug-in electric vehicles (PEVs) and distributed generators (DGs) into current power distribution networks imposes obvious challenges on power distribution network operation.MethodsThis paper presents an optimal temporal-spatial scheduling strategy of PEV charging demand in the presence of DGs. The solution is designed to ensure the reliable and secure operation of the active power distribution networks, the randomness introduced by PEVs and DGs can be managed through the appropriate scheduling of the PEV charging demand, as the PEVs can be considered as mobile energy storage units.ResultsAs a result, the charging demands of PEVs are optimally scheduled temporally and spatially, which can improve the DG utilization efficiency as well as reduce the charging cost under real-time pricing (RTP).ConclusionsThe proposed scheduling strategy is evaluated through a series of simulations and the numerical results demonstrate the effectiveness and the benefits of the proposed solution.</t>
  </si>
  <si>
    <t>SEP 19</t>
  </si>
  <si>
    <t>10.1186/s41601-017-0065-x</t>
  </si>
  <si>
    <t>Zhang, JL; Pei, YQ; Shen, JM; Wang, LL; Ding, T</t>
  </si>
  <si>
    <t>Zhang, Jialei; Pei, Yunqing; Shen, Jiaming; Wang, Laili; Ding, Tao</t>
  </si>
  <si>
    <t>Optimal charging strategy for electric vehicles using symbolic-graphic combination principle</t>
  </si>
  <si>
    <t>bin packing; power grids; optimisation; electric vehicles; scheduling; battery powered vehicles; genetic algorithms; battery chargers; optimal charging strategy; electric vehicles; symbolic-graphic combination principle; reliable technical support; increasing electric vehicle penetration; charging strategies; current EV charger technology; charging start time; time instant; valley-filling charging problem; rectangle packing problem; valley-filling problem; load valley; valley-filling effect; Zero-Gap Lowest Horizontal line algorithm</t>
  </si>
  <si>
    <t>STRIP PACKING PROBLEM; HYBRID; TECHNOLOGIES; IMPACTS</t>
  </si>
  <si>
    <t>To provide reliable technical support for the power grid to accommodate the increasing electric vehicle (EV) penetration, various charging strategies have been studied in the literature. Considering the difficulties of the device-level implementation and the limitations of the current EV charger technology, this study focuses on co-ordinating the charging start time (i.e. the time instant when each EV starts charging). To avoid excessive reduction of the adjustable range of the charging start time, this study applies a symbolic-graphic combination principle to address this problem. This involves formulating the valley-filling charging problem as a rectangle packing problem, which is equivalent to divide the valley-filling problem into two sub-problems: filling the load valley and optimising the valley-filling effect. Furthermore, a Zero-Gap Lowest Horizontal line (ZGLH) algorithm is proposed to fill the load valley without producing any undesirable gaps. In addition, a genetic algorithm (GA) is employed to further optimise the valley-filling effect by regulating the scheduled sequence. The proposed ZGLH algorithm can guarantee the charging start time to be continuously regulated within the controllable range rather than discretely regulated as in other works, and it does not add extra computational overhead. The effectiveness of the optimal charging strategy was quantitatively verified by several simulation cases.</t>
  </si>
  <si>
    <t>10.1049/iet-gtd.2018.6831</t>
  </si>
  <si>
    <t>Khare, V; Khare, CJ; Nema, S; Baredar, P</t>
  </si>
  <si>
    <t>Khare, Vikas; Khare, Cheshta J.; Nema, Savita; Baredar, Prashant</t>
  </si>
  <si>
    <t>Current status of electric vehicles in India: an overview</t>
  </si>
  <si>
    <t>INTERNATIONAL JOURNAL OF ELECTRIC AND HYBRID VEHICLES</t>
  </si>
  <si>
    <t>electric vehicle; government policy; environment issue; charging station; ecosystem; grid parity; forecasting; master operation scheduling; MOS; India</t>
  </si>
  <si>
    <t>In the present scenario, it is necessary to increase utilisation of new technology in the field of transportation sector. Electric vehicles or hybrid plug in electric vehicles are a very good option to conventional gasoline and diesel operated vehicles. This paper presents current infrastructure of electric vehicles in India and addresses state-wise the number of electric vehicles registered in the last 5 to 10 years. Further, Indian Government policy towards green vehicles, ecosystem of electric vehicles in terms of market, technical and infrastructure point of view is also presented. Assessment of charging framework in India and grid parity of an electric vehicle are the key points addressed in this paper.</t>
  </si>
  <si>
    <t>Sedano, J; Portal, M; Hernandez-Arauzo, A; Villar, JR; Puente, J; Varela, R</t>
  </si>
  <si>
    <t>Sedano, Javier; Portal, Miguel; Hernandez-Arauzo, Alejandro; Ramon Villar, Jose; Puente, Jorge; Varela, Ramiro</t>
  </si>
  <si>
    <t>INTELLIGENT SYSTEM FOR ELECTRIC VEHICLE CHARGING: DESIGN AND OPERATION</t>
  </si>
  <si>
    <t>electronics design; recharge in electric vehicle; charging stations; Job Scheduling; case base reasoning; computer applications; power distribution</t>
  </si>
  <si>
    <t>The achievement of sustainable transport systems by means of sustainable vehicles that use alternative fuels, such as electrical vehicles, entails the necessity of designing and developing a suitable infrastructure, capable of providing charging services for those vehicles. This infrastructure will require management and will also open up a new range of services and new business opportunities. This paper presents an innovative and comprehensive Soft Computing system that enables charging electrical vehicles in parking areas and collective garages and that features charge Scheduling and users' usage and charge pattern recognition by means of sets of rules and reasoning systems. Experimentation and testing were based on charging actual electrical vehicles in several charging modes.</t>
  </si>
  <si>
    <t>NOV-DEC</t>
  </si>
  <si>
    <t>10.6036/5788</t>
  </si>
  <si>
    <t>Burra, R; Singh, C; Kuri, J</t>
  </si>
  <si>
    <t>Burra, Ramya; Singh, Chandramani; Kuri, Joy</t>
  </si>
  <si>
    <t>Service Scheduling for Random Requests With Deadlines and Linear Waiting Costs</t>
  </si>
  <si>
    <t>IEEE TRANSACTIONS ON NETWORK SCIENCE AND ENGINEERING</t>
  </si>
  <si>
    <t>Processor scheduling; Optimal scheduling; Markov processes; Electric vehicle charging; Convex functions; Nash equilibrium; Dynamic scheduling; Service Scheduling; Linear waiting costs; Quadratic service cost; Markov Decision Process</t>
  </si>
  <si>
    <t>We study service scheduling problems in a slotted system where jobs arrive according to a Bernoulli process and leave within two slots after arrival. Service costs are quadratic in service rates, and there is also a linear waiting cost. We frame the problems as average cost Markov decision processes. While the studied system is a linear system with quadratic costs, it has state-dependent control and a non-standard cost function structure, rendering the optimization problem complex. We obtain explicit optimal policies in the case when all the jobs are of the same size. In particular, we show that the optimal policy is linear or piece-wise linear in the system state, depending on the system parameters. We then consider a scenario where each service request comes from a rational agent interested in optimizing his/her service and waiting cost, and we obtain a symmetric Nash equilibrium. We extend our study to a scenario where job sizes can take distinct values, and job arrivals constitute a Markov chain. Here, we provide an algorithm that yields the optimal policy, but it is of exponential complexity. Finally, we propose an approximate policy of linear complexity for general job size distributions and derive its performance bound.</t>
  </si>
  <si>
    <t>JUL-SEP</t>
  </si>
  <si>
    <t>10.1109/TNSE.2021.3091763</t>
  </si>
  <si>
    <t>Qiu, YL; Wang, YD; Iseki, H; Shen, XC; Xing, B; Zhang, HM</t>
  </si>
  <si>
    <t>Qiu, Yueming Lucy; Wang, Yi David; Iseki, Hiroyuki; Shen, Xingchi; Xing, Bo; Zhang, Huiming</t>
  </si>
  <si>
    <t>Empirical grid impact of in-home electric vehicle charging differs from predictions</t>
  </si>
  <si>
    <t>RESOURCE AND ENERGY ECONOMICS</t>
  </si>
  <si>
    <t>Electric vehicle; In-home charging; Difference-in-differences; High-frequency smart meter data; Social and private benefits</t>
  </si>
  <si>
    <t>EFFICIENCY; DEMAND</t>
  </si>
  <si>
    <t>Accurate assessment of the impact of electric vehicle (EV) charging on the electric grid is critical for energy policymakers to design efficient EV subsidy programs as well as to provide reliable electricity infrastructure. Despite the fact that 80 % of EV charging is conducted with residential in-home chargers, very few empirical studies have examined the load and environmental impact of residential EV charging based on actual electricity consumption data. Our paper fills this critical gap in the literature, applying a difference-in-differences approach to high frequency smart meter data of about 1600 EV homes from 2014 to 2019 in Arizona, United States. First, we find that the electricity demand during the system peak hours from 6 to 8 pm in summer can increase by 7-14 % at an average household with in-home EV charging. Second, EV households respond to electricity pricing signals by increasing their charging in lower-priced off-peak hours within the EV-specific time-of-use (TOU) pricing. Third, we find evidence of rebound effects in driving that lead to a reduction in home-electricity consumption in certain hours of the day. Lastly, we show that our empirical estimation of the grid impact due to in-home EV charging is different from that predicted by existing simulation models due to factors such as consumer behaviors. Such deviations between predicted and actual behaviors imply potential adjustment of relevant policy interventions. (c) 2021 Elsevier B.V. All rights reserved.</t>
  </si>
  <si>
    <t>10.1016/j.reseneeco.2021.101275</t>
  </si>
  <si>
    <t>Vermeer, W; Mouli, GRC; Bauer, P</t>
  </si>
  <si>
    <t>Vermeer, Wiljan; Chandra Mouli, Gautham Ram; Bauer, Pavol</t>
  </si>
  <si>
    <t>Real-Time Building Smart Charging System Based on PV Forecast and Li-Ion Battery Degradation</t>
  </si>
  <si>
    <t>smart charging; electric vehicle; vehicle to grid; V2G; battery degradation; Li-ion; real-time; moving horizon window</t>
  </si>
  <si>
    <t>ENERGY MANAGEMENT-SYSTEM; ELECTRIC VEHICLES; DEMAND RESPONSE; STORAGE; OPTIMIZATION</t>
  </si>
  <si>
    <t>This paper proposes a two-stage smart charging algorithm for future buildings equipped with an electric vehicle, battery energy storage, solar panels, and a heat pump. The first stage is a non-linear programming model that optimizes the charging of electric vehicles and battery energy storage based on a prediction of photovoltaic (PV) power, building demand, electricity, and frequency regulation prices. Additionally, a Li-ion degradation model is used to assess the operational costs of the electric vehicle (EV) and battery. The second stage is a real-time control scheme that controls charging within the optimization time steps. Finally, both stages are incorporated in a moving horizon control framework, which is used to minimize and compensate for forecasting errors. It will be shown that the real-time control scheme has a significant influence on the obtained cost reduction. Furthermore, it will be shown that the degradation of an electric vehicle and battery energy storage system are non-negligible parts of the total cost of energy. However, despite relatively high operational costs, V2G can still be cost-effective when controlled optimally. The proposed solution decreases the total cost of energy with 98.6% compared to an uncontrolled case. Additionally, the financial benefits of vehicle-to-grid and operating as primary frequency regulation reserve are assessed.</t>
  </si>
  <si>
    <t>10.3390/en13133415</t>
  </si>
  <si>
    <t>Luo, ZW; Hu, ZC; Song, YH; Xu, ZW; Lu, HY</t>
  </si>
  <si>
    <t>Luo, Zhuowei; Hu, Zechun; Song, Yonghua; Xu, Zhiwei; Lu, Haiyan</t>
  </si>
  <si>
    <t>Optimal Coordination of Plug-In Electric Vehicles in Power Grids With Cost-Benefit Analysis-Part I: Enabling Techniques</t>
  </si>
  <si>
    <t>Coordinated charging; cost-benefit analysis; Latin hypercube sampling method; plug-in electric vehicle/s (PEV/s); vehicle to grid (V2G)</t>
  </si>
  <si>
    <t>Plug-in electric vehicles (PEVs) appear to offer a promising option for mitigating greenhouse emission. However, uncoordinated PEV charging can weaken the reliability of power systems. The proper accommodation of PEVs in a power grid imposes many challenges on system planning and operations. This work aims to investigate optimal PEV coordination strategies with cost-benefit analysis. In Part I, we first present a new method to calculate the charging load of PEVs with a modified Latin hypercube sampling (LHS) method for handling the stochastic property of PEVs. We then propose a new two-stage optimization model to discover the optimal charging states of PEVs in a given day. Using this model, the peak load with charging load of PEVs is minimized in the first stage and the load fluctuation is minimized in the second-stage with peak load being fixed as the value obtained in the first stage. An algorithm based on linear mixed-integer programming is provided as a suitable solution method with fast computation. Finally, we present a new method to calculate the benefit and cost for a PEV charging and discharging coordination strategy from a social welfare approach. These methods are useful for developing PEV coordination strategies in power system planning and supporting PEV-related policy making.</t>
  </si>
  <si>
    <t>10.1109/TPWRS.2013.2262318</t>
  </si>
  <si>
    <t>Liu, Y; Deng, RL; Liang, H</t>
  </si>
  <si>
    <t>Liu, Yuan; Deng, Ruilong; Liang, Hao</t>
  </si>
  <si>
    <t>A Stochastic Game Approach for PEV Charging Station Operation in Smart Grid</t>
  </si>
  <si>
    <t>Charging station; Nash equilibrium; plugin electric vehicle (PEV); real time pricing (RTP); smart grid; stochastic game (SG)</t>
  </si>
  <si>
    <t>DEMAND-SIDE MANAGEMENT; POWER-FLOW; ELECTRICITY; VEHICLES; STRATEGY</t>
  </si>
  <si>
    <t>In the future, smart grid charging stations will be critical infrastructures for plug-in electric vehicle (PEV) to replenish their batteries in a convenient way. Due to the ever-increasing penetration rate of PEVs, how to efficiently manage the loads of PEV charging stations to ensure system efficiency and reliability is amajor challenge faced by the distribution service providers (DSPs) in the smart grid. This challenge is further complicated by the highly dynamic PEV mobility, which results in random PEV arrivals, departures, and charging demands. In order to address this challenge, a stochastic game approach is proposed in this paper to characterize the interactions among DSP, charging stations, and PEV owners, where the randomness in charging decision making processes of PEV owners is modeled by a Markov decision process. Based on the Nash equilibrium solution of the stochastic game, a real time pricing scheme is proposed for the DSP to minimize power distribution losses while ensuring system reliability. The performance of the proposed approach is evaluated via extensive simulations based on the IEEE 123 bus test feeder with real vehicle mobility data fromthe 2009 National Household Travel Survey and the 2010 National Travel Survey.</t>
  </si>
  <si>
    <t>10.1109/TII.2017.2781226</t>
  </si>
  <si>
    <t>El-Taweel, NA; Farag, H; Shaaban, MF; AlSharidah, ME</t>
  </si>
  <si>
    <t>El-Taweel, Nader A.; Farag, Hany; Shaaban, Mostafa F.; AlSharidah, Michel E.</t>
  </si>
  <si>
    <t>Optimization Model for EV Charging Stations With PV Farm Transactive Energy</t>
  </si>
  <si>
    <t>Electric vehicle charging; Costs; Batteries; Transactive energy; Renewable energy sources; Charging stations; Power grids; Ancillary service; battery storage system (BSS); distributed electric vehicle charging stations (D-EVCSs); optimal scheduling; power purchase agreement (PPA); remote photovoltaic (PV) farm</t>
  </si>
  <si>
    <t>ELECTRICITY; STORAGE; MARKET</t>
  </si>
  <si>
    <t>This article proposes a new mathematical formulation for optimal operation scheduling for a remote photovoltaic (PV) farm and distributed electric vehicle charging stations (D-EVCSs), which are owned by a private entity. The proposed model is formulated to maximize the profit of the D-EVCSs private investor through optimal electric vehicle (EV) charging coordination and pricing mechanism. The proposed pricing mechanism aims to achieve an expected revenue by the private investor, while guaranteeing a low charging price for EVs to ensure the EV owners' satisfaction. For the EV supply application, D-EVCS integrates a battery storage system and rooftop PV. However, the rooftop PV installation is constrained to the limited footprint of the EVCS. For this reason, the investment in a remote PV farm and its impact on the expected revenue and the EVs charging price is introduced in this article. The power generated by the remote PV farm can be transacted to the D-EVCSs using a power purchase agreement through the utility grid infrastructure. In such a transaction, the electricity service and distribution fees are paid to the utility grid for overseeing the PV farm power transaction. The proposed model also considers the opportunity for D-EVCSs to participate in the provision of operating reserve and demand response ancillary services. Different case studies are evaluated for the purpose of validating the effectiveness of the proposed model.</t>
  </si>
  <si>
    <t>10.1109/TII.2021.3114276</t>
  </si>
  <si>
    <t>Islam, MR; Lu, HY; Hossain, MJ; Li, L</t>
  </si>
  <si>
    <t>Islam, Md Rabiul; Lu, Haiyan; Hossain, M. Jahangir; Li, Li</t>
  </si>
  <si>
    <t>Coordinating Electric Vehicles and Distributed Energy Sources Constrained by User's Travel Commitment</t>
  </si>
  <si>
    <t>Electric vehicle charging; Costs; Batteries; Renewable energy sources; Informatics; Current measurement; Tariffs; Distributed generation; neutral current; smart charging; travel requirement; voltage unbalance</t>
  </si>
  <si>
    <t>IMPROVING VOLTAGE; UNBALANCE; PERFORMANCE; INTEGRATION; NETWORKS; STRATEGY; LOAD</t>
  </si>
  <si>
    <t>Distributed energy sources including renewable energy (RE) sources and electric vehicle (EV) discharging offer opportunities to improve grid performance. Although uncoordinated EV charging can perfectly meet users' driving needs, it brings great challenges in maintaining the quality of low voltage (LV) distribution grids. Most existing EV control strategies do not take into account the heterogeneous nature of EV charging, including the various users' travel needs and the intermittent nature of RE sources. This article proposes a hierarchical control method that simultaneously coordinates EV charging by considering a dynamic energy tariff, RE sources, EV hardware characteristics, and particularly the EV's driving needs. The proposed local controller sends the EV's charging priority and required energy to the central controller based on the EV's hardware characteristics and users' driving needs. The central controller then uses this information along with the energy tariff from the retailer and the present grid performance to control EV's charging or discharging power. The efficacy of this hierarchical control method is evaluated using an Australian LV grid. The obtained results show that this method can reduce the neutral current and voltage imbalance with the maximized usage of renewable energy resources while the EV users' driving needs are met.</t>
  </si>
  <si>
    <t>10.1109/TII.2021.3125462</t>
  </si>
  <si>
    <t>Restrepo, M; Morris, J; Kazerani, M; Canizares, CA</t>
  </si>
  <si>
    <t>Restrepo, Mauricio; Morris, Jordan; Kazerani, Mehrdad; Canizares, Claudio A.</t>
  </si>
  <si>
    <t>Modeling and Testing of a Bidirectional Smart Charger for Distribution System EV Integration</t>
  </si>
  <si>
    <t>Charging control; distribution networks; electric vehicle (EV); EV charger modeling; smart battery charger; vehicle-to-grid (V2G)</t>
  </si>
  <si>
    <t>REACTIVE POWER; ELECTRIC VEHICLES; CONVERTERS</t>
  </si>
  <si>
    <t>This paper proposes a model of a single-phase bidirectional electric vehicle (EV) charger with capability of operating in all four quadrants of the P-Q plane. The steady-state and step responses of the proposed model are used to validate it based on the actual responses of a bidirectional charger prototype for different P-Q requests. The model can be used efficiently in time-domain simulations that require models of a number of EV chargers, such as EV integration studies in low-voltage (LV) distribution networks. A practical case study is presented to demonstrate and test the proposed smart charger and model, investigating the provision of vehicle-to-grid (V2G) for active and reactive power in an LV residential distribution network. These results demonstrate the advantages of the presented charger model for developing V2G strategies in distribution networks.</t>
  </si>
  <si>
    <t>10.1109/TSG.2016.2547178</t>
  </si>
  <si>
    <t>Bhatti, G; Mohan, H; Singh, RR</t>
  </si>
  <si>
    <t>Bhatti, Ghanishtha; Mohan, Harshit; Singh, R. Raja</t>
  </si>
  <si>
    <t>Towards the future of smart electric vehicles: Digital twin technology</t>
  </si>
  <si>
    <t>Digital twin; Smart electric vehicles; IoT; Vehicle health monitoring; Battery management system; Intelligent charging; Power converter; Sustainable transportation</t>
  </si>
  <si>
    <t>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 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</si>
  <si>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10.1016/j.rser.2021.110801</t>
  </si>
  <si>
    <t>Momber, I; Siddiqui, A; San Roman, TG; Soder, L</t>
  </si>
  <si>
    <t>Momber, Ilan; Siddiqui, Afzal; Gomez San Roman, Tomas; Soder, Lennart</t>
  </si>
  <si>
    <t>Risk Averse Scheduling by a PEV Aggregator Under Uncertainty</t>
  </si>
  <si>
    <t>Conditional value-at-risk (CVaR); optimal PEV charging schedule; plug-in electric vehicle (PEV) aggregator; risk aversion; stochastic linear programming</t>
  </si>
  <si>
    <t>RENEWABLE ENERGY-SOURCES; IN ELECTRIC VEHICLES; DIVIDED OPTIMIZATION; PARTICIPATION; MARKETS; MANAGEMENT; HYBRID; PRICE</t>
  </si>
  <si>
    <t>Research on electric power systems has considered the impact of foreseeable plug-in electric vehicle (PEV) penetration on its regulation, planning, and operation. Indeed, detailed treatment of PEV charging is necessary for efficient allocation of resources. It is envisaged that a coordinator of charging schedules, i.e., a PEV aggregator, could exercise some form of load control according to electricity market prices and network charges. In this context, it is important to consider the effects of uncertainty of key input parameters to optimization algorithms for PEV charging schedules. However, the modeling of the PEV aggregator's exposure to profit volatility has received less attention in detail. Hence, this paper develops a methodology to maximize PEV aggregator profits taking decisions in day-ahead and balancing markets while considering risk aversion. Under uncertain market prices and fleet mobility, the proposed two-stage linear stochastic program finds optimal PEV charging schedules at the vehicle level. A case study highlights the effects of including the conditional value-at-risk (CVaR) term in the objective function and calculates two metrics referred to as the expected value of aggregation and flexibility.</t>
  </si>
  <si>
    <t>10.1109/TPWRS.2014.2330375</t>
  </si>
  <si>
    <t>Ovalle, A; Fernandez, J; Hably, A; Bacha, S</t>
  </si>
  <si>
    <t>Ovalle, Andres; Fernandez, Julian; Hably, Ahmad; Bacha, Seddik</t>
  </si>
  <si>
    <t>An Electric Vehicle Load Management Application of the Mixed Strategist Dynamics and the Maximum Entropy Principle</t>
  </si>
  <si>
    <t>Distributed optimization; entropy maximization; evolutionary game theory; mixed strategist dynamics (MSD); plug-in electric vehicles (PEVs); smart charging</t>
  </si>
  <si>
    <t>TRANSPORT; RESOURCE; SYSTEMS; COST</t>
  </si>
  <si>
    <t>An application of an evolutionary game dynamics called mixed strategist dynamics (MSD), for the decentralized load scheduling of plug-in electric vehicles (PEVs), is proposed in this paper. Following an analogy with the maximum entropy principle (MEP) for tuning parameters of discrete probability distributions, entropy of the total load distribution and the local load distributions are considered as objectives of the scheduling approach, and a tradeoff among them is defined by the electric vehicle owners' convenience. While entropy maximization for the local load distributions contributes to preserve the batteries' states of health, entropy maximization for the total load distribution reduces the undesirable peak effects over the transformer loading. The problem is formulated such that final states of charge are assured depending on time constraints defined by the owners. Furthermore, mixed strategies in the MSD are defined such that they represent the vertices of the convex set of feasible load profiles which results from the constraints imposed by owners and chargers. The synergy of several PEVs is modeled as an application of the MSD in a multipopulation scenario, where the interaction among populations follows another evolutionary game dynamics called best reply (BR) dynamics. The performance of the proposed approach is tested on real data measured on a distribution transformer from the SOREA utility grid company in the region of Savoie, France.</t>
  </si>
  <si>
    <t>10.1109/TIE.2016.2516975</t>
  </si>
  <si>
    <t>Tan, XQ; Leon-Garcia, A; Wu, Y; Tsang, DHK</t>
  </si>
  <si>
    <t>Tan, Xiaoqi; Leon-Garcia, Alberto; Wu, Yuan; Tsang, Danny H. K.</t>
  </si>
  <si>
    <t>Posted-Price Retailing of Transactive Energy: An Optimal Online Mechanism Without Prediction</t>
  </si>
  <si>
    <t>Pricing; Electric vehicle charging; Power demand; Transactive energy; Companies; Uncertainty; Smart grids; Pricing; mechanism design; competitive analysis; transactive energy; smart grid</t>
  </si>
  <si>
    <t>DEMAND-SIDE MANAGEMENT; ELECTRIC VEHICLES; DESIGN</t>
  </si>
  <si>
    <t>In this paper, we study a general transactive energy (TE) retailing problem in smart grids: a TE retailer (e.g., a utility company) publishes the energy price, which may vary over time. TE customers arrive in an arbitrary manner and may choose to either purchase a certain amount of energy based on the posted price, or leave without buying. Typical examples of such a setup include a transactive electric vehicle charging platform, or a general market-based demand-side management program, etc. We consider the setting where the customer arrival information is unknown (i.e., without prediction), and focus on maximizing the social welfare of the TE system through a posted-price mechanism (PPM) that runs in an online fashion with causal information only. We quantify the performance of the proposed PPM in the competitive analysis framework, and show that our proposed PPM is optimal in the sense that no other online mechanisms can achieve a better competitive ratio. We evaluate our theoretic results for the case of transactive electric vehicle charging. Our extensive experimental results show that the proposed PPM is competitive and robust against system uncertainties, and outperforms several existing benchmarks.</t>
  </si>
  <si>
    <t>10.1109/JSAC.2019.2951930</t>
  </si>
  <si>
    <t>Louie, HM</t>
  </si>
  <si>
    <t>Louie, Henry M.</t>
  </si>
  <si>
    <t>Probabilistic Modeling and Statistical Analysis of Aggregated Electric Vehicle Charging Station Load</t>
  </si>
  <si>
    <t>charging stations; electric vehicles; goodness-of-fit; load duration curve; probabilistic modeling; smart grid; time-of-use pricing</t>
  </si>
  <si>
    <t>DEMAND; PLUG</t>
  </si>
  <si>
    <t>The number of electric vehicles is increasing worldwide. The charging of a single electric vehicle can draw several kilowatts of power, and the aggregate effects of charging thousands of electric vehicles on electric power system infrastructure, operation, and planning must be considered. An important tool in studying the integration of electric vehicles and developing associated technologies and controls within the framework of the smart grid are probabilistic models of charging station load. This article identifies, evaluates, and proposes probabilistic models and analyzes the statistical characteristics of aggregated electric vehicle charging station load. A data-driven approach is taken, using measured time-stamped power consumption from charging stations to formulate and evaluate suitable parametric probabilistic models. The influence of time-of-use pricing on electric vehicle charging station load characteristics is also examined. Two data setsone from Washington State, the other from San Diego, CAeach covering over 2 years, are used to create the models.</t>
  </si>
  <si>
    <t>DEC 14</t>
  </si>
  <si>
    <t>10.1080/15325008.2015.1080770</t>
  </si>
  <si>
    <t>Canizes, B; Soares, J; Vale, Z; Corchado, JM</t>
  </si>
  <si>
    <t>Canizes, Bruno; Soares, Joao; Vale, Zita; Corchado, Juan M.</t>
  </si>
  <si>
    <t>Optimal Distribution Grid Operation Using DLMP-Based Pricing for Electric Vehicle Charging Infrastructure in a Smart City</t>
  </si>
  <si>
    <t>charging behaviors; distribution locational marginal pricing; distribution networks; electric mobility; electric vehicle; operation; reconfiguration; renewable energy sources; smart city; smart grid</t>
  </si>
  <si>
    <t>DISTRIBUTION-SYSTEMS; NETWORK RECONFIGURATION; HIGH PENETRATION; LOSS REDUCTION; POWER-QUALITY; IMPACT; GENERATION; MANAGEMENT; CONGESTION; ALLOCATION</t>
  </si>
  <si>
    <t>The use of electric vehicles (EVs) is growing in popularity each year, and as a result, considerable demand increase is expected in the distribution network (DN). Additionally, the uncertainty of EV user behavior is high, making it urgent to understand its impact on the network. Thus, this paper proposes an EV user behavior simulator, which operates in conjunction with an innovative smart distribution locational marginal pricing based on operation/reconfiguration, for the purpose of understanding the impact of the dynamic energy pricing on both sides: the grid and the user. The main goal, besides the distribution system operator (DSO) expenditure minimization, is to understand how and to what extent dynamic pricing of energy for EV charging can positively affect the operation of the smart grid and the EV charging cost. A smart city with a 13-bus DN and a high penetration of distributed energy resources is used to demonstrate the application of the proposed models. The results demonstrate that dynamic energy pricing for EV charging is an efficient approach that increases monetary savings considerably for both the DSO and EV users.</t>
  </si>
  <si>
    <t>FEB 2</t>
  </si>
  <si>
    <t>10.3390/en12040686</t>
  </si>
  <si>
    <t>Tajeddini, MA; Kebriaei, H</t>
  </si>
  <si>
    <t>Tajeddini, Mohammad Amin; Kebriaei, Hamed</t>
  </si>
  <si>
    <t>A Mean-Field Game Method for Decentralized Charging Coordination of a Large Population of Plug-in Electric Vehicles</t>
  </si>
  <si>
    <t>Decentralized mean-field charging coordination; plug-in electric vehicle (PEV); state of charge (SoC); state of health (SoH)</t>
  </si>
  <si>
    <t>RENEWABLE ENERGY; HYBRID; MANAGEMENT</t>
  </si>
  <si>
    <t>This paper develops a decentralized competitive charging coordination algorithm for a large population of plug-in electric vehicles (PEVs) using the concept of a mean-field (MF) game. The aim of each PEV is to find its optimal charging strategy by minimizing an objective function consisting of charging cost, battery degradation cost, and benefit from charging, subject to the input and state constraints. The strategy of a PEV affects the objective functions of other PEVs through the electricity price, and therefore, we can model the interactions among PEVs as a game problem. No information exchange is considered among the PEVs. Each PEV only sends its own control action value to a population coordinator, and the coordinator just broadcasts a common signal to all the PEVs. This common signal is an estimate of the average control actions of PEVs and is called the MF term. Utilizing an adjustment mechanism for theMF term, a decentralized MF-optimal control algorithm is proposed, and it is shown that the algorithm converges to the epsilon(N) - Nash equilibrium point of the game, with eN uniformly converging to zero as the population sizes of the PEVs go to infinity. Simulation results and comparison with other methods are performed to clarify the advantages of the proposed method.</t>
  </si>
  <si>
    <t>10.1109/JSYST.2018.2855971</t>
  </si>
  <si>
    <t>Xiang, Y; Hu, S; Liu, YB; Zhang, X; Liu, JY</t>
  </si>
  <si>
    <t>Xiang, Yue; Hu, Shuai; Liu, Youbo; Zhang, Xin; Liu, Junyong</t>
  </si>
  <si>
    <t>Electric vehicles in smart grid: a survey on charging load modelling</t>
  </si>
  <si>
    <t>battery powered vehicles; smart power grids; large-scale charging load; EV charging control; EVs' charging load; existing EV charging load modelling methods; scale EV evolution model; electric vehicles; smart grid initiatives; power grid safety; power grid reliability</t>
  </si>
  <si>
    <t>SCALE EVOLUTION; POWER-SYSTEMS; DEMAND; OPTIMIZATION; INTEGRATION; PROFILE; IMPACT; ENERGY</t>
  </si>
  <si>
    <t>Electric vehicles (EVs) have been rapidly developed during the last few years due to the low-carbon industry and smart grid initiatives. Meanwhile, the impact of large-scale EVs' integration on the reliability and safety of power grids is becoming increasingly prominent. To address and solve these problems, challenges on EV charging control have been presented. Besides, the EV charging load modelling with improved accuracy and rationality is required. To investigate the influencing factors of EV charging load, this survey summarises the existing EV charging load modelling methods. In addition, a new research framework for a scale EV evolution model of charging load is proposed, with an emphasis on reducing the deficiencies of the existing research in dealing with the EV scale development. Moreover, the future research prospect of EV charging load modelling on power system planning, operation, and market design has also been discussed.</t>
  </si>
  <si>
    <t>10.1049/iet-stg.2018.0053</t>
  </si>
  <si>
    <t>Ferro, G; Minciardi, R; Parodi, L; Robba, M</t>
  </si>
  <si>
    <t>Ferro, Giulio; Minciardi, Riccardo; Parodi, Luca; Robba, Michela</t>
  </si>
  <si>
    <t>Optimal Planning of Charging Stations in Coupled Transportation and Power Networks Based on User Equilibrium Conditions</t>
  </si>
  <si>
    <t>IEEE TRANSACTIONS ON AUTOMATION SCIENCE AND ENGINEERING</t>
  </si>
  <si>
    <t>Cascading style sheets; Optimization; Planning; Charging stations; Mathematical model; Vehicles; Reactive power; Charging stations (CSs); electric vehicles (EVs); optimization; smart grids; traffic control; transportation</t>
  </si>
  <si>
    <t>ELECTRIC VEHICLES; LOCATION; STRATEGY; TRAVEL</t>
  </si>
  <si>
    <t>In this article, we propose a new bi-level approach for the location and sizing of charging stations (CSs) based on the integration of power distribution and traffic networks. At the lower level, the user choices and the energy demands are modeled through the user equilibrium (UE) traffic assignment conditions that are derived for the case of electric vehicles (EVs). At the higher level, an optimization problem is formalized for the optimal planning of locations, sizes, and unit prices of a set of new charging stations in a territory, which embeds the UE conditions and the power flow model as constraints. The main novelties lie in the integration of traffic and electric networks, the optimization problem formalization, and the inclusion of detailed electrical issues [such as the complete alternating current (AC) power flow equations and the modeling of CSs with different phases]. The developed model has been applied to a case study in the Genoa Municipality.</t>
  </si>
  <si>
    <t>10.1109/TASE.2021.3066001</t>
  </si>
  <si>
    <t>Islam, MR; Lu, HY; Islam, MR; Hossain, MJ; Li, L</t>
  </si>
  <si>
    <t>Islam, Md. Rabiul; Lu, Haiyan; Islam, Md. Rabiul; Hossain, M. J.; Li, Li</t>
  </si>
  <si>
    <t>An IoT- Based Decision Support Tool for Improving the Performance of Smart Grids Connected With Distributed Energy Sources and Electric Vehicles</t>
  </si>
  <si>
    <t>Electric vehicle charging; Energy loss; Batteries; Distribution networks; Voltage control; Uncertainty; Centralized control; Distributed generation; electric vehicle (EV); Internet of Things (IoT); network reliability; smart grid</t>
  </si>
  <si>
    <t>MANAGEMENT; IMPLEMENTATION; INTEGRATION; STRATEGIES; NETWORKS</t>
  </si>
  <si>
    <t>The growing penetration of distributed energy sources (DES), such as photovoltaic (PV) solar power, battery energy systems and electric vehicles (EVs) into low voltage distribution networks is creating serious challenges for distribution network operators. Uncertain nature of these DES and EV charging is a key factor to cause unbalance, which degrade network performance in terms of energy loss, voltage unbalance, and voltage profile of the distribution network, etc. Some methods were proposed to mitigate such negative impact of these uncertain DES and EV charging from both centralized and decentralized approaches by controlling charging or discharging power of EVs. However, these methods involve all active EVs to participate in coordination and this causes significant inconvenience to EV owners along with requirements of complex communication infrastructure and huge data processing overhead. This article proposes an Internet of Things -based centralized control strategy to coordinate EV and DES distribution by using the differential evolution (DE) optimization algorithm. The obtained results show that the proposed control strategy can improve network performance (voltage imbalance, neutral current, energy loss, and node voltage) significantly. In addition, the control strategy is less demanding on communication infrastructure and convenient for EV owners as well as having a lighter data processing overhead.</t>
  </si>
  <si>
    <t>JUL-AUG</t>
  </si>
  <si>
    <t>10.1109/TIA.2020.2989522</t>
  </si>
  <si>
    <t>Wu, D; Zeng, HB; Lu, C; Boulet, B</t>
  </si>
  <si>
    <t>Wu, Di; Zeng, Haibo; Lu, Chao; Boulet, Benoit</t>
  </si>
  <si>
    <t>Two-Stage Energy Management for Office Buildings With Workplace EV Charging and Renewable Energy</t>
  </si>
  <si>
    <t>Electric vehicle (EV) charging; energy management system (EMS); stochastic programming; two-stage energy scheduling; vehicle-to-building (V2B)</t>
  </si>
  <si>
    <t>ELECTRIC VEHICLES; DISTRIBUTION NETWORKS; HIGH PENETRATION; DEMAND; IMPACT; MICROGRIDS; V2G</t>
  </si>
  <si>
    <t>Workplace electric vehicle (EV) charging is now supported by more and more companies to encourage EV adoption. In the meantime, renewable energies are becoming an important power source. To participate in the day-ahead power market, decisions have to be made before knowing the actual power demand. This paper addresses the challenges of energy scheduling in office buildings integrated with photovoltaic systems and workplace EV charging. It proposes to leverage day-ahead power market and time-of-use electricity, and uses stochastic programming to address the uncertainties in EV charging demand. Two computationally efficient control algorithms, stochastic programming and load forecasting for energy management with two stages (SPLET) and sample average approximation-based SPLET, are proposed. Both algorithms contain two stages: day-ahead scheduling and real-time operation. First, they try to find the amount of power to purchase from the day-ahead power market while leveraging the flexibility of the load. Then, the real-time demand is satisfied while incorporating the uncertainties realization. Case study based on real-world data shows the proposed two algorithms could provide 7.2% and 6.9% average cost reduction, respectively. Vehicle-tobuilding and stand-alone battery system can serve as countermeasures for the mismatch between the day-ahead scheduling and real-time demand to further reduce the operation cost.</t>
  </si>
  <si>
    <t>10.1109/TTE.2017.2659626</t>
  </si>
  <si>
    <t>Qian, T; Shao, CC; Wang, XL; Shahidehpour, M</t>
  </si>
  <si>
    <t>Qian, Tao; Shao, Chengcheng; Wang, Xiuli; Shahidehpour, Mohammad</t>
  </si>
  <si>
    <t>Deep Reinforcement Learning for EV Charging Navigation by Coordinating Smart Grid and Intelligent Transportation System</t>
  </si>
  <si>
    <t>Electric vehicle charging; Roads; Navigation; Feature extraction; Uncertainty; Batteries; Intelligent transportation system; deep reinforcement learning; EV charging navigation; Markov decision process; smart grid</t>
  </si>
  <si>
    <t>VEHICLES; GAME; GO</t>
  </si>
  <si>
    <t>A coordinated operation of smart grid (SG) and intelligent transportation system (ITS) provides electric vehicle (EV) owners with a myriad of power and transportation network data for EV charging navigation. However, the optimal charging navigation would be a challenging task owing to the randomness of traffic conditions, charging prices and waiting time at EV charging station (EVCS). In this paper, we propose a deep reinforcement learning (DRL)-based EV charging navigation, aiming at minimizing the total travel time and the charging cost at EVCS. First, we utilize the deterministic shortest charging route model (DSCRM) to extract feature states out of collected stochastic data and then formulate EV charging navigation as a Markov Decision Process (MDP) with an unknown transition probability. The proposed DRL-based approach will approximate the solution, which can adaptively learn the optimal strategy without any prior knowledge of uncertainties. Case studies are carried out within a practical zone in Xi'an city, China. Numerous experimental results verity the effectiveness of the proposed approach and illustrate its adaptation to EV driver preferences. The coordination effect of SG and ITS on reducing the waiting time and the charging cost in EV charging navigations is also analyzed.</t>
  </si>
  <si>
    <t>10.1109/TSG.2019.2942593</t>
  </si>
  <si>
    <t>Collaborative multi-aggregator electric vehicle charge scheduling with PV-assisted charging stations under variable solar profiles</t>
  </si>
  <si>
    <t>photovoltaic power systems; power grids; electric vehicle charging; solar power stations; battery storage plants; power generation scheduling; profitability; power generation economics; PV-assisted charging stations; variable solar profiles; internal combustion engine vehicles; EV charging management integration; smart grid platform; PV energy; EV station; battery energy; collaborative multiaggregator electric vehicle charge scheduling; PVCS; BS; battery storage</t>
  </si>
  <si>
    <t>SYSTEM; DESIGN</t>
  </si>
  <si>
    <t>Electric vehicles (EVs) are on the path to becoming a solution to the emissions released by the internal combustion engine vehicles that are on the road. EV charging management integration requires a smart grid platform that allows for communication and control between the aggregator, consumer and grid. This study presents an operational strategy for PV-assisted charging stations (PVCSs) that allows the EV to be charged primarily by PV energy, followed by the EV station's battery storage (BS) and the grid. Multi-Aggregator collaborative scheduling is considered that includes a monetary penalty on the aggregator for any unscheduled EVs. The impact of the PVCS is compared to the case with no PV/BS is included. A variation in the PV profile is included in the evaluation to assess its impact on total profits. Profit results are compared in cases of minimum, average and maximum PV energy output. The results indicate that the inclusion of penalties due to unscheduled EVs resulted in lowered profits. Further, the profits experienced an increase as the number of EVs scheduled through PV/BS increased, implying that a lesser percentage of EVs are scheduled by the grid when a greater amount of PV and battery energy are available.</t>
  </si>
  <si>
    <t>10.1049/iet-stg.2019.0088</t>
  </si>
  <si>
    <t>Rucker, F; Merten, M; Gong, JY; Villafafila-Robles, R; Schoeneberger, I; Sauer, DU</t>
  </si>
  <si>
    <t>Ruecker, Fabian; Merten, Michael; Gong, Jingyu; Villafafila-Robles, Roberto; Schoeneberger, Ilka; Sauer, Dirk Uwe</t>
  </si>
  <si>
    <t>Evaluation of the Effects of Smart Charging Strategies and Frequency Restoration Reserves Market Participation of an Electric Vehicle</t>
  </si>
  <si>
    <t>electric vehicle; smart charging; self-consumption; self-sufficiency; aFRR; frequency restoration reserve; grid service; battery aging; prosumer; photovoltaics</t>
  </si>
  <si>
    <t>SELF-CONSUMPTION; STORAGE</t>
  </si>
  <si>
    <t>The emergence of electric vehicles offers the opportunity to decarbonize the transportation and mobility sector. With smart charging strategies and the use of electricity generated from renewable sources, electric vehicle owners can reduce their electricity bill as well as reduce their carbon footprint. We investigated smart charging strategies for electric vehicle charging at household and workplace sites with photovoltaic systems. Furthermore, we investigated the participation of an electric vehicle in the provision of positive automatic frequency restoration reserve (aFRR) in Germany from 30 October 2018 to 31 July 2019. We find that the provision of positive aFRR in Germany returns a positive net return. The positive net return is, however, not sufficient to cover the current investment cost for a necessary control unit. For home charging, we find that self-sufficiency rates of up to 48.1% and an electricity cost reduction of 17.6% for one year can be reached with unidirectional smart charging strategies. With bidirectional strategies, self-sufficiency rates of up to 56.7% for home charging and electricity cost reductions of up to 26.1% are reached. We also find that electric vehicle (EV) owners who can charge at their workplace can reduce their electricity cost further. The impact of smart charging strategies on battery aging is also discussed.</t>
  </si>
  <si>
    <t>10.3390/en13123112</t>
  </si>
  <si>
    <t>Sassi, O; Oulamara, A</t>
  </si>
  <si>
    <t>Sassi, Ons; Oulamara, Ammar</t>
  </si>
  <si>
    <t>Electric vehicle scheduling and optimal charging problem: complexity, exact and heuristic approaches</t>
  </si>
  <si>
    <t>INTERNATIONAL JOURNAL OF PRODUCTION RESEARCH</t>
  </si>
  <si>
    <t>electric vehicle; optimal charging; complexity; scheduling; mixed integer programming; greedy algorithms; maximum weight clique; minimum cost flow; experiments</t>
  </si>
  <si>
    <t>PARTICLE SWARM OPTIMIZATION; ROUTING PROBLEM; STATIONS; COST; ALGORITHMS; MANAGEMENT; LOCATION; MODEL</t>
  </si>
  <si>
    <t>This paper deals with the Electric Vehicle (EV) Scheduling and Optimal Charging Problem. More precisely, given a fleet of EVs and Combustion Engine Vehicles (CVs), a set of tours to be processed by vehicles and a charging infrastructure, the problem aims to optimise the assignment of vehicles to tours and minimise the charging cost of EVs while considering several operational constraints mainly related to chargers, electricity grid and EVs driving range. We prove that the Electric Vehicle Scheduling and Charging Problem (EVSCP) is NP-hard in the ordinary sense. We provide a mixed-integer linear programming formulation to model the EVSCP and use CPLEX to solve small and medium instances. To solve large instances, we propose two heuristics: a Sequential Heuristic (SH) and a Global Heuristic (GH). The SH considers the EVs sequentially. To each EV, it assigns a set of tours and guarantees the feasibility of a charging schedule. Then, it generates an optimal charging schedule for this EV. However, the GH computes, in the first step, a feasible assignment of tours to all EVs. In the second step, it applies a global Min-Cost-Flow-based charging algorithm to minimise the charging cost of the EVs fleet. To evaluate the efficiency of our solving approaches, computational results on a large set of real and randomly generated test instances are reported and compared.</t>
  </si>
  <si>
    <t>10.1080/00207543.2016.1192695</t>
  </si>
  <si>
    <t>Nishimwe, HLF; Yoon, SG</t>
  </si>
  <si>
    <t>Nishimwe H., Leon Fidele; Yoon, Sung-Guk</t>
  </si>
  <si>
    <t>Combined Optimal Planning and Operation of a Fast EV-Charging Station Integrated with Solar PV and ESS</t>
  </si>
  <si>
    <t>electric vehicle (EV); energy storage system (ESS); EV-charging station; optimization; power scheduling; queueing system; solar photovoltaic (PV)</t>
  </si>
  <si>
    <t>ENERGY-STORAGE SYSTEM; ELECTRIC VEHICLES; NETWORKS</t>
  </si>
  <si>
    <t>Sufficient and convenient fast-charging facilities are crucial for the effective integration of electric vehicles. To construct enough fast electric vehicle-charging stations, station owners need to earn a reasonable profit. This paper proposed an optimization framework for profit maximization, which determined the combined planning and operation of the charging station considering the vehicle arrival pattern, intermittent solar photovoltaic generation, and energy storage system management. In a planning horizon, the proposed optimization framework finds an optimal configuration of a grid-connected charging station. Besides, during the operation horizon, it determines an optimal power scheduling in the charging station. We formulated an optimization framework to maximize the expected profit of the station. Four types of costs were considered during the planning period: the investment cost, operational cost, maintenance cost, and penalties. The penalties arose from vehicle customers' dissatisfaction associated with waiting time in queues and rejection by the station. The simulation results showed the optimal investment configuration and daily power scheduling in the charging station in various environments such as the downtown, highway, and public stations. Furthermore, it was shown that the optimal configuration was different according to the environments. In addition, the effectiveness of solar photovoltaic, energy storage system, and queue management was demonstrated in terms of the optimal solution through a sensitivity analysis.</t>
  </si>
  <si>
    <t>10.3390/en14113152</t>
  </si>
  <si>
    <t>Brinkel, NBG; Schram, WL; AlSkaif, TA; Lampropoulos, I; van Sark, WGJHM</t>
  </si>
  <si>
    <t>Brinkel, N. B. G.; Schram, W. L.; AlSkaif, T. A.; Lampropoulos, I; van Sark, W. G. J. H. M.</t>
  </si>
  <si>
    <t>Should we reinforce the grid? Cost and emission optimization of electric vehicle charging under different transformer limits</t>
  </si>
  <si>
    <t>Electric vehicle smart charging; Multi-objective optimization; Vehicle-to-grid; Grid reinforcements; Battery degradation; Average &amp; marginal emission profiles</t>
  </si>
  <si>
    <t>LIFE-CYCLE ASSESSMENT; BATTERY; DISPATCH; SYSTEM</t>
  </si>
  <si>
    <t>With high electric vehicle (EV) adoption, optimization of the charging process of EVs is becoming increasingly important. Although the CO2 emission impact of EVs is heavily dependent on the generation mix at the moment of charging, emission minimization of EV charging receives limited attention. Generally, studies neglect the fact that cost and emission savings potential for EV charging can be constrained by the capacity limits of the low-voltage (LV) grid. Grid reinforcements provide EVs more freedom in minimizing charging costs and/or emissions, but also result in additional costs and emissions due to reinforcement of the grid. The first aim of this study is to present the trade-off between cost and emission minimization of EV charging. Second, to compare the costs and emissions of grid reinforcements with the potential cost and emission benefits of EV charging with grid reinforcements. This study proposes a method for multi-objective optimization of EV charging costs and/or emissions at low computational costs by aggregating individual EV batteries characteristics in a single EV charging model, considering vehicle-to-grid (V2G), EV battery degradation and the transformer capacity. The proposed method is applied to a case study grid in Utrecht, the Netherlands, using highly-detailed EV charging transaction data as input. The results of the analysis indicate that even when considering the current transformer capacity, cost savings up to 32.4% compared to uncontrolled EV charging are possible when using V2G. Emission minimization can reduce emissions by 23.6% while simultaneously reducing EV charging costs by 13.2%. This study also shows that in most cases, the extra cost or emission benefits of EV charging under a higher transformer capacity limit do not outweigh the cost and emissions for upgrading that transformer.</t>
  </si>
  <si>
    <t>10.1016/j.apenergy.2020.115285</t>
  </si>
  <si>
    <t>Optimal Coordination of Plug-in Electric Vehicles in Power Grids With Cost-Benefit Analysis-Part II: A Case Study in China</t>
  </si>
  <si>
    <t>Optimal plug-in electric vehicle (PEV) coordination; PEV charging load; PEV charging pattern; PEV/s; quantitative cost and benefit analysis; vehicle to grid (V2G)</t>
  </si>
  <si>
    <t>Continuing with a set of enabling techniques for the optimal coordination of plug-in electric vehicles (PEVs) in Part I, we present a case study in this paper using techniques based on the data collected in the Beijing-Tianjin-Tangshan Region (BTTR) China to discover optimal PEV coordination strategies and assess the attractiveness of these strategies. In Part II, we first present the charging characteristics for different categories of PEVs in BTTR and predict the optimal seasonal daily loads with PEVs under different PEV penetration levels using a two-stage optimization model in both 2020 and 2030. The simulation results indicate that optimal PEV coordination effectively reduces the peak load and smooths the load curve. Finally, we present a cost-benefit analysis of optimal coordination strategies by taking a social welfare approach. The analysis shows that the optimal coordination strategies are beneficial in terms of the reduction in capital investment in power grid expansion and that the attractiveness of a coordination strategy is related to the coordination level. The results also show that the fully coordinated charging and vehicle to grid are not the most attractive strategies. This case study is useful for better understanding the costs and benefits of PEV coordination strategies and for supporting PEV-related decision and policy making from a power system planning perspective.</t>
  </si>
  <si>
    <t>10.1109/TPWRS.2013.2252028</t>
  </si>
  <si>
    <t>Chang, FY; Chen, T; Su, WC; Alsafasfeh, Q</t>
  </si>
  <si>
    <t>Chang, Fangyuan; Chen, Tao; Su, Wencong; Alsafasfeh, Qais</t>
  </si>
  <si>
    <t>Control of battery charging based on reinforcement learning and long short-term memory networks</t>
  </si>
  <si>
    <t>Energy storage battery/system; Smart charging control; Long short-term memory (LSTM); Reinforcement learning (RL); Electric vehicle (EV)</t>
  </si>
  <si>
    <t>In an electricity market with time-varying pricing, uncontrolled charging of energy storage systems (ESSs) may increase charging costs. A novel battery charging control methodology based on reinforcement-learning (RL) is proposed in this paper to minimize the charging costs. A significant characteristic of this method is that it is model-free, with no need for a high-accuracy battery/ESS model. Therefore, it overcomes the challenges brought by limited types of battery models and non-ignorable parametric uncertainties in reality. Additionally, since an accurate prediction of fluctuating electricity prices can promote the control performance, a long short-term memory (LSTM) network is leveraged to improve the prediction precision. The final control objective is to seek an optimal charging portfolio to minimize charging costs. Moreover, the presented control algorithm provides a basic framework for a more complicated electricity market where various types of ESSs, generators, and loads exist. (C) 2020 Elsevier Ltd. All rights reserved.</t>
  </si>
  <si>
    <t>10.1016/j.compeleceng.2020.106670</t>
  </si>
  <si>
    <t>Zhang, Q; Mclellan, BC; Tezuka, T; Ishihara, KN</t>
  </si>
  <si>
    <t>Zhang, Qi; Mclellan, Benjamin C.; Tezuka, Tetsuo; Ishihara, Keiichi N.</t>
  </si>
  <si>
    <t>A methodology for economic and environmental analysis of electric vehicles with different operational conditions</t>
  </si>
  <si>
    <t>Economic and environmental analysis model; Electric vehicle (EVs); Electricity generation mix; Smart charging/discharging; Real-time pricing mechanism</t>
  </si>
  <si>
    <t>DRIVE VEHICLES; LOAD CONTROL; POWER; ENERGY; TRANSPORT; DEMAND</t>
  </si>
  <si>
    <t>A simulation model is proposed in the present study to analyze economic and environmental performance of electric vehicles (EVs) operated under different conditions including electricity generation mix, smart charging control strategies and real-time pricing mechanisms. The model is organized into an input output framework and actualized using an hour-by-hour computer simulation to achieve a real-time electricity supply demand balance emphasizing the integrations of EVs. The battery cost, real-time solar and wind power generations, and traditional electricity demand are used as preconditions. The model has been developed as a flexible software package and applied to case studies in the Tokyo area, Japan in 2030 with different combinations of three electricity generation mix options, two charging control strategies and two hourly real-time electricity pricing mechanisms. The fuel costs and CO2 emissions of EVs in different operational environments were obtained and compared, and optimized operational conditions for EVs were suggested from the perspective of economic and environmental benefit. The feasibility of the proposed methodology was thereby demonstrated practically through the case studies. (C) 2013 Elsevier Ltd. All rights reserved.</t>
  </si>
  <si>
    <t>10.1016/j.energy.2013.01.025</t>
  </si>
  <si>
    <t>Amini, MH; Mohammadi, J; Kar, S</t>
  </si>
  <si>
    <t>Amini, M. Hadi; Mohammadi, Javad; Kar, Soummya</t>
  </si>
  <si>
    <t>Distributed Holistic Framework for Smart City Infrastructures: Tale of Interdependent Electrified Transportation Network and Power Grid</t>
  </si>
  <si>
    <t>Consensus plus innovations; distributed processing; smart city; interdependent infrastructures; electri~ed transportation networks; smart mobility; power systems; electric vehicles; cooperative charging; optimality conditions</t>
  </si>
  <si>
    <t>CHARGING CONTROL; DEMAND RESPONSE; ENERGY MANAGEMENT; VEHICLE; CONSENSUS; COORDINATION; INTERNET; THINGS; OPTIMIZATION; ALGORITHM</t>
  </si>
  <si>
    <t>Plug-in Electric Vehicles (PEVs) play a pivotal role in transportation electrication. The exible nature of PEVs' charging demand can be utilized for reducing charging cost as well as optimizing the operating cost of power and transportation networks. Utilizing charging exibility of geographically spread PEVs requires design and implementation of efcient optimization algorithms. There is a synergy between electro mobility (e-Mobility) infrastructures (including charging stations) and PEVs. In this paper, we introduce a holistic framework to model interdependent nature of power systems and electried transportation networks, enhance the operational performance of these systems as a network-of-networks, and explain the required information exchange via coupling agents (e.g., PEVs and charging stations). We develop a holistic framework that enables distributed coordination of interdependent networks through the IoT lens. To this end, we propose to use a fully distributed consensus+innovations approach. This iterative algorithm achieves a distributed solution of the decision making for each agent through local computations and limited communication with other neighboring agents that are inuential in that specic decision. For instance, the optimal routing decision of a PEV involves a different set of agents as compared with the optimal charging strategy of the same PEV. The exogenous information from an external network/agent can affect internal operation of the other agents. For instance, having some information about trafc congestion at the transportation networks changes the decision of PEVs to charge their battery at another location. Our approach constitutes solving an iterative problem, which utilizes communication at the smart city layer, as a network of infrastructures, including power grid and electried transportation network, that enables fully distributed coordination of agents. Fully distributed decision making enables scalability of the solution and plug-and-play capability, as well as increasing the information privacy of PEVs by only requiring limited local information exchange with neighboring agents. We investigate a detailed application of our framework for interdependent power systems and electried transportation networks. To this end, we rst identify the functionalities, constraints, objectives, and decision variables of each network. Then, we investigate the interdependent interactions among these networks and their corresponding agents.</t>
  </si>
  <si>
    <t>10.1109/ACCESS.2019.2950372</t>
  </si>
  <si>
    <t>Go, HS; Cho, IH; Kim, GD; Kim, CH</t>
  </si>
  <si>
    <t>Go, Hyo-Sang; Cho, In-Ho; Kim, Gil-Dong; Kim, Chul-Hwan</t>
  </si>
  <si>
    <t>A Study on EV Charging Scheme Using Load Control</t>
  </si>
  <si>
    <t>Smart charging technique; Electro Magnetic Transients Program (EMTP); Power quality; Load control; Electric vehicle; Power demand and supply</t>
  </si>
  <si>
    <t>ELECTRIC VEHICLES; MODEL</t>
  </si>
  <si>
    <t>It is necessary to charge electric vehicles in order to drive them. Thus, it is essential to have electric vehicle charging facilities in place. In the case of a household battery charger, the power similar to that consumed by a household with a basic contract power of 3kW is consumed. In addition, many consumers who own an electric vehicle will charge their vehicles at the same time. The simultaneous charging of electric vehicles will cause the load to increase, which then will lead to the imbalance of supply and demand in the distribution system. Thus, a smart charging scheme for electric vehicles is an essential element. In this paper, simulated conditions were set up using real data relating to Korea in order to design a smart charging technique suitable for the actual situation. The simulated conditions were used to present a smart charging technique for electric vehicles that disperses electric vehicles being charged simultaneously. The EVs and Smart Charging Technique are modeled using the Electro Magnetic Transients Program (EMTP).</t>
  </si>
  <si>
    <t>10.5370/JEET.2017.12.5.1789</t>
  </si>
  <si>
    <t>Kaur, S; Kaur, T; Khanna, R</t>
  </si>
  <si>
    <t>Kaur, Sachpreet; Kaur, Tarlochan; Khanna, Rintu</t>
  </si>
  <si>
    <t>ANFIS Based Smart Control of Electric Vehicles Integrated with Solar Powered Hybrid AC-DC Microgrid</t>
  </si>
  <si>
    <t>ANFIS; artificial intelligence; dynamic vehicle charging; electric vehicles; frequency regulation; microgrid; MPPT; photovoltaic systems; smart grid; vehicle-to-grid</t>
  </si>
  <si>
    <t>In the coming years, charging of electric vehicles (EVs) may impose significant power loads on the existing utility system. Alternatively, the integration of EVs with distributed generation units may cause several uncertainties in microgrids. In such situations, controlling the frequency of microgrids will be a challenging task. Consequently, this calls for the requirement of implementing proper control techniques for utilizing EVs potential to act both as source and load. This paper proposes and evaluates the performance of the Primary ANFIS MPPT Controller for PV systems and Secondary ANFIS EV Controller for EV charging stations. The Primary ANFIS MPPT controller strictly monitors the power extracted from photovoltaic systems in different temperature and irradiance conditions. The Secondary ANFIS EV Controller schedules charging/discharging of plugged-in EVs w.r.t microgrid's frequency and EV battery's state of charge. To investigate the performance of proposed smart controllers, a hybrid solar-powered AC-DC microgrid is designed and tested. Dynamic simulations performed in MATLAB/Simulink demonstrate the right performance of smart ANFIS controllers in terms of frequency control. Moreover, extensive comparison studies conducted between proposed methods and existing techniques justify the higher suitability of developed controllers.</t>
  </si>
  <si>
    <t>AUG 8</t>
  </si>
  <si>
    <t>12-13</t>
  </si>
  <si>
    <t>10.1080/15325008.2020.1854386</t>
  </si>
  <si>
    <t>NOV 2020</t>
  </si>
  <si>
    <t>Dixon, J; Elders, I; Bell, K</t>
  </si>
  <si>
    <t>Dixon, James; Elders, Ian; Bell, Keith</t>
  </si>
  <si>
    <t>Evaluating the likely temporal variation in electric vehicle charging demand at popular amenities using smartphone locational data</t>
  </si>
  <si>
    <t>IET INTELLIGENT TRANSPORT SYSTEMS</t>
  </si>
  <si>
    <t>Monte Carlo methods; smart phones; battery powered vehicles; electric vehicle charging; location based services; power engineering computing; temporal variation; electric vehicle charging demand; popular amenities; smartphone locational data; destination charging; battery electric vehicles; EV uptake; Monte Carlo-based method; smartphone users; Google Maps Popular Times feature; travel surveys; electrical demand profiles; generic characterisation; car parks; specific characterisation; hypothetical EV charging infrastructure; UK shopping centre; expected charging demand; EV destination charging; fleet EV charging approach; converter capacity</t>
  </si>
  <si>
    <t>'Destination charging' - in which drivers charge their battery electric vehicles (EVs) while parked at amenities such as supermarkets, shopping centres, gyms and cinemas - has the potential to accelerate EV uptake. This study presents a Monte Carlo-based method for the characterisation of EV destination charging at these locations based on smartphone users' anonymised positional data captured in the Google Maps Popular Times feature. Unlike the use of household and travel surveys, from which most academic works on the subject are based, these data represent individuals' actual movements rather than how they might recall or divulge them. Through a fleet EV charging approach proposed in this study, likely electrical demand profiles for EV destination charging at different amenities are presented. Use of the method is presented first for a generic characterisation of EV charging in the car parks of gyms, based on a sample of over 2000 gyms in around major UK cities, and second for a specific characterisation of hypothetical EV charging infrastructure installed at a large UK shopping centre to investigate the impact of varying the grid and converter capacity on the expected charging demand and level of service provision to the vehicles charging there.</t>
  </si>
  <si>
    <t>10.1049/iet-its.2019.0351</t>
  </si>
  <si>
    <t>Lazaroiu, GC; Roscia, M</t>
  </si>
  <si>
    <t>Lazaroiu, George Cristian; Roscia, Mariacristina</t>
  </si>
  <si>
    <t>Fuzzy Logic Strategy for Priority Control of Electric Vehicle Charging</t>
  </si>
  <si>
    <t>Fuzzy logic; Charging stations; Batteries; Economics; Automobiles; Input variables; Fuels; Controller; electric vehicles; fuzzy rules; smart cities; sustainable development</t>
  </si>
  <si>
    <t>IMPACTS; PRICE; MODEL</t>
  </si>
  <si>
    <t>The study of future scenarios where transport systems are highly based on electric propulsion constitutes a key point for the world sustainable development. In particular, the integration between electric vehicles and smart grids makes possible reaching new goals on energy savings, efficiency of energy generation and distribution. This paper proposes a controller integrated into the electric vehicle, based on fuzzy logic, providing the car user with the necessary information regarding the charging/discharging stations located nearby. In particular, for each station a priority level is reported, representing the degree of economic convenience/necessity that the user has in using this charging station. The final objective is to easily integrate a fleet of electric vehicles into smart grids with users willing to charge and discharge their electric vehicles during periods and modalities that highly favors the smart grid operation, energy savings, and economic efficiency for the car owners.</t>
  </si>
  <si>
    <t>10.1109/TITS.2022.3161398</t>
  </si>
  <si>
    <t>Al-Saadi, M; Patkowski, B; Zaremba, M; Karwat, A; Pol, M; Chelchowski, L; Van Mierlo, J; Berecibar, M</t>
  </si>
  <si>
    <t>Al-Saadi, Mohammed; Patkowski, Bartosz; Zaremba, Maciej; Karwat, Agnieszka; Pol, Mateusz; Chelchowski, Lukasz; Van Mierlo, Joeri; Berecibar, Maitane</t>
  </si>
  <si>
    <t>Slow and Fast Charging Solutions for Li-Ion Batteries of Electric Heavy-Duty Vehicles with Fleet Management Strategies</t>
  </si>
  <si>
    <t>electric vehicles; e-bus fleet; fast charging; slow charging; smart charging; Li-ion batteries; battery management system; operational loads; operational cost; total cost of ownership (TCO); power grid; DSO</t>
  </si>
  <si>
    <t>This work presents a real-life demonstration of 23 heavy-duty (HD) public electric buses (e-buses) in Jaworzno, Poland, with three lengths: 8.9 m, 12 m, and 18 m. The e-bus demo is based on the development of baseline e-buses to optimize the operational cost based on technical optimization. The demo aims to switch public transportation from internal combustion engine vehicles (ICEVs) to electric ones to minimize CO2 emissions. The e-buses are equipped with standard charging solutions, which are plug-in charging with Combined Charging System Type 2 (CCS2, Combo 2) and pantograph-up (Type B). The CCS2 solution is used for overnight slow/normal charging (NC) in the depot of the e-bus operator, whereas the pantograph charging solutions are installed along the e-buses routes and used for fast charging (FC) when the e-buses are stopped for a short time. In Jaworzno, there are 20 chargers with CCS2 in the depot of the e-bus operator and 12 pantograph-up (Type B solution) fast-charging stations. This work studies the technical operations and operational costs of the e-bus fleet, and the impact of the NC and FC solutions on the Li-ion battery packs and on the grid. The uncoordinated/standard and coordinated charging (smart charging) based on load shifting were investigated to study the impact of e-bus fleet integration on the distribution grid. The exploited data in this study were collected from the data logger devices, which are installed on the e-buses and record over 46 signals. Data from over one year were collected, and some sample data were processed and analyzed to study the technical and economic operations of the e-bus fleet.</t>
  </si>
  <si>
    <t>10.3390/su131910639</t>
  </si>
  <si>
    <t>Baza, M; Sherif, A; Mahmoud, MMEA; Bakiras, S; Alasmary, W; Abdallah, M; Lin, XD</t>
  </si>
  <si>
    <t>Baza, Mohamed; Sherif, Ahmed; Mahmoud, Mohamed M. E. A.; Bakiras, Spiridon; Alasmary, Waleed; Abdallah, Mohamed; Lin, Xiaodong</t>
  </si>
  <si>
    <t>Privacy-Preserving Blockchain-Based Energy Trading Schemes for Electric Vehicles</t>
  </si>
  <si>
    <t>Privacy; Blockchains; Vehicles; Charging stations; Servers; Vehicular ad hoc networks; Smart grids; Security; privacy; blockchains and smart contracts; energy trading; and electric vehicles (EVs)</t>
  </si>
  <si>
    <t>An energy trading system is essential for the successful integration of Electric Vehicles (EVs) into the smart grid. In this paper, leveraging blockchain technology, we first propose a privacy-preserving charging-station-to-vehicle (CS2V) energy trading scheme. The CS2V scheme is useful in crowded cities where there is a need for a charging infrastructure that can charge many EVs daily. We also propose a privacy-preserving vehicle-to-vehicle (V2V) energy trading scheme. The V2V scheme is useful when charging stations are not available or far and cheaper prices can be offered from EVs, e.g., if they charge from renewable energy sources. In the V2V scheme, the privacy of both charging and discharging EVs including location, time, and amount of power are preserved. To preserve privacy in both schemes, EVs are anonymous, however, a malicious EV may abuse the anonymity to launch Sybil attacks by pretending as multiple non-exiting EVs to launch powerful attacks such as Denial of Service (DoS) by submitting multiple reservations/offers without committing to them, to prevent other EVs from charging and make the trading system unreliable. To thwart the Sybil attacks, we use a common prefix linkable anonymous authentication scheme, so that if an EV submits multiple reservations/offers at the same timeslot, the blockchain can identify such submissions. To further protect the privacy of EV drivers, we introduce an anonymous and efficient blockchain-based payment system that cannot link individual drivers to specific charging locations. Our experimental results indicate that our schemes are secure and privacy-preserving with low communication and computation overheads.</t>
  </si>
  <si>
    <t>10.1109/TVT.2021.3098188</t>
  </si>
  <si>
    <t>Jain, P; Das, A; Jain, T</t>
  </si>
  <si>
    <t>Jain, Prateek; Das, Ashutosh; Jain, Trapti</t>
  </si>
  <si>
    <t>Aggregated electric vehicle resource modelling for regulation services commitment in power grid</t>
  </si>
  <si>
    <t>Electric vehicle; Vehicle-to-grid (V2G); Grid-to-vehicle (G2V); Ancillary services; Regulation capacity; Charging-discharging power; Power scheduling</t>
  </si>
  <si>
    <t>DRIVE VEHICLES; IMPACT; DEMAND; SYSTEM; LOAD; INTEGRATION; TECHNOLOGY</t>
  </si>
  <si>
    <t>The objective of this paper is to present a mechanism to determine the two-way energy storage capacity of a large pool of electric vehicles (EV) which can be contracted in ancillary services market on a long-term basis to provide the regulation up (RU) and regulation down (RD) to the grid. The proposed mechanism uses a scheme which delivers the schedule of power supplied to or drawn from the grid by treating the mobility attributes dependent electrical parameters. Two operational places, the workplace, and the home were identified as per driving pattern of customers for the provision of regulation ancillary service. An illustrative model considering a fleet of representative battery electric vehicle (BEV) is presented based on the mechanism, to obtain the minute-wise storage capacity that can be contracted in the market to provide frequency regulation to the grid. Results demonstrate that two major mobility traits namely, driven distance and arrival pattern, as well as the charging and discharging power standards directly influences the regulation schedule. Further, it has been realized that even though the charging cost is associated with energy consumption, the regulation provision will yield a notable revenue stream on a long-term capacity commitment basis. This supplements the concept of EVs participation in power markets by virtue of their high ramp up ramp down speed capabilities.</t>
  </si>
  <si>
    <t>10.1016/j.scs.2018.11.046</t>
  </si>
  <si>
    <t>Mehta, R; Srinivasan, D; Khambadkone, AM; Yang, J; Trivedi, A</t>
  </si>
  <si>
    <t>Mehta, Rahul; Srinivasan, Dipti; Khambadkone, Ashwin M.; Yang, Jing; Trivedi, Anupam</t>
  </si>
  <si>
    <t>Smart Charging Strategies for Optimal Integration of Plug-In Electric Vehicles Within Existing Distribution System Infrastructure</t>
  </si>
  <si>
    <t>Distribution system infrastructure; grid-to-vehicle (G2V); penetration level; plug-in electric vehicles (PEVs); smart charging; vehicle-to-grid (V2G)</t>
  </si>
  <si>
    <t>LOAD; IMPLEMENTATION; CAPACITY; ENERGY; IMPACT</t>
  </si>
  <si>
    <t>In this paper, smart charging strategies incorporating a unified grid-to-vehicle and vehicle-to-grid charging framework are proposed for optimal integration of plug-in electric vehicles (PEVs) within the existing distribution system infrastructure. Two smart strategies with objective functions considering minimization of total daily cost and peak-to-average ratio, respectively, are developed to study the impact on PEV charging from an economic and technical perspective. The proposed strategies are implemented for PEV charging at workplace car parks located in a 37-bus distribution system and an analytical study is presented to evaluate the maximum possible PEV penetration that the existing distribution infrastructure can accommodate corresponding to the two strategies. A comparative analysis of the two strategies is performed in terms of various economic and technical benefits that are derived. Moreover, a performance comparison of the two strategies in presence of slow and fast charging of PEVs is also presented. Finally, an investigative study is conducted for both the strategies to evaluate the maximum PEV penetration that can be integrated in the upcoming years without infrastructure reinforcement. The simulation results present a comprehensive evaluation of the two proposed strategies.</t>
  </si>
  <si>
    <t>10.1109/TSG.2016.2550559</t>
  </si>
  <si>
    <t>Vaya, MG; Andersson, G</t>
  </si>
  <si>
    <t>10.1109/TPWRS.2014.2363159</t>
  </si>
  <si>
    <t>Sun, GZ; Li, GY; Xia, SW; Shahidehpour, M; Lu, X; Chan, KW</t>
  </si>
  <si>
    <t>Sun, Guangzeng; Li, Gengyin; Xia, Shiwei; Shahidehpour, Mohammad; Lu, Xi; Chan, Ka Wing</t>
  </si>
  <si>
    <t>ALADIN-Based Coordinated Operation of Power Distribution and Traffic Networks With Electric Vehicles</t>
  </si>
  <si>
    <t>Load flow; Electric vehicle charging; Vehicle dynamics; Power system dynamics; Optimization; Alternating current dynamic optimal power flow; augmented Lagrangian alternating direction inexact Newton (ALADIN); dynamic user equilibrium (DUE); traffic-distribution coordination (TDC) with electric vehicles (EVs)</t>
  </si>
  <si>
    <t>CHARGING NAVIGATION; TRANSPORTATION; SYSTEMS; IMPACTS; FLOW</t>
  </si>
  <si>
    <t>Electric vehicles (EVs) are recognized as a promising remedy for the environmental crisis and fuel shortage faced by modern metropolises. But meanwhile, with the popularization of EVs, the unordered charging of EVs will have negative impacts on both the power distribution network (DN) and the traffic network (TN). The well-scheduled EV charging/discharging behaviors could participate in the coordinated operation of TN and DN to significantly enhance the energy utilization efficiency of both networks. With an assumption that an entity like state grid capable of dispatching distributed generators and adjusting the charging prices of fast charging stations, a traffic-distribution coordination (TDC) model is proposed to minimize the travel cost of TN and the energy service cost of DN, which simultaneously considers the economic operation of DN by alternating current dynamic optimal power flow and the traffic flow assignment of TN by EVs dynamic user equilibrium, respectively. And afterward, the augmented Lagrangian alternating direction inexact Newton method is adopted to solve the TDC model. Finally, the necessity of the coordinated operation of TN and DN and the effectiveness of the TDC model are validated in an integrated system of modified Nguyen-Dupius TN and IEEE 33-bus DN.</t>
  </si>
  <si>
    <t>10.1109/TIA.2020.2990887</t>
  </si>
  <si>
    <t>Dante, AW; Agbossou, K; Kelouwani, S; Cardena, A; Bouchard, J</t>
  </si>
  <si>
    <t>Dante, Abdoul Wahab; Agbossou, Kodjo; Kelouwani, Sousso; Cardena, Alben; Bouchard, Jonathan</t>
  </si>
  <si>
    <t>Online modeling and identification of plug-in electric vehicles sharing a residential station</t>
  </si>
  <si>
    <t>Plug-in electric vehicles; Battery charging profile; Neural network; Support vector machines; Pattern classification; Statistical modeling; Smart grid; Feature selection</t>
  </si>
  <si>
    <t>NEURAL-NETWORK; CLASSIFICATION; DEMAND; RECOGNITION; PREDICTION; MANAGEMENT; ALGORITHM</t>
  </si>
  <si>
    <t>In this paper, a novel plug-in electric vehicle (PEV) modeling approach is proposed for residential charging stations. This methodology can be used in the design of autonomous energy management systems (EMS) with the purpose of providing the charging schedules using minimum input measured data. The proposed method is composed of two main steps. In the first step, unlike other similar works, online PEV recognition is performed by means of an artificial neural network as a supervised classification method. The required feature space for classification is provided using the power spectral density estimation and the statistical analysis of individual PEVs charging current. The second step deals with the statistical modeling of the charging habits to facilitate the scheduling by predicting the charging demand using the current measurements on the grid side. In this respect, each PEV charging habit is modeled based on the correlation among the plug-in time, departure time, required energy, and weekdays using kernel density estimation. The performance of the suggested method is validated using real data collected from a charging station. The final results confirm the applicability of the proposed methodology with a satisfactory precision. The effectiveness of the method is demonstrated using a comparative analysis in terms of the recognition performance.</t>
  </si>
  <si>
    <t>10.1016/j.ijepes.2018.12.024</t>
  </si>
  <si>
    <t>Ovalle, A; Hably, A; Bacha, S; Ramos, G; Hossain, JM</t>
  </si>
  <si>
    <t>Ovalle, Andres; Hably, Ahmad; Bacha, Seddik; Ramos, Gustavo; Hossain, J. M.</t>
  </si>
  <si>
    <t>Escort Evolutionary Game Dynamics Approach for Integral Load Management of Electric Vehicle Fleets</t>
  </si>
  <si>
    <t>Distributed ancillary services; distributed optimization; escort evolutionary game theory; plug-in electric vehicles (PEVs); smart charging; vehicle-to-grid (V2G)</t>
  </si>
  <si>
    <t>DISTRIBUTION-SYSTEMS; TRANSPORT; IMPACT</t>
  </si>
  <si>
    <t>This paper proposes an application of an evolutionary game dynamics called the escort dynamics (ED) for the decentralized load management of plug-in electric vehicles (PEV). Different from earlier contributions, in the present approach, PEVs work together in a fair scheme in order to provide several ancillary services to the grid: Load shifting, active power balancing, and partial supply of reactive power demand on each phase of the distribution transformer. Meanwhile, batteries are guaranteed to be fully charged according to the constraints imposed by the owners. In the proposed formulation, chargers can be either three phase or single phase; however, in this paper, only three-phase chargers are considered. The key concepts behind ED, especially for escort functions, are provided at the beginning of this paper. Based on these concepts, the assumptions and analogies followed for the construction of the proposed approach are explained in detail, especially for the proposed definition of escort functions. A multipopulation scenario is proposed for the interaction of several PEVs using local ED routines. This interaction among populations follows another well-known evolutionary game dynamics called the best reply dynamics. Performance is evaluated using real data measured from a distribution transformer from the SOREA utility grid company in the region of Savoie, France.</t>
  </si>
  <si>
    <t>10.1109/TIE.2016.2615042</t>
  </si>
  <si>
    <t>Geng, B; Mills, JK; Sun, D</t>
  </si>
  <si>
    <t>Geng, Bo; Mills, James K.; Sun, Dong</t>
  </si>
  <si>
    <t>Two-Stage Charging Strategy for Plug-In Electric Vehicles at the Residential Transformer Level</t>
  </si>
  <si>
    <t>Plug-in electric vehicle; vehicle charging control; Pontryagin's minimum principle; fuzzy logic control; smart grid; vehicle-to-grid</t>
  </si>
  <si>
    <t>HYBRID</t>
  </si>
  <si>
    <t>In this paper, the coordinated charging control problem for plug-in electric vehicles (PEVs) with vehicle-to-grid functionality is formulated and investigated at the residential transformer level. A two-stage charging control (TSCC) strategy is proposed to shift the transformer load while achieving good charging performance for all PEVs connected to the grid. The proposed TSCC consists of an aggregator optimizer and a power distributor designed in two stages with different control functions. During the first stage, based on the dynamic aggregator concept, the optimal charging power for all PEVs in the aggregator is derived using the Pontryagin's minimum principle. During the second stage, a power distribution law is developed to allocate the aggregated power from the first stage using the fuzzy logic control approach. The TSCC framework considers the stochastic characteristics and nonlinear battery dynamics of practical vehicle charging scenarios, and therefore, is feasible for practical implementation. Finally, simulation results are presented to validate the control performance of the TSCC.</t>
  </si>
  <si>
    <t>10.1109/TSG.2013.2246198</t>
  </si>
  <si>
    <t>Liu, P; Yu, JL; Mohammed, E</t>
  </si>
  <si>
    <t>Liu, Peng; Yu, Jilai; Mohammed, Eissa</t>
  </si>
  <si>
    <t>Decentralised PEV charging coordination to absorb surplus wind energy via stochastically staggered dual-tariff schemes considering feeder-level regulations</t>
  </si>
  <si>
    <t>power generation dispatch; power generation scheduling; wind power plants; tariffs; electric vehicle charging; stochastic processes; decentralised PEV charging coordination; electric power industry; wind energy curtailment; local coordination model; cost minimisation; charging pattern; aggregated charging load model; feeder currents; bus voltages; SCC algorithm; security check and correction algorithm; CCIUC model; charging coordination integrated unit commitment model; transmission level; day-ahead stage; PEV chargers; plug-in electric vehicle chargers; feeder-level regulations; stochastically staggered dual-tariff schemes; surplus wind energy</t>
  </si>
  <si>
    <t>INTEGRATION; GRIDS</t>
  </si>
  <si>
    <t>Wind energy curtailment has increasingly concerned the electric power industry. To absorb the surplus wind energy, a decentralised programme is presented via stochastically staggered dual tariffs for the coordination of plug-in electric vehicle (PEV) chargers. The programme consists of two stages: day ahead and real time. In the day-ahead stage, two steps are performed. First, the dual-tariff schemes are identified at the transmission level based on a charging coordination integrated unit commitment (CCIUC) model. Second, they are adjusted at the feeder level via a security check and correction (SCC) algorithm to ensure bus voltages, feeder currents and losses within desired limits. The CCIUC model and SCC algorithm incorporate a novel aggregated charging load model to grasp the integrated knowledge of PEVs in reacting to dual-tariff signals in an ex ante manner, which avoids real-time iterations between PEVs and systems. In the real-time stage, the individual charging pattern is produced for cost minimisation at the charging device level by a novel local coordination model. Simulation results show that the proposed program enables: (i) enhanced efficiencies on absorbing surplus wind energy at the transmission level; (ii) well considerations on satisfying regulation requirements at the feeder level.</t>
  </si>
  <si>
    <t>AUG 28</t>
  </si>
  <si>
    <t>10.1049/iet-gtd.2017.0780</t>
  </si>
  <si>
    <t>It solves the bilevel model through deep learning</t>
  </si>
  <si>
    <t>Qian, T; Shao, CC; Li, XL; Wang, XL; Shahidehpour, M</t>
  </si>
  <si>
    <t>Qian, Tao; Shao, Chengcheng; Li, Xuliang; Wang, Xiuli; Shahidehpour, Mohammad</t>
  </si>
  <si>
    <t>Enhanced Coordinated Operations of Electric Power and Transportation Networks via EV Charging Services</t>
  </si>
  <si>
    <t>Electric vehicle charging; Smart cities; Wind power generation; Uncertainty; Training; Deep reinforcement learning; electric power and transportation networks; EV charging service fees; traffic user equilibrium</t>
  </si>
  <si>
    <t>DEMAND RESPONSE; REINFORCEMENT; EQUILIBRIUM; INTEGRATION; VEHICLES; ENERGY; GAME; GO</t>
  </si>
  <si>
    <t>Electric power and transportation networks become increasingly coupled through electric vehicles (EV) charging station (EVCS) as the penetration of EVs continues to grow. In this paper, we propose a holistic framework to enhance the operation of coordinated electric power distribution network (PDN) and urban transportation network (UTN) via EV charging services. Under this framework, a bi-level model is formulated to optimally determine EVCS charging service fees (CSF) for guiding EV charging behaviors and minimizing the total social cost. At the upper level, PDN with wind power generation is formulated as a second-order cone problem (SOCP) where CSF is determined. Given the settings calculated at the upper level, the lower level problem is described as a traffic assignment problem (TAP) which is subject to the user equilibrium (UE) principle and captures the individual rationality of single EV owners in UTN. The uncertainties in wind power output and origin-destination (O-D) traffic demands are considered in the proposed model and a deep reinforcement learning (DRL)-based solution framework is developed to decouple and approximately solve the stochastic bi-level problem. Both gradient-based and gradient-free training algorithms are implemented in this paper and the respective results are compared. The case studies on a 5-node system, 24-node Sioux-Falls system and real-world Xi'an city in China are conducted to verify the effectiveness of the proposed model, which demonstrates the enhanced operation of coordinated PDN and UTN networks by reducing the traffic congestion and improving the integration of renewable energy.</t>
  </si>
  <si>
    <t>10.1109/TSG.2020.2969650</t>
  </si>
  <si>
    <t>Wang, SY; Bi, SZ; Zhang, YA</t>
  </si>
  <si>
    <t>Wang, Shuoyao; Bi, Suzhi; Zhang, Yingjun Angela</t>
  </si>
  <si>
    <t>Reinforcement Learning for Real-Time Pricing and Scheduling Control in EV Charging Stations</t>
  </si>
  <si>
    <t>Charging stations; Pricing; Electric vehicle charging; Load management; Real-time systems; Approximation algorithms; Job shop scheduling; Dynamic programming; machine learning; pricing and scheduling; reinforcement learning; state-action-reward-state-action (SARSA)</t>
  </si>
  <si>
    <t>This article proposes a reinforcement-learning (RL) approach for optimizing charging scheduling and pricing strategies that maximize the system objective of a public electric vehicle (EV) charging station. The proposed algorithm is x201C;onlinex201D; in the sense that the charging and pricing decisions made at each time depend only on the observation of past events, and is x201C;model-freex201D; in the sense that the algorithm does not rely on any assumed stochastic models of uncertain events. To cope with the challenge arising from the time-varying continuous state and action spaces in the RL problem, we first show that it suffices to optimize the total charging rates to fulfill the charging requests before departure times. Then, we propose a feature-based linear function approximator for the statex2013;value function to further enhance the efficiency and generalization ability of the proposed algorithm. Through numerical simulations with real-world data, we show that the proposed RL algorithm achieves on average 138.5x0025; higher charging-station profit than representative benchmark algorithms.</t>
  </si>
  <si>
    <t>10.1109/TII.2019.2950809</t>
  </si>
  <si>
    <t>Jin, HJ; Lee, S; Nengroo, SH; Har, D</t>
  </si>
  <si>
    <t>Jin, Hojun; Lee, Sangkeum; Nengroo, Sarvar Hussain; Har, Dongsoo</t>
  </si>
  <si>
    <t>Development of Charging/Discharging Scheduling Algorithm for Economical and Energy-Efficient Operation of Multi-EV Charging Station</t>
  </si>
  <si>
    <t>charging station; deep learning; electricity load; electric vehicle; microgrid; optimization; photovoltaic; power management; scheduling; vehicle-to-grid; vehicle-to-vehicle</t>
  </si>
  <si>
    <t>ELECTRIC VEHICLES; PARKING LOTS; NATURAL-GAS; MANAGEMENT; IMPACTS; SYSTEM</t>
  </si>
  <si>
    <t>As the number of electric vehicles (EVs) significantly increases, the excessive charging demand of parked EVs in the charging station may incur an instability problem to the electricity network during peak hours. For the charging station to take a microgrid (MG) structure, an economical and energy-efficient power management scheme is required for the power provision of EVs while considering the local load demand of the MG. For these purposes, this study presents the power management scheme of interdependent MG and EV fleets aided by a novel EV charging/discharging scheduling algorithm. In this algorithm, the maximum amount of discharging power from parked EVs is determined based on the difference between local load demand and photovoltaic (PV) power production to alleviate imbalances occurred between them. For the power management of the MG with charging/discharging scheduling of parked EVs in the PV-based charging station, multi-objective optimization is performed to minimize the operating cost and grid dependency. In addition, the proposed scheme maximizes the utilization of EV charging/discharging while satisfying the charging requirements of parked EVs. Moreover, a more economical and energy-efficient PV-based charging station is established using the future trends of local load demand and PV power production predicted by a gated recurrent unit (GRU) network. With the proposed EV charging/discharging scheduling algorithm, the operating cost of PV-based charging station is decreased by 167.71% and 28.85% compared with the EV charging scheduling algorithm and the conventional EV charging/discharging scheduling algorithm, respectively. It is obvious that the economical and energy-efficient operation of PV-based charging station can be accomplished by applying the power management scheme with the proposed EV charging/discharging scheduling strategy.</t>
  </si>
  <si>
    <t>10.3390/app12094786</t>
  </si>
  <si>
    <t>Ree, JJ; Kim, K</t>
  </si>
  <si>
    <t>Ree, Jason Jihoon; Kim, Kwangsoo</t>
  </si>
  <si>
    <t>Smart Grid R&amp;D Planning Based on Patent Analysis</t>
  </si>
  <si>
    <t>R&amp;D planning; patent analysis; sustainable smart grid technology; R&amp;D strategy; STEEP analysis; scenario planning; electric vehicle charging technology</t>
  </si>
  <si>
    <t>CIRCULAR ECONOMY; EVOLUTION; PATTERNS; TRIZ; TECHNOLOGIES; NETWORK; SECTOR</t>
  </si>
  <si>
    <t>A smart grid employs information and communications technology to improve the efficiency, reliability, economics, and sustainability of electricity production and distribution. The convergent and complex nature of a smart grid and the multifarious connection between its individual technology components, as well as competition between private companies, which will exert substantial influences on the future smart grid business, make a strategic approach necessary from the beginning of research and development (R&amp;D) planning with collaborations among various research groups and from national, industry, company, and detailed technological levels. However, the strategic, technological, business environmental, and regulatory barriers between various stakeholders with collaborative or sometimes conflictive interests need to be clarified for a breakthrough in the smart grid field. A strategic R&amp;D planning process was developed in this study to accomplish the complicated tasks, which comprises five steps: (i) background research of smart grid industry; (ii) selection of R&amp;D target; (iii) societal, technological, economical, environmental, and political (STEEP) analysis to obtain a macro-level perspective and insight for achieving the selected R&amp;D target; (iv) patent analysis to explore capabilities of the R&amp;D target and to select the entry direction for smart grid industry; and, (v) nine windows and scenario planning analyses to develop a method and process in establishing a future strategic R&amp;D plan. This R&amp;D planning process was further applied to the case of a Korean company holding technological capabilities in the sustainable smart grid domain, as well as in the sustainable electric vehicle charging system, a global consumer market of smart grid. Four plausible scenarios were produced by varying key change agents for the results of this process, such as technology and growth rates, policies and government subsidies, and system standards of the smart grid charging system: Scenario 1, The Stabilized Settlement of the Smart Grid Industry'; Scenario 2, The Short-lived Blue Ocean of the Smart Grid Industry'; Scenario 3, The Questionable Market of the Smart Grid'; and, Scenario 4, The Stalemate of the Smart Grid Industry'. The R&amp;D plan suggestions were arranged for each scenario and detailed ways to cope with dissonant situations were also implied for the company. In sum, in this case study, a future strategic R&amp;D plan was suggested in regard to the electric vehicle charging technology business, which includes smart grid communication system, battery charging duration, service infrastructure, public charge station system, platform and module, wireless charging, data management system, and electric system solution. The strategic R&amp;D planning process of this study can be applicable in various technologies and business fields, because of no inherent dependency on particular subject, like electric vehicle charging technology based on smart grid.</t>
  </si>
  <si>
    <t>MAY 2</t>
  </si>
  <si>
    <t>10.3390/su11102907</t>
  </si>
  <si>
    <t>Ben Arab, M; Rekik, M; Krichen, L</t>
  </si>
  <si>
    <t>Ben Arab, Marwa; Rekik, Mouna; Krichen, Lotfi</t>
  </si>
  <si>
    <t>Suitable various-goal energy management system for smart home based on photovoltaic generator and electric vehicles</t>
  </si>
  <si>
    <t>JOURNAL OF BUILDING ENGINEERING</t>
  </si>
  <si>
    <t>Smart home; Energy management system; Smooth home power profiles; Electricity bill; Free charging; Plug-in electric vehicles; Photovoltaic generator; Optimization layers</t>
  </si>
  <si>
    <t>MODULES</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</si>
  <si>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t>
  </si>
  <si>
    <t>10.1016/j.jobe.2022.104430</t>
  </si>
  <si>
    <t>Shibl, M; Ismail, L; Massoud, A</t>
  </si>
  <si>
    <t>Shibl, Mostafa; Ismail, Loay; Massoud, Ahmed</t>
  </si>
  <si>
    <t>Machine Learning-Based Management of Electric Vehicles Charging: Towards Highly-Dispersed Fast Chargers</t>
  </si>
  <si>
    <t>coordinated electric vehicles charging; cyber-physical systems (CPSs); Decision Tree (DT); Deep Neural Network (DNN); electric vehicles charging stations (EVCS); K-Nearest Neighbors (KNN); Long Short-Term Memory (LSTM); machine learning (ML); Na&amp;#239; ve Bayes (NB); power rating (PR); Random Forest (RF); Recurrent Neural Networks (RNN); smart grid; Support Vector Machine (SVM)</t>
  </si>
  <si>
    <t>SYSTEM; ENERGY; COORDINATION; QUALITY; LOSSES; GRIDS</t>
  </si>
  <si>
    <t>Coordinated charging of electric vehicles (EVs) improves the overall efficiency of the power grid as it avoids distribution system overloads, increases power quality, and decreases voltage fluctuations. Moreover, the coordinated charging supports flattening the load profile. Therefore, an effective coordination technique is crucial for the protection of the distribution grid and its components. The substantial power used through charging EVs has undeniable negative impacts on the power grid. Additionally, with the increasing use of EVs, an effective solution for the coordination of EVs charging, particularly when considering the anticipated proliferation of EV fast chargers, is imminently required. In this paper, different machine learning (ML) approaches are compared for the coordination of EVs charging. The ML models can predict the power to be used in EVs charging stations (EVCS). Due to its ability to use historical data to learn and identify patterns for making future decisions with minimal user intervention, ML has been utilized. ML models used in this paper are (1) Decision Tree (DT), (2) Random Forest (RF), (3) Support Vector Machine (SVM), (4) Naive Bayes (NB), (5) K-Nearest Neighbors (KNN), (6) Deep Neural Networks (DNN), and (7) Long Short-Term Memory (LSTM). These approaches are chosen as they are classifiers known to have the leading results for multiclass classification problems. The results found shed insight on the importance of the techniques used and their high potential in providing a reliable solution for the coordinated charging of EVs, thus improving the performance of the power grid, and reducing power losses and voltage fluctuations. The use of ML provides a less complex method to coordinate EVs, in comparison with conventional optimization techniques such as quadratic programming, and the use of ML is faster as it requires less computational power. LSTM provided the best results with an accuracy of 95% for predicting the most appropriate power rating (PR) for EVCS, followed by RF, DT, DNN, SVM, KNN, and NB. Additionally, LSTM was also the model with the smallest error rate, at a value of +/- 0.7%, followed by RF, DT, KNN, SVM, DNN, and NB. The results obtained from the LSTM model were similar to the results obtained from past literature using quadratic programming, with the increased speed and simplicity of ML.</t>
  </si>
  <si>
    <t>10.3390/en13205429</t>
  </si>
  <si>
    <t>Dubarry, M; Devie, A; McKenzie, K</t>
  </si>
  <si>
    <t>Dubarry, Matthieu; Devie, Arnaud; McKenzie, Katherine</t>
  </si>
  <si>
    <t>Durability and reliability of electric vehicle batteries under electric utility grid operations: Bidirectional charging impact analysis</t>
  </si>
  <si>
    <t>Lithium-ion; Cell-to-cell variations; Vehicle-to-grid; Grid-to-vehicle; V2G; G2V; Smart grid; Electric vehicle; Bidirectional charging</t>
  </si>
  <si>
    <t>LITHIUM-ION BATTERIES; COMMERCIAL LIFEPO4 CELL; AGING MECHANISMS; CAPACITY FADE; HIGH-POWER; DEGRADATION; MODEL; PERFORMANCE; DISCHARGE; STRATEGY</t>
  </si>
  <si>
    <t>Vehicle-to-grid and Grid-to-vehicle strategies are often cited as promising to mitigate the intermittency of renewable energy on electric power grids. However, their impact on the vehicle battery degradation has not been investigated in detail. The aim of this work is to understand the impact of bidirectional charging on commercial Li-ion cells used in electric vehicles today. Results show that additional cycling to discharge vehicle batteries to the power grid, even at constant power, is detrimental to cell performance. This additional use of the battery packs could shorten the lifetime for vehicle use to less than five years. By contrast, the impact of delaying the charge in order to reduce the impact on the power grid is found to be negligible at room temperature, but could be significant in warmer climates. (C) 2017 Elsevier B.V. All rights reserved.</t>
  </si>
  <si>
    <t>10.1016/j.jpowsour.2017.05.015</t>
  </si>
  <si>
    <t>Alharbi, T; Bhattacharya, K</t>
  </si>
  <si>
    <t>Alharbi, Talal; Bhattacharya, Kankar</t>
  </si>
  <si>
    <t>Optimal Scheduling of Energy Resources and Management of Loads in Isolated/Islanded Microgrids</t>
  </si>
  <si>
    <t>CANADIAN JOURNAL OF ELECTRICAL AND COMPUTER ENGINEERING-REVUE CANADIENNE DE GENIE ELECTRIQUE ET INFORMATIQUE</t>
  </si>
  <si>
    <t>Battery energy storage system (BESS); demand response (DR); islanded; isolated microgrid; optimal power flow; plug-in electric vehicles (PEVs); smart charging</t>
  </si>
  <si>
    <t>ELECTRIC VEHICLES; DEMAND RESPONSE; SYSTEM; PEVS; GENERATION</t>
  </si>
  <si>
    <t>Plug-in electric vehicles (PEVs) present a promising solution to mitigate greenhouse gas emissions but on the other hand, their increased penetration can impact power system operation, particularly so in an isolated microgrid. Similarly, demand response (DR) has the potential to provide significant flexibility in the operation of an isolated microgrid with limited generation capacity, by altering the demand and introducing an elasticity effect. This paper proposes a new mathematical model for optimal scheduling of energy resources and smart management of loads which includes smart charging of PEVs, DR, and operation of battery energy storage systems (BESSs), for isolated microgrids. Different case studies are developed to examine isolated microgrid operations when the demand increases, and how the energy management model copes with such increase. The proposed model develops energy management strategies considering the network constraints and different objective functions from the perspective of the microgrid operator as well as from the owners of PEVs and BESS.</t>
  </si>
  <si>
    <t>FAL</t>
  </si>
  <si>
    <t>10.1109/CJECE.2017.2753219</t>
  </si>
  <si>
    <t>Tabari, M; Yazdani, A</t>
  </si>
  <si>
    <t>Tabari, Mansour; Yazdani, Amirnaser</t>
  </si>
  <si>
    <t>An Energy Management Strategy for a DC Distribution System for Power System Integration of Plug-In Electric Vehicles</t>
  </si>
  <si>
    <t>DC distribution system; energy management strategy (EMS); energy price; load management; optimal charging; plug-in electric vehicle (PEV); smart grid</t>
  </si>
  <si>
    <t>STABILITY; CONVERTERS</t>
  </si>
  <si>
    <t>This paper proposes an energy management strategy (EMS) for a dc distribution system for power system integration of plug-in electric vehicles (PEVs). The dc distribution system is intended to integrate electric vehicles in a parking lot with an ac grid through bidirectional dc-dc converters (battery chargers) and a central voltage-sourced converter. Using an online constrained optimization algorithm, the proposed EMS manages the power flow within the dc system. Thus, the PEV owners can charge or discharge their batteries based on the state-of-charge of the batteries and their upcoming trip plans. The EMS offers two energy exchange options to the PEV owners: 1) the fast energy exchange option for the owners wishing to minimize the energy exchange time; and 2) the optimal energy exchange option for the owners intend to either minimize their costs of charging or maximize their revenues through selling their stored energy. The proposed EMS seamlessly handles all charging/discharging requests from the PEV owners with different options and, at the same time, it takes into account the power demand and power generation limits of the ac grid to preclude under-voltage, over-voltage, and reverse power flow issues. Various energy exchange scenarios are simulated to demonstrate the effectiveness of the proposed EMS.</t>
  </si>
  <si>
    <t>10.1109/TSG.2015.2424323</t>
  </si>
  <si>
    <t>Kern, T; Dossow, P; von Roon, S</t>
  </si>
  <si>
    <t>Kern, Timo; Dossow, Patrick; von Roon, Serafin</t>
  </si>
  <si>
    <t>Integrating Bidirectionally Chargeable Electric Vehicles into the Electricity Markets</t>
  </si>
  <si>
    <t>V2G; bidirectionally chargeable electric vehicles; smart charging; unmanaged charging; spot markets; day-ahead market; intraday auction; continuous intraday trading; mixed integer linear optimization; revenues potentials of EVs</t>
  </si>
  <si>
    <t>Replacing traditional internal combustion engine vehicles with electric vehicles (EVs) proves to be challenging for the transport sector, particularly due to the higher initial investment. As EVs could be more profitable by participating in the electricity markets, the aim of this paper is to investigate revenue potentials when marketing bidirectionally chargeable electric vehicles in the spot market. To simulate a realistic marketing behavior of electric vehicles, a mixed integer linear, rolling horizon optimization model is formulated considering real trading times in the day-ahead and intraday market. Results suggest that revenue potentials are strongly dependent on the EV pool, the user behavior and the regulatory framework. Modeled potential revenues of EVs of current average size marketed with 2019 German day-ahead prices are found to be at around 200 euro/EV/a, which is comparable to other findings in literature, and go up to 500 euro/EV/a for consecutive trading in German day-ahead and intraday markets. For future EVs with larger batteries and higher efficiencies, potential revenues for current market prices can reach up to 1300 euro/EV/a. This study finds that revenues differ widely for different European countries and future perspectives. The identified revenues give EV owners a clear incentive to participate in vehicle-to-grid use cases, thereby increasing much needed flexibility for the energy system of the future.</t>
  </si>
  <si>
    <t>10.3390/en13215812</t>
  </si>
  <si>
    <t>Alphonse, ARA; Raj, APPG; Arumugam, M</t>
  </si>
  <si>
    <t>Alphonse, Ann Rufus Arul; Raj, Annie Poornima Princess Giles; Arumugam, Manjula</t>
  </si>
  <si>
    <t>Simultaneously allocating electric vehicle charging stations (EVCS) and photovoltaic (PV) energy resources in smart grid considering uncertainties: A hybrid technique</t>
  </si>
  <si>
    <t>capuchin search algorithm (CapSA); distribution system; electric vehicle charging stations (EVCS); photovoltaic (PV); smart grid (SG); wild horse optimizer (WHO)</t>
  </si>
  <si>
    <t>WIND POWER-GENERATION; RENEWABLE ENERGY; DISTRIBUTION-SYSTEM; MANAGEMENT; OPTIMIZATION; NETWORKS; MICROGRIDS; OPERATION; STRATEGY; ESS</t>
  </si>
  <si>
    <t>This paper proposes a simultaneously allocating electric vehicle charging station (EVCS) and photovoltaic (PV) energy resources in smart grid considering uncertainties using a hybrid technique. The proposed hybrid technique is the combination of capuchin search algorithm (CapSA) and wild horse optimizer (WHO), and hence it is named as ECapSA technique. The dynamic behaviour of capuchin monkeys is enhanced by the wild horse's social life behaviour. That's why, it is called as enhanced CapSA (ECapSA) technique. In the proposed work, the following four main objectives are considered and formulated by the ECapSA technique: (a) minimization of energy loss, (b) minimization of 24-h voltage deviation, (c) maximization of weightage to offer electric vehicle charging service for maximal users, and (d) minimization of land cost. The locations of electric vehicle charging station and distributed generation (DG) affect the power loss along voltage at the distribution network. Besides, the locations on the road network determine the land cost together with weightage. The proposed formulation solution is carried out in two layers: upper and lower layers. The electric vehicle charging station allocation is modelled in upper layer and distributed generation of the optimization in lower layer. Here, 24 h slots are considered for load variation and photovoltaic generation variation at the charging station (CS). The energy loss reduction is an objective of problem formulations instead of power loss reduction. The ECapSA technique is implemented in the MATLAB platform, its performance is analyzed with existing techniques.</t>
  </si>
  <si>
    <t>10.1002/er.8187</t>
  </si>
  <si>
    <t>Luo, LZ; Wu, Z; Gu, W; Huang, H; Gao, S; Han, J</t>
  </si>
  <si>
    <t>Luo, Lizi; Wu, Zhi; Gu, Wei; Huang, He; Gao, Song; Han, Jun</t>
  </si>
  <si>
    <t>Coordinated allocation of distributed generation resources and electric vehicle charging stations in distribution systems with vehicle-to-grid interaction</t>
  </si>
  <si>
    <t>Coordinated allocation; Distributed generation resource (DGR); Distribution system; Electric vehicle charging station (EVCS); Mixed integer second order cone; programming (MISOCP); Vehicle-to-grid (V2G)</t>
  </si>
  <si>
    <t>RENEWABLE ENERGY-RESOURCES; OPTIMIZATION; SERVICES; STRATEGY; IMPACT</t>
  </si>
  <si>
    <t>With the implementation of vehicle-to-grid technologies, electric vehicles in distribution systems are becoming controllable resources and enabled to provide a lot of ancillary services (e.g. peak power shaving, voltage regulation, spinning reserve and so on). This phenomenon brings positive effects to the operation of distribution systems but simultaneously challenges the deployments of related power devices, especially the distributed generation resources. Based on this background, this paper proposes an optimization model to jointly deploy electric vehicle charging stations and distributed generation resources, during which the vehicle-to-grid function of electric vehicles is comprehensively considered. To make the optimization model ideally convex, linearized Distflow equations, as well as an exact second order conic relaxation are adopted and utilized in this paper. Consequently, the proposed model can be efficiently solved by off-the-shelf commercial solvers and the allocation schemes with minimal annualized social costs are obtained in polynomial time. Finally, a practical urban area fed by a 31-bus distribution system in China is selected as the test system to verify the effectiveness of the proposed approach, and numerical results are analyzed. (C) 2019 Elsevier Ltd. All rights reserved.</t>
  </si>
  <si>
    <t>10.1016/j.energy.2019.116631</t>
  </si>
  <si>
    <t>Hoque, MM; Khorasany, M; Razzaghi, R; Wang, H; Jalili, M</t>
  </si>
  <si>
    <t>Hoque, Md Murshadul; Khorasany, Mohsen; Razzaghi, Reza; Wang, Hao; Jalili, Mahdi</t>
  </si>
  <si>
    <t>Transactive Coordination of Electric Vehicles With Voltage Control in Distribution Networks</t>
  </si>
  <si>
    <t>Voltage control; Real-time systems; Costs; State of charge; Schedules; Electric vehicle charging; Batteries; Electric vehicle (EV); incentivized dynamic power curtailment; real-time coordination; transactive energy; voltage control; voltage sensitivity coefficient</t>
  </si>
  <si>
    <t>DEMAND-SIDE MANAGEMENT; ENERGY; SYSTEM</t>
  </si>
  <si>
    <t>This paper proposes a novel sensitivity-based transactive energy (TE) framework for real-time coordination of electric vehicles (EVs) with voltage control in low-voltage (LV) power distribution network (PDN). The proposed framework employs a combination of economic and control mechanisms that enables EVs to participate in the real-time local energy market (LEM) and mitigates the voltage issues in the PDN through EVs' charge/discharge scheduling. Prioritizing EV owners' preferences and concerns, the proposed method can achieve customers' satisfaction through EV owners' active participation in the LEM, in which they can bid to the retail market and decide on energy transactions. A new sensitivity-based voltage control scheme is presented considering an incentivized dynamic power curtailment of EV charge in the node of the PDN where a voltage violation is investigated. The proposed model is implemented in the IEEE 55-node LV European test feeder system to investigate its effectiveness in different scenarios and at different EV penetration levels. Simulation results demonstrate the effectiveness of the proposed system in terms of achieving higher EV owners' satisfaction, and robustness in voltage control.</t>
  </si>
  <si>
    <t>10.1109/TSTE.2021.3113614</t>
  </si>
  <si>
    <t>Tang, Q; Wang, KZ; Song, Y; Li, F; Park, JH</t>
  </si>
  <si>
    <t>Tang, Qiang; Wang, Kezhi; Song, Yun; Li, Feng; Park, Jong Hyuk</t>
  </si>
  <si>
    <t>Waiting Time Minimized Charging and Discharging Strategy Based on Mobile Edge Computing Supported by Software-Defined Network</t>
  </si>
  <si>
    <t>Servers; Electric vehicle charging; Cascading style sheets; Optimal scheduling; Internet of Things; Charging stations; Energy management; Charging and discharging; minimizing maximal waiting time (MMWT); mobile edge computing (MEC); software-defined network (SDN)</t>
  </si>
  <si>
    <t>ELECTRIC VEHICLES; OPTIMIZATION; CONTROLLER</t>
  </si>
  <si>
    <t>With the increasing number of electric vehicles (EVs), temporary charging demands grow rapidly. Unlike charging at home or workplace, temporary charging requires less waiting time. In this article, a mobile edge computing (MEC)-enabled charging and discharging networking system algorithm (CDNSA) is proposed to minimize the waiting time for EVs in charging stations (CSs). A software-defined network (SDN) paradigm is adopted to enhance the data transmission efficiency for MEC servers. In CDNSA, the optimization problem is formulated as a mixed-integer nonlinear programming (MINLP). A heuristic algorithm is proposed to solve the optimal CS selection variables for EVs that needs to be charged (EVCs) and EVs that can be discharged (EVDs), and then a remaining problem nonlinear programming (NLP) is obtained. By verifying the convexity of each continuous variable, the NLP is solved by adopting the block coordinate descent (BCD) method. In simulation, the optimality of CDNSA is verified by comparing with the exhaustive algorithm in terms of minimizing maximal waiting time (MMWT) of CSs. We also compare CDNSA with other benchmarks to illustrate its advantage.</t>
  </si>
  <si>
    <t>10.1109/JIOT.2019.2957124</t>
  </si>
  <si>
    <t>Kriukov, A; Gavrilas, M; Ivanov, O; Grigoras, G; Neagu, BC; Scarlatache, F</t>
  </si>
  <si>
    <t>Kriukov, Alexandru; Gavrilas, Mihai; Ivanov, Ovidiu; Grigoras, Gheorghe; Neagu, Bogdan-Constantin; Scarlatache, Florina</t>
  </si>
  <si>
    <t>Novel Decentralized Voltage-Centered EV Charging Control Algorithm Using DSRC System in Low Voltage Distribution Networks</t>
  </si>
  <si>
    <t>Investment; Costs; Voltage control; Distribution networks; State of charge; Smart charging; Low voltage; Decentralized EV charging control system; charging power control; dedicated short-range communication; low voltage distribution networks; electric vehicles; voltage control</t>
  </si>
  <si>
    <t>ELECTRIC VEHICLES; MANAGEMENT; OPERATION; BEHAVIOR; IMPACTS</t>
  </si>
  <si>
    <t>Currently, all major vehicle manufacturers agree that the future of mobility is electric. All of them began selling electric vehicles (EVs). These types of vehicles require charging, which in turn will have an impact on power distribution systems. All the studies show that the impact on power systems will be significant and may be disastrous if there will be no investments. Unmanaged EV charging can lead to a significant increase in energy costs due to increased level of investment in energy infrastructure. This paper proposes a decentralized EV charging control (DEV-CC) system that can be executed by the existing on-board electronic control units (ECUs) and uses dedicated short-range communication (DSRC) to establish communication between EVs. The proposed DEV-CC adapts the EV charging power depending on the low-voltage distribution network (LVDN) voltage levels measured by the EVs themselves. The main purpose of the proposed DEV-CC is to charge all the EVs connected to the LVDN without allowing the voltage to drop below the imposed limit. As the results show, the proposed DEV-CC manages to charge all EVs while maintaining the voltage levels within the LVDN above the allowable limits. The proposed DEV-CC does not require any investments from the distribution system operator (DSO), can be implemented on EVs with minimal costs and is a viable solution to expensive smart grid systems.</t>
  </si>
  <si>
    <t>10.1109/ACCESS.2021.3132419</t>
  </si>
  <si>
    <t>Erdogan, N; Kucuksari, S; Cali, U</t>
  </si>
  <si>
    <t>Erdogan, Nuh; Kucuksari, Sadik; Cali, Umit</t>
  </si>
  <si>
    <t>Co-Simulation of Optimal EVSE and Techno-Economic System Design Models for Electrified Fleets</t>
  </si>
  <si>
    <t>Costs; Biological system modeling; Optimization; Employment; Data models; System analysis and design; Tariffs; Electric vehicles; electric fleet; EVSE; optimization; PV; smart charging</t>
  </si>
  <si>
    <t>CHARGING STATION; ENERGY</t>
  </si>
  <si>
    <t>As the transition to electric mobility is expanding at a rapid pace, operationally feasible and economically viable charging infrastructure is needed to support electrified fleets. This paper presents a co-simulation of optimal electric vehicle supply equipment (EVSE) and techno-economic system design models to investigate the behaviors of various EVSE configurations from cost and technical aspects. While the system design optimization is performed for a grid-tied PV system, the optimal EVSE model considers all EVSE options that are currently installed at workplaces. To investigate the impact of the EV utilization rate, three fleet sizes are considered, which are generated based on real EV fleet data. Furthermore, the impact of electricity rates is also explored through an innovative business EV-specific (BEV) rate and a conventional time-of-use (ToU) tariff. It is shown that investing in grid-tied renewable energy technologies for workplace charging infrastructure supply can lower charging costs. Cost savings differ from EVSE types and fleet size under the BEV rate, while EVSEs display similar cost-saving behavior under the ToU tariff irrespective of fleet size. DC Fast Charging (DCFC) EVSE is found to be highly sensitive to fleet size as compared to AC EVSEs. Moreover, DCFCs make better use of the BEV rate, which makes their economics competitive as much as AC EVSEs. Finally, it is found that the fleet size and AC EVSE types have a minor effect on the use of renewable energy in contrast to the DCFC case.</t>
  </si>
  <si>
    <t>10.1109/ACCESS.2022.3150359</t>
  </si>
  <si>
    <t>Ferro, G; Paolucci, M; Robba, M</t>
  </si>
  <si>
    <t>Ferro, Giulio; Paolucci, Massimo; Robba, Michela</t>
  </si>
  <si>
    <t>Optimal Charging and Routing of Electric Vehicles With Power Constraints and Time-of-Use Energy Prices</t>
  </si>
  <si>
    <t>Routing; Batteries; Vehicle routing; Transportation; Mathematical model; Load modeling; Charging stations; Electric vehicles routing; smart grid; time-of-use energy prices; optimization</t>
  </si>
  <si>
    <t>OPTIMIZATION MODEL; CONSUMPTION; WINDOWS; STATIONS</t>
  </si>
  <si>
    <t>In this article, a new mathematical formulation for the electric vehicle routing problem (EVRP) is proposed. This formulation extends the Green Vehicle Routing Problem (GVRP) considering time-of-use energy (TOU) prices, and including a detailed model for the EVs' energy consumption. The main decisions for the considered EVRP are relevant to the choice among different types of charging modes at recharging stations, the speed of EVs, the loaded cargo and the battery charge. The model objective consists of minimizing the cost for the total travel distance and that for energy purchase, which depends on the selected recharging mode. A preprocessing algorithm used to reduce the problem dimension is presented. The experimental analysis performed on a large set of benchmark instances is reported.</t>
  </si>
  <si>
    <t>10.1109/TVT.2020.3038049</t>
  </si>
  <si>
    <t>Shams, H; Sadeghfam, A; Rostami, N; Tohidi, S</t>
  </si>
  <si>
    <t>Shams, Hamed; Sadeghfam, Amin; Rostami, Naghi; Tohidi, Sajjad</t>
  </si>
  <si>
    <t>Exact approach for charging of PEVs with V2G capability to improve micro-grid reliability</t>
  </si>
  <si>
    <t>power grids; distributed power generation; power generation scheduling; probability; battery powered vehicles; nonlinear programming; integer programming; power generation dispatch; power generation reliability; wind turbines; electric vehicle charging; microgrid reliability; transportation systems; electric vehicles; additional electrical power demand; electric grid reliability; charging station; microgrids; total system operation cost; grid capability; PEV charging; V2G capability</t>
  </si>
  <si>
    <t>Nowadays, the major proportion of fossil fuels is consumed in the transportation systems. Plug-in electric vehicles (PEVs) can play a significant role in reducing the petrol consumption. A large amount of additional electrical power demand needed for the charging of PEVs may adversely affect the electric grid reliability. Using the charging station in the micro-grids (MGs) to minimise the total system operation cost in the presence of PEVs with vehicle to grid (V2G) capability is becoming vitally important. In this work, a practical model for charging strategy of PEVs based on typical charge and discharge profiles given by the battery producers is considered. The problem is constrained by the loss of load probability index of reliability. The proposed strategy makes it possible to handle the generation shortage due to the outage of conventional units and intermittency of wind turbine units. Mixed Integer Non-linear programming is used for the optimal planning of MG in the presence of PEVs. Results show that an appropriate charge and discharge strategy may lead to a significant improvement in the reliability of the considered MG as well as a reduction in the operational cost of the total system.</t>
  </si>
  <si>
    <t>10.1049/iet-gtd.2018.6752</t>
  </si>
  <si>
    <t>Ito, H</t>
  </si>
  <si>
    <t>Ito, Hiroshi</t>
  </si>
  <si>
    <t>Disturbance and Delay Robustness Guarantees of Gradient Systems Based on Static Noncooperative Games With an Application to Feedback Control for PEV Charging Load Allocation</t>
  </si>
  <si>
    <t>IEEE TRANSACTIONS ON CONTROL SYSTEMS TECHNOLOGY</t>
  </si>
  <si>
    <t>Battery charging; integral input-to-state stability; large-scale systems; nonlinear systems; plug-in electric vehicle (PEV); smart grid; time delay</t>
  </si>
  <si>
    <t>POWER-CONTROL; ISS; NETWORKS; VEHICLES; IMPACT</t>
  </si>
  <si>
    <t>This paper investigates robustness of gradient-type dynamical systems derived from static noncooperative games with a large number of players. The control objective is to drive state variables to the vicinities of Nash equilibria in the presence of disturbance and time-delay. The framework of integral input-to-state stability for large-scale systems is employed for verifying such global robustness. Several robustness criteria are presented, and Lyapunov-Krasovskii functionals are constructed. The developed theory is applied to the plug-in electric vehicle charging problem of allocating the charging load to the overnight demand valley to reduce the impact on the electric grid. Securing robustness of the dynamic load allocation is important, since eliminating uncertainties in demand predictions would become harder due to energy storage integration coupled with various energy-aware technologies. Introducing feedback, this paper guarantees stability and achieves robustness of the allocation dynamics subject to communication delay when demand predictions are not accurate. The usefulness of the proposed decentralized scheme is illustrated by numerical simulations.</t>
  </si>
  <si>
    <t>10.1109/TCST.2012.2208752</t>
  </si>
  <si>
    <t>Water, W; Lu, J</t>
  </si>
  <si>
    <t>Water, W.; Lu, J.</t>
  </si>
  <si>
    <t>Shielding Analysis of High-Frequency Coaxial Transformers Used for Electric Vehicle On-Board Charging Systems</t>
  </si>
  <si>
    <t>IEEE TRANSACTIONS ON MAGNETICS</t>
  </si>
  <si>
    <t>Charging system; electric vehicle (EV); electromagnetic interference (EMI); Faraday shield; finite element method (FEM); high-frequency coaxial transformer (HFCT); smart grid</t>
  </si>
  <si>
    <t>This paper introduces a high-frequency coaxial transformer (HFCT) with a power efficiency of &gt;99.5% and an operational frequency between 100-300 kHz. The power rating of the HFCT can be easily scaled from 2.5 to 20 kW by adapting its simple symmetrical structure. The introduced HFCT is suitable for use with converters in electric vehicle on-board charging systems. It easily fulfills the design requirements of being lightweight, compact, and having a high power density and achieved a volume reduction of 75% in comparison with commercial products Furthermore, the electromagnetic interferences are increasing with the increased operating frequency, and an inserted copper Faraday shield is used to deal with this issue (an 80.6% reduction of intra-winding capacitance was achieved). A shielding analysis, with a focus on the insertion losses, is undertaken by utilizing finite element method based numerical techniques.</t>
  </si>
  <si>
    <t>10.1109/TMAG.2013.2239267</t>
  </si>
  <si>
    <t>Yang, ZX; Huang, XL; Gao, T; Liu, Y; Gao, S</t>
  </si>
  <si>
    <t>Yang, Zexin; Huang, Xueliang; Gao, Tian; Liu, Yu; Gao, Shan</t>
  </si>
  <si>
    <t>Real-Time Energy Management Strategy for Parking Lot Considering Maximum Penetration of Electric Vehicles</t>
  </si>
  <si>
    <t>State of charge; Real-time systems; Transformers; Batteries; Smart charging; Schedules; Distribution networks; Intelligent grouping; coupling relationship; charging; discharging priority indicator; smart real-time energy management strategy; penetration level of electric vehicles; parking lot</t>
  </si>
  <si>
    <t>IMPACT; RELIABILITY</t>
  </si>
  <si>
    <t>With the rapid increase of electric vehicles (EVs), the uncoordinated charging of large-scale EVs will inevitably form a new peak of power consumption, which will put forward new requirements for the adjustment of EV charging behavior and the power supply capacity of the distribution network. However, upgrading the infrastructure of the distribution network is very expensive, so it is of great value to research on how to realize the optimal integration of EVs without infrastructure upgrading. In this paper, an intelligent grouping method is proposed considering the coupling relationship among EV travel information, battery status and other characteristics, and a charging/discharging priority model is established based on the contribution index of charging process. Finally, a smart real-time energy management strategy is formed in order to maximize the penetration level of EVs under current conditions. With the strategy proposed, the maximum penetration level of EVs is increased from 20% to 60% in the simulation. The strategy has good adaptability to the gradually growth of the base load, which can effectively delay infrastructure upgrading of the distribution network and reduce the overall operation cost of the station. It could furtherly provide a reference for the operation and upgrading of the parking lot charging station.</t>
  </si>
  <si>
    <t>10.1109/ACCESS.2022.3141377</t>
  </si>
  <si>
    <t>Shang, YT; Liu, M; Shao, ZY; Jian, LN</t>
  </si>
  <si>
    <t>Shang, Yitong; Liu, Man; Shao, Ziyun; Jian, Linni</t>
  </si>
  <si>
    <t>A centralized vehicle-to-grid scheme with distributed computing capacity engaging internet of smart charging points: Case study</t>
  </si>
  <si>
    <t>distributed computing; internet of smart charging points (ISCP); load peak-shaving and valley-filling; plug-in electric vehicle; vehicle-to-grid</t>
  </si>
  <si>
    <t>IN ELECTRIC VEHICLE; MINIMIZING LOAD VARIANCE; CONTROL STRATEGY; POWER-CONTROL; V2G; MANAGEMENT; DEMAND; IMPACT; AGGREGATORS; SYSTEM</t>
  </si>
  <si>
    <t>In order to accommodate additional plug-in electric vehicle (PEV) charging loads for existing distribution power grids, the vehicle-to-grid (V2G) technology has been regarded as a cost-effective solution. Nevertheless, it can hardly scale up to large PEVs fleet coordination due to the computational complexity issue. In this paper, a centralized V2G scheme with distributed computing capability engaging internet of smart charging points (ISCP) is proposed. Within ISCP, each smart charging point equips a computing unit and does not upload PEV sensitive information to the energy coordinator, to protect PEV users' privacy. Particularly, the computational complexity can be decreased dramatically by employing distributed computing, viz., by decomposing the overall scheduling problem into many manageable sub-problems. Moreover, six typical V2G scenarios are analyzed deliberately, and based on that, a load peak-shaving and valley-filling scheduling algorithm is built up. The proposed algorithm can be conducted in real-time to mitigate the uncertainties in arrival time, departure time, and energy demand. Finally, the proposed scheme and its algorithm are verified under the distribution grid of the SUSTech campus (China). Compared with uncoordinated charging, the proposed scheme realizes load peak-shaving and valley-filling by 11.98% and 12.68%, respectively. The voltage values are ensured within the limitation range by engaging power flow calculation, in which the minimum voltage values are increasing and the maximum voltage values are decreasing with the expansion of PEV penetration. What is more, the computational complexity of peak-shaving and valley-filling strategy is near-linear, which verifies the proposed scheme can be carried out very efficiently.</t>
  </si>
  <si>
    <t>10.1002/er.5967</t>
  </si>
  <si>
    <t>SEP 2020</t>
  </si>
  <si>
    <t>Prediction of EV Charging Behavior Using Machine Learning</t>
  </si>
  <si>
    <t>Energy consumption; Support vector machines; Machine learning; Radio frequency; Prediction algorithms; Machine learning algorithms; Predictive models; Electric vehicles (EVs); charging behavior; machine learning; smart city; smart transportation</t>
  </si>
  <si>
    <t>As a key pillar of smart transportation in smart city applications, electric vehicles (EVs) are becoming increasingly popular for their contribution in reducing greenhouse gas emissions. One of the key challenges, however, is the strain on power grid infrastructure that comes with large-scale EV deployment. The solution to this lies in utilization of smart scheduling algorithms to manage the growing public charging demand. Using data-driven tools and machine learning algorithms to learn the EV charging behavior can improve scheduling algorithms. Researchers have focused on using historical charging data for predictions of behavior such as departure time and energy needs. However, variables such as weather, traffic, and nearby events, which have been neglected to a large extent, can perhaps add meaningful representations, and provide better predictions. Therefore, in this paper we propose the usage of historical charging data in conjunction with weather, traffic, and events data to predict EV session duration and energy consumption using popular machine learning algorithms including random forest, SVM, XGBoost and deep neural networks. The best predictive performance is achieved by an ensemble learning model, with SMAPE scores of 9.9% and 11.6% for session duration and energy consumptions, respectively, which improves upon the existing works in the literature. In both predictions, we demonstrate a significant improvement compared to previous work on the same dataset and we highlight the importance of traffic and weather information for charging behavior predictions.</t>
  </si>
  <si>
    <t>10.1109/ACCESS.2021.3103119</t>
  </si>
  <si>
    <t>van der Wardt, TJT; Farid, AM</t>
  </si>
  <si>
    <t>van der Wardt, Thomas J. T.; Farid, Amro M.</t>
  </si>
  <si>
    <t>A Hybrid Dynamic System Assessment Methodology for Multi-Modal Transportation-Electrification</t>
  </si>
  <si>
    <t>electrified transportation; transportation electrification transportation-electricity nexus (TEN); intelligent transportation systems; energy management systems; coordinated charging; vehicle-to-grid integration; electric vehicle (EV) carbon intensity</t>
  </si>
  <si>
    <t>OPTIMAL TRAFFIC ASSIGNMENT; RENEWABLE ENERGY-SOURCES; ELECTRIC VEHICLES; ELASTIC DEMANDS; STORAGE SYSTEMS; POWER-SYSTEMS; IMPACT; POLICY; COSTS; INTEGRATION</t>
  </si>
  <si>
    <t>In recent years, electrified transportation, be it in the form of buses, trains, or cars have become an emerging form of mobility. Electric vehicles (EVs), especially, are set to expand the amount of electric miles driven and energy consumed. Nevertheless, the question remains as to whether EVs will be technically feasible within infrastructure systems. Fundamentally, EVs interact with three interconnected systems: the (physical) transportation system, the electric power grid, and their supporting information systems. Coupling of the two physical systems essentially forms a nexus, the transportation-electricity nexus (TEN). This paper presents a hybrid dynamic system assessment methodology for multi-modal transportation-electrification. At its core, it utilizes a mathematical model which consists of a marked Petri-net model superimposed on the continuous time microscopic traffic dynamics and the electrical state evolution. The methodology consists of four steps: (1) establish the TEN structure; (2) establish the TEN behavior; (3) establish the TEN Intelligent Transportation-Energy System (ITES) decision-making; and (4) assess the TEN performance. In the presentation of the methodology, the Symmetrica test case is used throughout as an illustrative example. Consequently, values for several measures of performance are provided. This methodology is presented generically and may be used to assess the effects of transportation-electrification in any city or area; opening up possibilities for many future studies.</t>
  </si>
  <si>
    <t>10.3390/en10050653</t>
  </si>
  <si>
    <t>Zhang, Q; Ding, ZW; Tan, WY; Xie, WR; Li, Y</t>
  </si>
  <si>
    <t>Zhang, Qian; Ding, Zhuwei; Tan, Weiyu; Xie, Wenrui; Li, Yan</t>
  </si>
  <si>
    <t>Negotiation strategy of discharging price between power grid and electric vehicles considering multi-agent</t>
  </si>
  <si>
    <t>electric vehicles; multi-agent systems; pricing; optimisation; battery powered vehicles; scheduling; power grids; charging discharging optimisation scheduling model; power grid; EV agents; negotiation process; negotiators; electric vehicles; negotiation strategy; electricity price; reasonable discharging price; multiagent situation; two-stage negotiation model</t>
  </si>
  <si>
    <t>The electricity price plays an important role in stimulating electric vehicles (EVs) to participate in the power grid's scheduling. It is necessary to formulate a reasonable discharging price for the power grid and electric vehicles. Here, a negotiation strategy of electric vehicles participating in optimal scheduling under the multi-agent situation which aims to formulate reasonable discharging price is proposed, and then a two-stage negotiation model considering multiple agents is established. First, a charging and discharging optimisation scheduling model considering EV travel characteristics is proposed, based on which the bidding limits of the power grid and EV agents are calculated. Then, the negotiation process is divided into two stages. In the first stage, all negotiators offer tentative bidding; in the second stage, negotiators will adjust their bidding based on learning other negotiators and the discharging price is obtained finally. In numerical cases, the proposed negotiation model is proved to be effective in balancing benefits of power grid and electric vehicles as well as peak load shifting.</t>
  </si>
  <si>
    <t>MAR 13</t>
  </si>
  <si>
    <t>10.1049/iet-gtd.2018.7017</t>
  </si>
  <si>
    <t>Sabillon-Antunez, C; Melgar-Dominguez, OD; Franco, JF; Lavorato, M; Rider, MJ</t>
  </si>
  <si>
    <t>Sabillon-Antunez, Carlos; Melgar-Dominguez, Ozy D.; Franco, John F.; Lavorato, Marina; Rider, Marcos J.</t>
  </si>
  <si>
    <t>Volt-VAr Control and Energy Storage Device Operation to Improve the Electric Vehicle Charging Coordination in Unbalanced Distribution Networks</t>
  </si>
  <si>
    <t>Electric vehicle charging coordination (EVCC) problem; energy storage devices (ESDs); mixed integer linear programming (MILP); Volt-VAr control; voltage-dependent load model</t>
  </si>
  <si>
    <t>LOAD DEMAND; OPTIMIZATION; MANAGEMENT</t>
  </si>
  <si>
    <t>In this paper, a new approach is presented to solve the electric vehicle charging coordination (EVCC) problem considering Volt-VAr control, energy storage device (ESD) operation and dispatchable distributed generation (DG) available in three-phase unbalanced electrical distribution networks (EDNs). Dynamic scheduling for the EVCC is proposed through a step-by-step methodology, which solves a mixed integer linear programming (MILP) problem for the whole time period. The objective is to minimize the total cost of energy purchased from the substation and DG units, the cost of energy curtailment on electric vehicles, the cost of energy injected from the ESDs, and the cost of energy curtailment on the ESDs. The Volt-VAr control considers the management of on-load tap changers, voltage regulators, and switchable capacitors installed along the grid. Furthermore, the formulation takes into account the voltage dependence of the loads, while the steady-state operation of the unbalanced distribution systems is modeled using linear constraints. The proposed model was tested in a 178-node three-phase unbalanced EDN considering a one-day time period.</t>
  </si>
  <si>
    <t>10.1109/TSTE.2017.2695195</t>
  </si>
  <si>
    <t>Kim, OTT; Le, THT; Shin, MJ; Nguyen, V; Han, Z; Hong, CS</t>
  </si>
  <si>
    <t>Oanh Tran Thi Kim; Tra Huong Thi Le; Shin, Michael J.; Vandung Nguyen; Han, Zhu; Hong, Choong Seon</t>
  </si>
  <si>
    <t>Distributed Auction-Based Incentive Mechanism for Energy Trading Between Electric Vehicles and Mobile Charging Stations</t>
  </si>
  <si>
    <t>Peer-to-peer computing; Charging stations; Renewable energy sources; Power grids; Costs; Computational modeling; Physical layer; Incentive mechanism; energy trading; electric vehicles; mobile charging station; distributed auction; smart city</t>
  </si>
  <si>
    <t>RENEWABLE ENERGY; PEER; INTEGRATION; STORAGE; DESIGN; SYSTEM</t>
  </si>
  <si>
    <t>With the increasing number of electric vehicles, deploying fixed charging stations (FCSs) has been a widely adopted solution for providing charging services to EVs. However, the charging requirement of EVs being near overload FCSs and/or in areas of inadequate charging infrastructures such as highways and rural areas will surpass the capabilities of FCSs. To address this challenge, the realized peer-to-peer (P2P) energy trading between electric vehicles (EVs) and mobile charging stations (MCSs) can be utilized to relieve the overload on FCSs, leverage under-utilized energy resources among cities and achieve trading benefits. By deploying this energy trading model, EVs purchase available energy from MCSs instead of FCSs to fulfill their charging demands. However, such an energy trade requires an incentive mechanism to ensure fair trading and prevent personal gain, which motivates us to study the incentive mechanism design for the energy trading model. In this paper, first, we consider an energy trading system involving multiple MCSs and EVs. Then, we formulate the incentive mechanism between MCSs and EVs as an auction game, in which the MCSs are auctioneers and EVs are bidders. In the formulated problem, each EV secretly submits its bid to MCSs, and each MCS distributively decides the winners without the knowledge of other MCSs. To achieve this, we design a distributed action-based energy trading mechanism that ensures fairness of providing charging service, validity in trading price's resource determination, and nothing incentivizing the EVs to cheat on payment decisions. The proposed energy trading scheme achieves certain critical properties, including truthfulness, individual rationality, budget balance, and computational efficiency for both buyers and sellers. Finally, we perform simulation experiments to verify the proposed scheme's effectiveness compared with the baseline in the literature.</t>
  </si>
  <si>
    <t>10.1109/ACCESS.2022.3170709</t>
  </si>
  <si>
    <t>Chaudhari, K; Connor, PM; Comden, J; King, J</t>
  </si>
  <si>
    <t>Chaudhari, Kalpesh; Connor, Patrick M.; Comden, Joshua; King, Jennifer</t>
  </si>
  <si>
    <t>Learning Assisted Demand Charge Mitigation for Workplace Electric Vehicle Charging</t>
  </si>
  <si>
    <t>Prediction algorithms; Optimization; Random forests; Machine learning algorithms; Radio frequency; Measurement; Linear regression; Demand charge; electric vehicles (EVs); machine learning; smart charging; transportation</t>
  </si>
  <si>
    <t>Uncontrolled electric vehicle (EV) charging loads at a workplace could result in hefty demand charges. Several studies in the literature have focused on mitigating these demand charges at workplaces using aggregator-based centralized control and consensus-based distributed control. Though each model has successfully mitigated the demand charges they all show some limitations. Aggregator-based centralized solver is computation and time intensive while consensus-based distributed control is communication intensive. Other works with algorithms exploring demand charge mitigation also often rely on large amounts communications. These algorithms include water filling algorithms, multiobjective optimization, and a fuzzy logic controller. The machine learning-based (ML) approach investigated in this study seeks to eliminate both drawbacks using the model trained on optimization results obtained with existing methods. The investigation of ML-based controller in this study is not only found to be superior in performance due to speed and accuracy metrics compared to existing control approaches but has also provided the promising resilient approach to deal with communication failure and cybersecurity threats.</t>
  </si>
  <si>
    <t>10.1109/ACCESS.2022.3172334</t>
  </si>
  <si>
    <t>Chowdhury, M</t>
  </si>
  <si>
    <t>Chowdhury, Mahfuzulhoq</t>
  </si>
  <si>
    <t>A collaborative charge scheduling scheme for electric vehicles (EV) based on charging time and resource cost-awareness</t>
  </si>
  <si>
    <t>INTERNATIONAL JOURNAL OF SENSOR NETWORKS</t>
  </si>
  <si>
    <t>EV; electric vehicles; charging delay; charge scheduling; satisfaction ratio; utility; waiting delay; resource allocation; revenue-to-required time ratio; elapsed time; resource cost</t>
  </si>
  <si>
    <t>STRATEGIES; PRICE</t>
  </si>
  <si>
    <t>To reduce the greenhouse gas emissions problems of traditional fuel vehicles, electric vehicles (EVs) are regarded as a promising transportation solution by industry peoples. Although EVs' performances are limited due to their limited battery power, large travelling distance during their journeys, charging delay for service, and resource price. To improve the EV's performance, this paper presents a charging time and resource cost-aware collaborative EV charging policy that selects not only a suitable charging station but also assigns timeslot for charging-discharging operation. In this paper, a decentralised EV charging/discharging network architecture is proposed in which the EV does not only communicate with the local cloud server by using the traditional vehicular network but also utilises the EV-to-charging station and EV-to-EV interaction. The simulation results indicate that the proposed charging scheduling policy results in a better charging requirement satisfaction ratio, charging delay, and resource costs than the compared traditional schemes.</t>
  </si>
  <si>
    <t>10.1504/IJSNET.2022.121168</t>
  </si>
  <si>
    <t>Chen, HM; Hu, ZC; Zhang, HC; Luo, HC</t>
  </si>
  <si>
    <t>Chen, Huimiao; Hu, Zechun; Zhang, Hongcai; Luo, Haocheng</t>
  </si>
  <si>
    <t>Coordinated charging and discharging strategies for plug-in electric bus fast charging station with energy storage system</t>
  </si>
  <si>
    <t>battery powered vehicles; public transport; pricing; electric vehicle charging; energy storage; coordinated charging; discharging strategies; plug-in electric bus fast charging station; energy storage system; public transportation; PEB fast charging stations; PEBFCS; maximum economic benefits; electricity price arbitrage; heuristics-based method; ESS capacity</t>
  </si>
  <si>
    <t>VEHICLES; TRANSFORMER; MANAGEMENT; IMPACT</t>
  </si>
  <si>
    <t>Plug-in electric bus (PEB) is an environmentally friendly mode of public transportation and PEB fast charging stations (PEBFCSs) play an essential role in the operation of PEBs. Under effective control, deploying an energy storage system (ESS) within a PEBFCS can reduce the peak charging loads and the electricity purchase costs. To deal with the (integrated) scheduling problem of (PEBs charging and) ESS charging and discharging, in this study, the authors propose an optimal real-time coordinated charging and discharging strategy for a PEBFCS with ESS to achieve maximum economic benefits. According to whether the PEB charging loads are controllable, the corresponding mathematical models are, respectively, established under two scenarios, i.e. coordinated PEB charging scenario and uncoordinated PEB charging scenario. The price and lifespan of ESS, the capacity charge of PEBFCS and the electricity price arbitrage are considered in the models. Further, under the coordinated PEB charging scenario, a heuristics-based method is developed to get the approximately optimal strategy with computation efficiency dramatically enhanced. Finally, the authors validate the effectiveness of the proposed strategies, interpret the effect of ESS prices on the usage of ESS and provide the sensitivity analysis of ESS capacity through the case studies.</t>
  </si>
  <si>
    <t>10.1049/iet-gtd.2017.0636</t>
  </si>
  <si>
    <t>Liao, JT; Huang, HW; Yang, HT; Li, DS</t>
  </si>
  <si>
    <t>Liao, Jian-Tang; Huang, Hao-Wei; Yang, Hong-Tzer; Li, Desheng</t>
  </si>
  <si>
    <t>Decentralized V2G/G2V Scheduling of EV Charging Stations by Considering the Conversion Efficiency of Bidirectional Chargers</t>
  </si>
  <si>
    <t>battery degradation; charging and discharging scheduling; conversion efficiency; demand response; electric vehicle; optimization; vehicle-to-grid and grid-to-vehicle (V2G; G2V)</t>
  </si>
  <si>
    <t>BATTERY DEGRADATION; PARKING LOTS; SYSTEM</t>
  </si>
  <si>
    <t>With a rapid increase in the awareness of carbon reduction worldwide, the industry of electric vehicles (EVs) has started to flourish. However, the large number of EVs connected to a power grid with a large power demand and uncertainty may result in significant challenges for a power system. In this study, the optimal charging and discharging scheduling strategies of G2V/V2G and battery energy storage system (BESS) were proposed for EV charging stations. A distributed computation architecture was employed to streamline the complexity of an optimization problem. By considering EV charging/discharging conversion efficiencies for different load conditions, the proposed method was used to maximize the operational profits of each EV and BESS based on the related electricity tariff and demand response programs. Moreover, the behavior model of drivers and cost of BESS degradation caused by charging and discharging cycles were considered to improve the overall practical applicability. An EV charging station with 100 charging piles was simulated as an example to verify the feasibility of the proposed method. The developed algorithms can be used for EV charging stations, load aggregators, and service companies integrated with distributed energy resources in a smart grid.</t>
  </si>
  <si>
    <t>10.3390/en14040962</t>
  </si>
  <si>
    <t>DANTE, AW; KELOUWANI, S; AGBOSSOU, K; HENAO, N; BOUCHARD, J; HOSSEINI, SS</t>
  </si>
  <si>
    <t>DANTE, A. B. D. O. U. L. W. A. H. A. B.; KELOUWANI, S. O. U. S. S. O.; AGBOSSOU, K. O. D. J. O.; HENAO, N. I. L. S. O. N.; BOUCHARD, J. O. N. A. T. H. A. N.; HOSSEINI, S. A. Y. E. D. S. A. E. E. D.</t>
  </si>
  <si>
    <t>A Stochastic Approach to Designing Plug-In Electric Vehicle Charging Controller for Residential Applications</t>
  </si>
  <si>
    <t>Uncertainty; Optimization; Stochastic processes; Predictive models; State of charge; Costs; Batteries; Plug-in electric vehicle; energy management; charging scheduling; load modeling; uncertainty</t>
  </si>
  <si>
    <t>COMMERCIAL BUILDINGS; OPTIMAL ALLOCATION; DEMAND-RESPONSE; ENERGY; OPTIMIZATION; MANAGEMENT; STATIONS; MODEL</t>
  </si>
  <si>
    <t>The increase of Plug-in Electric Vehicles (PEVs) penetration in distribution systems necessitates processing strategic assets in order to deal with their energy needs. A careful investigation into matters related to PEV charging management under actual circumstances can be regarded as the critical step towards enabling this process. Accordingly, this paper intends to design a practical controller capable of performing charging scheduling under uncertainties related to the lack of access to crucial PEV information accounting for departure time, energy requirement, and power demand nonlinearity. Although such an issue can be encountered when developing charging models for real-world conditions, it has not been adequately taken into consideration. The proposed controller carries out charging scheduling through a procedure with a set of effective straightforward algorithms, essential for actual applications. Particularly, it takes advantage of a Bayesian forecasting model that is able to efficiently predict charging energy demand according to car owner's behavior. In addition, it employs a stochastic optimization framework to schedule PEV charging based on the dynamic electricity price and user preference. Several case studies are conducted to examine the performance of suggested controller in optimal scheduling by exploiting real data. The evaluation process is executed through a comparative analysis by using a deterministic method, as the ideal case, which exploits a full-information space. The results show that the proposed procedure can offer competitive charging schedules, which can minimize the cost while satisfying user desires. The designed controller can successfully manage PEV charging in the presence of stochastic phenomena with limited information access, and thus, enable physical implementations.</t>
  </si>
  <si>
    <t>10.1109/ACCESS.2022.3175817</t>
  </si>
  <si>
    <t>Chatterji, E; Bazilian, MD</t>
  </si>
  <si>
    <t>Chatterji, Emon; Bazilian, Morgan D.</t>
  </si>
  <si>
    <t>Smart Meter Data to Optimize Combined Roof-Top Solar and Battery Systems Using a Stochastic Mixed Integer Programming Model</t>
  </si>
  <si>
    <t>Load modeling; Batteries; Smart meters; Tools; Optimization; Linear programming; Stochastic processes; Optimization model; battery storage; solar panel sizing; electric vehicle charging; smart meter data; TOU grid pricing</t>
  </si>
  <si>
    <t>ENERGY MANAGEMENT-SYSTEMS; PHOTOVOLTAIC SYSTEMS; STORAGE; OPERATION</t>
  </si>
  <si>
    <t>This paper presents the design and results of a model that uses household smart meter data, electric vehicle (EV) travel load and charging options, and multiple solar resource profiles, to make decisions on optimal combinations of photovoltaics (PV), battery energy storage systems (BESS) and EV charging strategies. The least-cost planning model is formulated as a stochastic mixed integer programming (MIP) problem that makes first stage decisions on PV/BESS investments, and recourse decisions on purchase/sell from/to the grid to minimize expected household electricity costs. The model undertakes a customer-centric optimization taking into consideration net metering policy, time-of-use grid pricing, and uncertainties around inter-annual variability of solar irradiance. The model adds to the existing literature in terms of stochastic representation of inter-annual variability of solar irradiance, together with BESS capacity optimization, and EV charging mode selection. Three case studies are presented: two for a residential house with and without EV load, and a third for a larger community facility. Results from the model for the first residential house case study are compared with commercially available software to show the impacts of an accurate load profile and different policy parameters. The stochastic feature of the model proves useful in understanding the impact of variability in solar resource profiles on PV sizing. Finally, simulations of alternative EV travel patterns and tariff policies that discourage charging during the evening peak show the efficacy of 'super off-peak' pricing being introduced in the state of Maryland.</t>
  </si>
  <si>
    <t>10.1109/ACCESS.2020.3010919</t>
  </si>
  <si>
    <t>Yilmaz, M; Krein, PT</t>
  </si>
  <si>
    <t>Yilmaz, Murat; Krein, Philip T.</t>
  </si>
  <si>
    <t>Review of the Impact of Vehicle-to-Grid Technologies on Distribution Systems and Utility Interfaces</t>
  </si>
  <si>
    <t>IEEE TRANSACTIONS ON POWER ELECTRONICS</t>
  </si>
  <si>
    <t>Battery degradation; charging infrastructure; distribution system; grid operator; grid-to-vehicle (G2V); plug-in electric vehicles (PEVs); regulation; smart charging; unidirectional/bidirectional power flow; utility interface; vehicle-to-grid (V2G)</t>
  </si>
  <si>
    <t>HYBRID ELECTRIC VEHICLES; POWER QUALITY; RENEWABLE ENERGY; DEMAND RESPONSE; DRIVE VEHICLES; INTEGRATION; EMISSIONS; TRANSPORT; MODEL; COST</t>
  </si>
  <si>
    <t>Plug-in vehicles can behave either as loads or as a distributed energy and power resource in a concept known as vehicle-to-grid (V2G) connection. This paper reviews the current status and implementation impact of V2G/grid-to-vehicle (G2V) technologies on distributed systems, requirements, benefits, challenges, and strategies for V2G interfaces of both individual vehicles and fleets. The V2G concept can improve the performance of the electricity grid in areas such as efficiency, stability, and reliability. A V2G-capable vehicle offers reactive power support, active power regulation, tracking of variable renewable energy sources, load balancing, and current harmonic filtering. These technologies can enable ancillary services, such as voltage and frequency control and spinning reserve. Costs of V2G include battery degradation, the need for intensive communication between the vehicles and the grid, effects on grid distribution equipment, infrastructure changes, and social, political, cultural, and technical obstacles. Although V2G operation can reduce the lifetime of vehicle batteries, it is projected to become economical for vehicle owners and grid operators. Components and unidirectional/bidirectional power flow technologies of V2G systems, individual and aggregated structures, and charging/recharging frequency and strategies (uncoordinated/coordinated smart) are addressed. Three elements are required for successful V2G operation: power connection to the grid, control and communication between vehicles and the grid operator, and on-board/off-board intelligent metering. Success of the V2G concept depends on standardization of requirements and infrastructure decisions, battery technology, and efficient and smart scheduling of limited fast-charge infrastructure. A charging/discharging infrastructure must be deployed. Economic benefits of V2G technologies depend on vehicle aggregation and charging/recharging frequency and strategies. The benefits will receive increased attention from grid operators and vehicle owners in the future.</t>
  </si>
  <si>
    <t>10.1109/TPEL.2012.2227500</t>
  </si>
  <si>
    <t>Wu, FZ; Yang, J; Zhan, XP; Liao, SY; Xu, J</t>
  </si>
  <si>
    <t>Wu, Fuzhang; Yang, Jun; Zhan, Xiangpeng; Liao, Siyang; Xu, Jian</t>
  </si>
  <si>
    <t>The Online Charging and Discharging Scheduling Potential of Electric Vehicles Considering the Uncertain Responses of Users</t>
  </si>
  <si>
    <t>Charging stations; Games; Power grids; Optimal scheduling; Electric potential; Complex networks; Social networking (online); Charging and discharging of electric vehicles; scheduling potential; evolutionary game model in a complex network; uncertain response; Wardrop&amp;apos; s first traffic equilibrium</t>
  </si>
  <si>
    <t>ENERGY; INTEGRATION</t>
  </si>
  <si>
    <t>A method for evaluating the charging and discharging scheduling potential of electric vehicles in case of the occasional operation of a power grid is proposed, which describes the variations in the users' responses. Considering the social relationships and mutual learning among users, an evolutionary game model for the optimal response in a complex network is established to study the response rule of the users for the scheduling measures. Wardrop's first traffic equilibrium model is applied to calculate the shortest time for the vehicles to arrive at the charging station from their response sites. Finally, the scheduling potential at a charging station is effectively evaluated considering the influence of the type of activities that the users participate in and their credits. Taking a test traffic network and the traffic network of Beijing third ring road as examples, the responses of the electric vehicle users are studied, and the scheduling potential of electric vehicles in different scenarios is verified. Although an increased incentive can improve the response level of the electric vehicles, it may lead to a reduction in the scheduling capacity, delays in the charging and discharging starting time, and a shortened scheduling duration.</t>
  </si>
  <si>
    <t>10.1109/TPWRS.2020.3029836</t>
  </si>
  <si>
    <t>Electric vehicle charge scheduling (EVCS) with PV assistance for variable energy purchase in a multi-aggregator environment</t>
  </si>
  <si>
    <t>secondary cells; power grids; battery storage plants; photovoltaic power systems; electric vehicle charging; purchasing; power generation economics; power generation scheduling; energy consumption; power markets; electric vehicle charge scheduling; EVCS; multiaggregator environment; environmental conservation; energy storage device; photovoltaic-assisted charging stations; PVCS; aggregator profits; energy consumption; variable energy purchasing; PV-battery storage</t>
  </si>
  <si>
    <t>With the anticipated growth in use of electric vehicles (EVs) due to their benefits in environmental conservation and their potential as an energy storage device, corresponding charging facilities will also observe a growth. EVs require a charging infrastructure that supports a scenario which is capable of handling a large number of scheduling requests. However, this may result in a greater load on the grid. To mitigate the impacts of the increased charging load on the grid, photovoltaic (PV)-assisted charging stations, or PVCS, are proposed here. The benefits of PVCS are evaluated from the point of view of aggregator profits and energy consumption from the grid for a greater number of scheduling requests. With the use of PV at charging stations, it is found that for the period in which PV and battery storage are active, a majority of the charging requests are scheduled through the PV/Battery assist. Thus, reducing the effect on the grid along with an improvement in the total profit of the aggregators.</t>
  </si>
  <si>
    <t>10.1049/joe.2018.9330</t>
  </si>
  <si>
    <t>Tao, S; Liao, KY; Xiao, XN; Wen, JF; Yang, Y; Zhang, J</t>
  </si>
  <si>
    <t>Tao Shun; Liao Kunyu; Xiao Xiangning; Wen Jianfeng; Yang Yang; Zhang Jian</t>
  </si>
  <si>
    <t>Charging demand for electric vehicle based on stochastic analysis of trip chain</t>
  </si>
  <si>
    <t>electric vehicles; smart power grids; stochastic processes; Monte Carlo methods; electric vehicle; stochastic analysis; trip chain; popularisation; smart grid; EV; driving law; charging infrastructures planning; charging demand calculation; concept variables; characteristic variables; trip start time; driving time; parking duration; driving distance; trip purpose; Monte Carlo method; probability distribution models; spatial-temporal distributions; National household trip survey; power system</t>
  </si>
  <si>
    <t>With its popularisation, electric vehicle (EV) has been part of the important load of smart grid. The analysis on charging demands of EVs is the basis of the study of influences on power grid and charging infrastructures planning. Charging demand calculation is based on the precise analysis on the driving law of users. This study proposes a method based on the stochastic simulation of trip chain to solve the existing problem. First, the concept and characteristic variables (trip start time, driving time, parking duration, driving distance and trip purpose) of trip chain are introduced. Second, the probability distribution models of these variables are established considering their correlative relationships. Third, using Monte Carlo method, the complete trip chains are simulated, and then the spatial-temporal distributions of charging demands are calculated. Finally, based on the National household trip survey data, and according to the proposed method, charging demands in different areas are studied. The results show that the proposed method can accurately simulate the driving law of users and reflect spatial-temporal distribution characteristics of charging demands, and different charging scenarios will lead to different forms of charging demand distribution, which will exert different impacts on power system.</t>
  </si>
  <si>
    <t>AUG 4</t>
  </si>
  <si>
    <t>10.1049/iet-gtd.2015.0995</t>
  </si>
  <si>
    <t>Caliskan, E; Ustun, O</t>
  </si>
  <si>
    <t>Caliskan, Eser; Ustun, Ozgur</t>
  </si>
  <si>
    <t>Smart Efficiency Tracking for Novel Switch-LLC Converter for Battery Charging Applications</t>
  </si>
  <si>
    <t>smart efficiency tracking (SET); frequency modulation (FM); S-PWM; discontinuous operation mode (DOM); GaN-based LLC resonant converter; light electric vehicle battery charging</t>
  </si>
  <si>
    <t>RESONANT CONVERTER; BURST MODE; DESIGN; CHARGERS; TIME</t>
  </si>
  <si>
    <t>In this study, a novel smart efficiency tracking (SET) algorithm for GaN-based LLC resonant converter for quick battery charging of light electric vehicles is proposed. Conventional frequency modulation (FM) method, single pulse width modulation method (S-PWM) and discontinuous operation mode method (DOM) are used to track the converter efficiency which varies for different loading conditions during the battery charging process. First, the charging modes are explained to define the efficiency variation clearly. Then, the theoretical background of GaN-based LLC resonant converter is presented and the details of design study are given. Third, the principles of three different switching control strategies, the modeling study and the simulation results are put forward. Finally, the details of the implementation of three different switching strategies are presented for the validation of the study. Furthermore, the implementation of the design and its impact on battery charging are discussed. The proposed efficiency tracking method is validated with a 20% efficiency increase for the low loading conditions of GaN-based LLC converter.</t>
  </si>
  <si>
    <t>10.3390/en15051861</t>
  </si>
  <si>
    <t>Singh, J; Tiwari, R</t>
  </si>
  <si>
    <t>Singh, Jyotsna; Tiwari, Rajive</t>
  </si>
  <si>
    <t>Impact analysis of different charging models for optimal integration of plug-in electric vehicles in distribution system</t>
  </si>
  <si>
    <t>battery powered vehicles; electric vehicle charging; vehicle-to-grid; power distribution economics; impact analysis; plug-in electric vehicles; vehicle-to-grid operation; load stabilising model; battery degradation model; mixed-objective model; distribution system operational parameters; transformer loading; distribution line; 38-node distribution system; PEV scheduling models; charging-discharging cost model</t>
  </si>
  <si>
    <t>Due to rising environmental concerns and desire to achieve energy independence, the government of many countries across the world keen on promoting plug-in electric vehicles (PEVs). Consequently, high penetration of PEVs is expected in the imminent future. This work aims to develop models with the vehicle-to-grid operation of PEVs under different scheduling strategies namely, load stabilising model, charging/discharging cost model, battery degradation model and mixed-objective model, respectively. Further maximum penetration of PEVs corresponding to each scheduling model is evaluated. The impact of PEVs scheduling models on distribution system operational parameters such as peak load, transformer loading, distribution line limits and losses is also investigated. And finally, a comparative analysis of charging models in terms of technical and economic benefits is presented. The proposed model is implemented on the 38-node distribution system and simulation results demonstrate the comprehensive evaluation of proposed charging models.</t>
  </si>
  <si>
    <t>10.1049/joe.2018.9374</t>
  </si>
  <si>
    <t>Mohamed, AAS; Day, D; Meintz, A; Jun, M</t>
  </si>
  <si>
    <t>Mohamed, Ahmed A. S.; Day, Dylan; Meintz, Andrew; Jun, Myungsoo</t>
  </si>
  <si>
    <t>Real-Time Implementation of Smart Wireless Charging of On-Demand Shuttle Service for Demand Charge Mitigation</t>
  </si>
  <si>
    <t>Wireless communication; State of charge; Renewable energy sources; Vehicles; Batteries; Real-time systems; Radio transmitters; Demand charge; Smart charging; Electric vehicle (EV); On-demand; Wireless Power Transfer (WPT); Wireless charging</t>
  </si>
  <si>
    <t>ELECTRIC VEHICLES; MANAGEMENT; OPTIMIZATION; SIMULATION; BUILDINGS; REDUCTION; STRATEGY; IMPACTS; SYSTEM</t>
  </si>
  <si>
    <t>This paper presents a smart charge management strategy for an on-demand electric shuttle operating at the National Renewable Energy Laboratory (NREL) campus and supported by an inductive charger at the vehicle's waiting spot. A new control algorithm has been proposed for mitigating the demand charges incurred from the wireless charger. It monitors the shuttle, wireless charger, renewable energy generation, and other loads and regulates charging behavior for demand charge mitigation. Within the control algorithm, an energy prediction is made to estimate the mobility needs of the vehicle and maintain uninterrupted service during operation while still minimizing peak demand. The proposed controller is designed and optimized using a Simulink model for the entire system. It is then implemented and tested in real time at the NREL campus using online cloud services. Two vehicle-use cases-charge-sustaining and charge-depletion operation-are tested under different campus power profiles and drive cycles to assess the controller's performance. The proposed controller showed a robust performance under different driving scenarios, with high correlation between simulation and experimental data. The results show that proper demand response can be achieved, with an average of 94% reduction of charging loads during peak demand events.</t>
  </si>
  <si>
    <t>10.1109/TVT.2020.3045833</t>
  </si>
  <si>
    <t>El-Bayeh, CZ; Hussain, S; Eicker, U; Alqaisi, W; Zellagui, M</t>
  </si>
  <si>
    <t>El-Bayeh, Claude Ziad; Hussain, Sadam; Eicker, Ursula; Alqaisi, Walid; Zellagui, Mohamed</t>
  </si>
  <si>
    <t>Is It Necessary to Fully Charge Your Electric Vehicle?</t>
  </si>
  <si>
    <t>State of charge; Distribution networks; Schedules; Optimal scheduling; Power demand; Linear programming; Licenses; Electric vehicle; state of charge; power quality; distribution systems; charging strategy</t>
  </si>
  <si>
    <t>INTELLIGENT PARKING LOT; ENERGY MANAGEMENT</t>
  </si>
  <si>
    <t>The transition of the transportation sector from internal combustion engine vehicles to battery electric vehicles (EVs) will heavily increase the energy demand on the network, causing severe techno-economic problems. To solve these issues, advanced charging strategies were proposed to reduce the EVs' charging impact on the network. The problem arises when all EV-owners decide to fully charge their EVs at night even if they might not use the total charged energy the next day. Hence, even with the presence of advanced charging and control strategies, the problem of high penetration level of EVs might not be completely solved without the positive participation of the EV-owners. Some questions can be asked and need answers. Is it necessary to fully charge all EVs at night? What happens if fully charging the EVs is delayed to the next day? To answer these questions, this paper studies the impact of charging EVs to different State of Charge (SOC) levels on the network. Since controlling the charging of all EVs is difficult, a three-level charging strategy is developed that suggests the SOC threshold-limit for each EV, which guarantees the network's operation within its maximum limits even with a 100% penetration level of EVs charging simultaneously.</t>
  </si>
  <si>
    <t>10.1109/ACCESS.2021.3085244</t>
  </si>
  <si>
    <t>Gan, W; Shahidehpour, M; Yan, MY; Guo, JB; Yao, W; Paaso, A; Zhang, LX; Wen, JY</t>
  </si>
  <si>
    <t>Gan, Wei; Shahidehpour, Mohammad; Yan, Mingyu; Guo, Jianbo; Yao, Wei; Paaso, Aleksi; Zhang, Liuxi; Wen, Jinyu</t>
  </si>
  <si>
    <t>Coordinated Planning of Transportation and Electric Power Networks With the Proliferation of Electric Vehicles</t>
  </si>
  <si>
    <t>Planning; Power systems; Roads; Electric vehicles; Investment; Traffic congestion; Coordinated planning of transportation and electric power networks; fast-charging station; energy storage; power loss; mixed-integer quadratically constrained programming</t>
  </si>
  <si>
    <t>ENERGY MANAGEMENT; SYSTEMS; RESILIENCE; EXPANSION; MODEL</t>
  </si>
  <si>
    <t>The interdependency of transportation and electric power networks is becoming tighter due to the proliferation of electric vehicles (EVs), which introduces additional difficulties in the planning of the two networks. This paper presents the enhanced solution for the coordinated planning of multiple facilities in the two networks, including electric power lines, transportation roads, energy storage systems and fast charging stations. In order to calculate the optimal solution for the proposed coordinated planning problem, we introduce the applications of linear optimization theory including Karush-Kuhn-Tucker conditions, the big M method, and a linear expression of power loss to transform the nonlinear planning problem into a mixed-integer quadratically constrained programming (MIQCP) formulation, which is solved by commercial solvers. The proposed MIQCP formulation is decomposed into two corresponding subproblems by Lagrangian relaxation to represent transportation and electric power networks. The case studies validate the proposed planning model and demonstrate that the proposed solution can enhance the coordinated network planning with the proliferation of EVs.</t>
  </si>
  <si>
    <t>10.1109/TSG.2020.2989751</t>
  </si>
  <si>
    <t>Zhang, ZJ; Nair, NK</t>
  </si>
  <si>
    <t>Zhang, Zhongwei Jake; Nair, Nirmal-Kumar</t>
  </si>
  <si>
    <t>Distributor time value pricing framework to schedule distributed energy resources</t>
  </si>
  <si>
    <t>controllable loads; distributed energy resource (DER) scheduling; distribution pricing; electricity energy storage system (ESS); plug-in electric vehicle (PEV) charging; rooftop photovoltaic (PV) generation</t>
  </si>
  <si>
    <t>DISTRIBUTION NETWORKS; SYSTEMS; POWER; MANAGEMENT; PROFILE; STORAGE</t>
  </si>
  <si>
    <t>A framework is proposed for a distribution system operator (distributor) to schedule distributed energy resources with the time value concept being formulated in the objective. The nonmonetary time value represents the accumulated time that a deferrable device has been staying in the system to provide operational support without affecting customer satisfaction. The time value pricing avoids impractically estimating the cost for a delayed or interrupted service but still achieves effective load shaping as demonstrated by the IEEE 4-bus distribution test system implementation. Marginal values from the optimal schedule are expressed in terms of the time value, which can be reconciled to the annualized investment cost savings for distributed energy resource pricing purpose. Distributor is able to get an overview of a large scale of devices' availability and their likely distribution grid impact over time, as shown in the IEEE 8500-node test system implementation.</t>
  </si>
  <si>
    <t>e2374</t>
  </si>
  <si>
    <t>10.1002/etep.2374</t>
  </si>
  <si>
    <t>Fu, Y; Meng, XH; Su, XJ; Jabalameli, N; Dong, ZY</t>
  </si>
  <si>
    <t>Fu, Yang; Meng, Xianghao; Su, Xiangjing; Jabalameli, Nasim; Dong, Zhaoyang</t>
  </si>
  <si>
    <t>Coordinated optimisation of PEV charging with the support of reactive discharging and phase switching in unbalanced active distribution networks</t>
  </si>
  <si>
    <t>power control; particle swarm optimisation; electric vehicles; distributed power generation; optimisation; power grids; load flow; battery powered vehicles; distribution networks; PEV charging studies; three-phase balanced network model; practical distribution networks; unbalanced distribution networks; reactive discharging; phase switching; network loss; charging cost; coordination strategy; Australian distribution network; unbalanced active distribution networks; random PEV charging; coordinated PEV charging; time 24; 0 hour</t>
  </si>
  <si>
    <t>PARTICLE SWARM OPTIMIZATION; IN ELECTRIC VEHICLES; POWER</t>
  </si>
  <si>
    <t>Plug-in electric vehicles (PEVs) are being widely deployed, especially in the residential premises. Random PEV charging causes negative impacts on the power grid, a coordinated PEV charging is essential. Currently, PEV charging studies mainly focus on the active power control of PEVs while there is a risk of worse operation, due to the transferring of charging load instead of eliminating. Besides, existing PEV charging studies are commonly based on a three-phase balanced network model, but practical distribution networks, especially on the low-voltage level, are unbalanced. This study proposes a novel coordination strategy of PEV charging in unbalanced distribution networks, with the support of reactive discharging and phase switching. The optimisation model of PEV charging is firstly proposed to minimise the network loss and charging cost while maximising users' benefit from ancillary reactive service. The optimal power flow problem defined above is solved by a combined solver of discrete particle swarm optimisation and direct load flow. Then, a coordination strategy of PEV charging, reactive discharging and phase switching is presented to apply the proposed optimisation over 24 h. Finally, detailed simulations are conducted on a real Australian distribution network, to test the feasibility and effectiveness of the proposed optimisation and coordination strategy of PEV charging in unbalanced distribution networks.</t>
  </si>
  <si>
    <t>10.1049/iet-gtd.2020.0117</t>
  </si>
  <si>
    <t>Strunz, K; Abbasi, E; Huu, DN</t>
  </si>
  <si>
    <t>Strunz, Kai; Abbasi, Ehsan; Duc Nguyen Huu</t>
  </si>
  <si>
    <t>DC Microgrid for Wind and Solar Power Integration</t>
  </si>
  <si>
    <t>IEEE JOURNAL OF EMERGING AND SELECTED TOPICS IN POWER ELECTRONICS</t>
  </si>
  <si>
    <t>Distributed energy resources; droop control; electric vehicle (EV); emission constraint; fast charging; microgrid; multilevel energy storage; optimal scheduling; power electronic conversion; solar power; wind power</t>
  </si>
  <si>
    <t>DISTRIBUTED GENERATION; ENERGY MANAGEMENT; SYSTEM; STORAGE</t>
  </si>
  <si>
    <t>Operational controls are designed to support the integration of wind and solar power within microgrids. An aggregated model of renewable wind and solar power generation forecast is proposed to support the quantification of the operational reserve for day-ahead and real-time scheduling. Then, a droop control for power electronic converters connected to battery storage is developed and tested. Compared with the existing droop controls, it is distinguished in that the droop curves are set as a function of the storage state-of-charge (SOC) and can become asymmetric. The adaptation of the slopes ensures that the power output supports the terminal voltage while at the same keeping the SOC within a target range of desired operational reserve. This is shown to maintain the equilibrium of the microgrid's real-time supply and demand. The controls are implemented for the special case of a dc microgrid that is vertically integrated within a high-rise host building of an urban area. Previously untapped wind and solar power are harvested on the roof and sides of a tower, thereby supporting delivery to electric vehicles on the ground. The microgrid vertically integrates with the host building without creating a large footprint.</t>
  </si>
  <si>
    <t>10.1109/JESTPE.2013.2294738</t>
  </si>
  <si>
    <t>Al-obaidi, AA; Farag, HEZ</t>
  </si>
  <si>
    <t>Al-obaidi, Abdullah Azhar; Farag, Hany E. Z.</t>
  </si>
  <si>
    <t>Adaptive Optimal Management of EV Battery Distributed Energy for Concurrent Services to Transportation and Power Grid in a Fleet System Under Dynamic Service Pricing</t>
  </si>
  <si>
    <t>Public transportation; State of charge; Batteries; Transportation; Optimal scheduling; Charging stations; Informatics; Adaptive management; ancillary services; dynamic pricing; electric vehicle (EV) fleet; optimization; transportation sector</t>
  </si>
  <si>
    <t>IN ELECTRIC TAXI; SCHEDULING STRATEGY; VEHICLES; OPTIMIZATION; LOAD</t>
  </si>
  <si>
    <t>Deployment of electric vehicles (EVs) in a fleet system to deal with environmental issues has been at the center of attention over the past several years. While the battery of each EV offers small storage, hundreds of EVs collectively can offer large energy storage to serve a power grid. This article develops a model for a central controller in a fleet system that allows adaptive utilization of EV batteries distributed energy for concurrent services to the transportation and power grid. The optimization model integrates various slack variables and control parameters for managing real-time fare prices, adaptive energy, and reserve margin allocation, interaction with the grid operator, and meeting the fleet target revenue. The proposed model incorporates EV driver's input into the scheduling process to allow the driver to flexibly manage their battery capacities based on their availability and assessment of the transportation services demand. A dynamic pricing mechanism is developed for real-time calculation of fare rates to allow the EV fleet optimization problem to achieve a daily revenue target while limiting fare prices in a competitive market. Numerical results indicate that the model can manage several EVs for various services while enhancing the fleet financial metrics.</t>
  </si>
  <si>
    <t>10.1109/TII.2021.3088420</t>
  </si>
  <si>
    <t>El-Naggar, MF; Elgammal, AAA</t>
  </si>
  <si>
    <t>El-naggar, Mohammed Fathy; Elgammal, Adel Abdelaziz Abdelghany</t>
  </si>
  <si>
    <t>Multi-Objective Optimal Predictive Energy Management Control of Grid-Connected Residential Wind-PV-FC-Battery Powered Charging Station for Plug-in Electric Vehicle</t>
  </si>
  <si>
    <t>Plug-in Electric Vehicles (PEVs); Predicative control; Wind-PV-FC battery charging station; Smart grid; Grid to Vehicle (G2V); Energy management; Multi-objective particle swarm optimization</t>
  </si>
  <si>
    <t>CHARGERS; SYSTEM</t>
  </si>
  <si>
    <t>Electric vehicles (EV) are emerging as the future transportation vehicle reflecting their potential safe environmental advantages. Vehicle to Grid (V2G) system describes the hybrid system in which the EV can communicate with the utility grid and the energy flows with insignificant effect between the utility grid and the EV. The paper presents an optimal power control and energy management strategy for Plug-In Electric Vehicle (PEV) charging stations using Wind-PV-FC-Battery renewable energy sources. The energy management optimization is structured and solved using Multi-Objective Particle Swarm Optimization (MOPSO) to determine and distribute at each time step the charging power among all accessible vehicles. The Model-Based Predictive (MPC) control strategy is used to plan PEV charging energy to increase the utilization of the wind, the FC and solar energy, decrease power taken from the power grid, and fulfil the charging power requirement of all vehicles. Desired features for EV battery chargers such as the near unity power factor with negligible harmonics for the ac source, well-regulated charging current for the battery, maximum output power, high efficiency, and high reliability are fully confirmed by the proposed solution.</t>
  </si>
  <si>
    <t>10.5370/JEET.2018.13.2.742</t>
  </si>
  <si>
    <t>Chiu, WY; Hsieh, JT; Chen, CM</t>
  </si>
  <si>
    <t>Chiu, Wei-Yu; Hsieh, Jui-Ting; Chen, Chia-Ming</t>
  </si>
  <si>
    <t>Pareto Optimal Demand Response Based on Energy Costs and Load Factor in Smart Grid</t>
  </si>
  <si>
    <t>Load management; Pricing; Load modeling; Home appliances; Pareto optimization; Smart grids; Cost minimization; day-ahead pricing; demand response; energy consumption scheduling; electric vehicle (EV) charging; load factor maximization; Pareto optimality; Pareto optimal demand response (PODR)</t>
  </si>
  <si>
    <t>SIDE MANAGEMENT; MULTIOBJECTIVE APPROACH; SYSTEM; PRICE; ALGORITHM; MARKET; APPLIANCES; PREDICTION; RESOURCES; STRATEGY</t>
  </si>
  <si>
    <t>Demand response for residential users is essential to the realization of modern smart grids. In this paper, we propose a multiobjective approach to designing a demand response program that considers the energy costs of residential users and the load factor of the underlying grid. A multiobjective optimization problem (MOP) is formulated and Pareto optimality is adopted. Stochastic search methods of generating feasible values for decision variables are proposed. Theoretical analysis is performed to show that the proposed methods can effectively generate and preserve feasible points during the solution process, which comparable methods can hardly achieve. A multiobjective evolutionary algorithm is developed to solve the MOP, producing a Pareto optimal demand response (PODR) program. Simulations reveal that the proposed method outperforms the comparable methods in terms of energy costs while producing a satisfying load factor. The proposed PODR program is able to systematically balance the needs of the grid and residential users.</t>
  </si>
  <si>
    <t>10.1109/TII.2019.2928520</t>
  </si>
  <si>
    <t>Das, S; Acharjee, P; Bhattacharya, A</t>
  </si>
  <si>
    <t>Das, Sourav; Acharjee, Parimal; Bhattacharya, Aniruddha</t>
  </si>
  <si>
    <t>Charging Scheduling of Electric Vehicle Incorporating Grid-to-Vehicle and Vehicle-to-Grid Technology Considering in Smart Grid</t>
  </si>
  <si>
    <t>Charging stations; Vehicle-to-grid; Batteries; State of charge; Indexes; Tariffs; Standards; Charging stations (CS); distribution system; electric vehicle (EV); Monte Carlo simulation (MCS); optimizations; scheduling; 2 m point estimation method (2m-PEM)</t>
  </si>
  <si>
    <t>FUEL CONSUMPTION; OPTIMIZATION; IMPACT; ENERGY; LOAD</t>
  </si>
  <si>
    <t>In recent days, the deployment of electric vehicles (EVs) in automobile sector is increasing the load demand in the distribution system. To deal with this load demand, the charging management needs to be improved. Nevertheless, an EV needs several hours to complete charge. Reducing the charging time, energy consumption is a huge contest to deal with the promotion of EV over conventional vehicles. The condition of the itineraries may affect the energy consumption of the EV, which needs to be considered before fulfilling the energy demand. In this article, these are considered assigning suitable charging stations (CS) to individual EVs and their scheduling is taken as an optimization problem. The first part deals with the proper assignment of CS, which is a linear optimization problem and the second deals with the charging scheduling problem. An intelligent charging scheduling algorithm (ICSA) is proposed with the integration of Henry gas solubility optimization to minimize total daily price incurred by the CS operator. Later, ICSA is clubbed with other standard optimization techniques considering practical constraints. A 2 m point estimation method has been utilized to tackle the uncertainty and its performance has been compared with the Monte-Carlo simulation technique. The robustness of ICSA is evaluated and confirmed using the Wilcoxon signed rank test and Quade test.</t>
  </si>
  <si>
    <t>10.1109/TIA.2020.3041808</t>
  </si>
  <si>
    <t>Real power loss minimisation of smart grid with electric vehicles using distribution feeder reconfiguration</t>
  </si>
  <si>
    <t>electric vehicles; battery powered vehicles; smart power grids; genetic algorithms; power grids; distribution networks; distributed power generation; power distribution economics; optimisation; battery storage plants; scheduling; optimal EV load demand; 69-bus distribution system; 118-bus distribution system; EVs loads; power loss minimisation; smart grid; electric vehicles; distribution feeder reconfiguration; ongoing growth; anticipated growth; uncoordinated charging; random charging; increased power loss; vehicle-to-grid; grid functionality; stability; EV demands</t>
  </si>
  <si>
    <t>NETWORK RECONFIGURATION; PENETRATION; CODIFICATION; STRATEGY; DEMAND</t>
  </si>
  <si>
    <t>The ongoing and anticipated growth in the use of electric vehicles (EVs) in transportation brings new opportunities for the development of new smart grids. EVs can transfer power from vehicle-to-grid (V2G) to potentially contribute towards improving grid functionality and stability. Coordinated charging/discharging of EVs is a possible solution to the challenges imposed by random charging and potential ways to extract benefits from the V2G functionality of EVs in the grid. Furthermore, coordinated scheduling can be augmented with effective operative tools to improve the operation of system. Towards addressing this goal, this study proposes a two-stage optimisation to investigate the impact on the distribution system in terms of losses and voltage when distribution feeder reconfiguration (DFR) is employed with different scheduling strategies of EVs. In the first stage, the optimal charging/discharging schedule of EVs is developed on the basis of the technical and economic objective. A genetic algorithm-based approach is used to model EV demands. The DFR problem is solved in the second stage with a new, improved version of a grey wolf optimisation algorithm considering the optimal EV load demand obtained from the first stage. The efficacy of proposed methodology is demonstrated on 69-bus distribution system and 118-bus distribution system.</t>
  </si>
  <si>
    <t>SEP 17</t>
  </si>
  <si>
    <t>10.1049/iet-gtd.2018.6330</t>
  </si>
  <si>
    <t>Gjelaj, M; Hashemi, S; Andersen, PB; Traeholt, C</t>
  </si>
  <si>
    <t>Gjelaj, Marjan; Hashemi, Seyedmostafa; Andersen, Peter Bach; Traeholt, Chresten</t>
  </si>
  <si>
    <t>Optimal infrastructure planning for EV fast-charging stations based on prediction of user behaviour</t>
  </si>
  <si>
    <t>secondary cells; transportation; battery storage plants; battery powered vehicles; electric vehicle charging; stochastic processes; power generation economics; power generation planning; optimal infrastructure planning; EV fast-charging stations; EV load demand; EV models; stochastic planning method; coordinated charging demand; peak load; charging-infrastructure costs; EV demand; battery energy storage charging demand; peak demand; user behaviour prediction; electric vehicles; sustainable transportation; metropolitan areas; carbon dioxide emission reduction; battery capacities; public direct-current fast-charging stations; probabilistic driving patterns; DCFCS operational costs; economic analysis; BES life-cycle costs; CO2</t>
  </si>
  <si>
    <t>Electric vehicles (EVs) appear to offer a promising solution to support sustainable transportation and the reduction of CO2 emissions in the metropolitan areas. To satisfy the EV load demand of the new EV models with larger battery capacities, public direct-current fast-charging stations (DCFCSs) are essential to recharge EVs rapidly. A stochastic planning method of the DCFCSs is presented considering user behaviour and the probabilistic driving patterns in order to predict EVs charging demand. According to the stochastic method, a coordinated charging demand and storage charging demand are proposed with the objective of minimising peak load from EVs and charging-infrastructure costs. The proposed planning method can prevent additional grid-reinforcement costs due to EV demand during peak hours. In the coordinated charging demand, the peak load from EVs is managed by controlling the DCFCSs. Instead, in the battery energy storage (BES) charging demand, an optimal BES is proposed as an alternative solution to reduce the peak demand of EVs as well as DCFCSs operational costs. Finally, an economic analysis is carried out to evaluate the technical and economic aspects related to DCFCSs, the BES life-cycle costs as well as the financial performance of BES costs versus grid-reinforcement costs.</t>
  </si>
  <si>
    <t>10.1049/iet-est.2018.5080</t>
  </si>
  <si>
    <t>Veloso, CG; Rauma, K; Orjuela, JF; Rehtanz, C</t>
  </si>
  <si>
    <t>Veloso, Cesar Garcia; Rauma, Kalle; Orjuela, Julian Fernandez; Rehtanz, Christian</t>
  </si>
  <si>
    <t>Real-time agent-based control of plug-in electric vehicles for voltage and thermal management of LV networks: formulation and HIL validation</t>
  </si>
  <si>
    <t>distribution networks; distributed power generation; electric vehicles; hardware-in-the loop simulation; real-time systems; temperature control; plug-in electric vehicles; thermal management; LV networks; distribution networks; global proliferation; controlled charging process; smart charging management; real-time algorithm; local decentralised nodal voltage management; centralised thermal control; multiple PEV penetration levels; charging stations; aggregated charging demand; real-time agent-based control; hardware-in-the-loop simulations</t>
  </si>
  <si>
    <t>Ensuring a stable and reliable operation of current and future distribution networks represents a major challenge for system operators aggravated by the global proliferation of plug-in electric vehicles (PEVs). While the introduction of a controlled charging process would be advantageous to minimise the impacts PEVs cause in the system, a suitable, efficient and ready to be implemented solution is still missing. The present work addresses this issue by proposing a smart charging management solution capable to simultaneously combat the main network impacts derived from the energy needs of the vehicles. This is done by means of an agent-based hierarchical real-time algorithm which combines a local decentralised nodal voltage management with a centralised thermal control conceived to minimise the impact upon participating users. The effectiveness of the proposed system is tested both using a simulation environment considering multiple PEV penetration levels and employing commercially available charging stations and cars through hardware-in-the-loop simulations. The results reveal how all network violations are successfully attenuated by peak shaving the total aggregated charging demand and ensuring a correct system operation for all penetration scenarios while inflicting no impact on the participating users.</t>
  </si>
  <si>
    <t>JUN 5</t>
  </si>
  <si>
    <t>10.1049/iet-gtd.2018.6547</t>
  </si>
  <si>
    <t>Sarker, MR; Pandzic, H; Sun, KW; Ortega-Vazquez, MA</t>
  </si>
  <si>
    <t>Sarker, Mushfiqur R.; Pandzic, Hrvoje; Sun, Kaiwen; Ortega-Vazquez, Miguel A.</t>
  </si>
  <si>
    <t>Optimal operation of aggregated electric vehicle charging stations coupled with energy storage</t>
  </si>
  <si>
    <t>electric vehicle charging; power grids; power markets; vehicle-to-grid; aggregated electric vehicle charging stations; optimal operation; EV charging stations; parking places; commercial centres; power grid; energy storage system; arbitrage energy; time-variant EV energy demand; uncertain EV energy demand; offering-bidding strategy; day-ahead electricity market; ESS degradation; robust scheduling; price uncertainty; stochastic energy demand; cost savings</t>
  </si>
  <si>
    <t>BATTERY DEGRADATION; UNCERTAINTY; BEHAVIOR; STRATEGY; AGENTS; PRICE; COST</t>
  </si>
  <si>
    <t>Charging stations are the basic infrastructure for accommodating the energy needs of electric vehicles (EVs). Companies are expected to invest in these charging stations by installing them at locations with a dense concentration of vehicles, such as parking places, commercial centres, and workplaces. In order for investors in EV charging stations to maximise their profits and mitigate the impact on the power grid, these stations would benefit from coupling with an energy storage system (ESS). ESS would be used to arbitrage energy and to balance out the time-variant and uncertain EV energy demand. This study proposes a framework to optimise the offering/bidding strategy of an ensemble of charging stations coupled with ESS in the day-ahead electricity market. The proposed framework accounts for degradation of the ESS, robust scheduling against price uncertainty, as well as stochastic energy demand from EVs. The results show the viability of the proposed framework in providing cost savings to an ensemble of EV charging stations.</t>
  </si>
  <si>
    <t>10.1049/iet-gtd.2017.0134</t>
  </si>
  <si>
    <t>Li, MS; Gao, J; Chen, N; Zhao, L; Shen, XM</t>
  </si>
  <si>
    <t>Li, Mushu; Gao, Jie; Chen, Nan; Zhao, Lian; Shen, Xuemin</t>
  </si>
  <si>
    <t>Decentralized PEV Power Allocation With Power Distribution and Transportation Constraints</t>
  </si>
  <si>
    <t>Power distribution; Resource management; Transportation; Power grids; Reliability; Batteries; Optimization; Electric vehicles; charging management; range anxiety; distributed algorithm; alternating direction multiplier method (ADMM); kernel density estimation; smart grid</t>
  </si>
  <si>
    <t>ELECTRIC VEHICLES; DEMAND RESPONSE; SMART</t>
  </si>
  <si>
    <t>Plug-in Electric Vehicles (PEVs) keep on penetrating the automobile market. However, uncoordinated PEV charging can impair the reliability of power grid. In this paper, an interesting problem of PEV charging power allocation is investigated, in which both power distribution and transportation constraints are considered. A novel approach for PEV charging management based on optimal power flow (OPF) analysis is proposed to optimize PEV charging energy in a power distribution system. Firstly, spatial and temporal PEV demand scheduling is introduced to maximize PEV charging service capacity while considering the maximum traveling distance of PEVs. Secondly, to ensure the scalability of the OPF analysis, a distributed optimization technique, i.e., proximal Jacobian alternating direction multiplier method, is applied to attain the optimal power allocation in a decentralized manner. The resulting PEV charging service capacity in the power distribution system is improved without violating power distribution and transportation constraints. Furthermore, kernel density estimation method is adopted to identify the PEV range anxiety constraint without the PEV battery information. Simulation results are presented to validate the effectiveness of our approach with high PEV penetration.</t>
  </si>
  <si>
    <t>10.1109/JSAC.2019.2951989</t>
  </si>
  <si>
    <t>Jahangir, H; Gougheri, SS; Vatandoust, B; Golkar, MA; Golkar, MA; Ahmadian, A; Hajizadeh, A</t>
  </si>
  <si>
    <t>Jahangir, Hamidreza; Sadeghi Gougheri, Saleh; Vatandoust, Behzad; Golkar, Mahsa A.; Aliakbar Golkar, Masoud; Ahmadian, Ali; Hajizadeh, Amin</t>
  </si>
  <si>
    <t>A Novel Cross-Case Electric Vehicle Demand Modeling Based on 3D Convolutional Generative Adversarial Networks</t>
  </si>
  <si>
    <t>Three-dimensional displays; Artificial neural networks; Correlation; Feature extraction; Artificial intelligence; Task analysis; Solid modeling; Artificial intelligence; deep learning; electric vehicles; generative adversarial networks; energy market; smart charging</t>
  </si>
  <si>
    <t>Electric Vehicle (EV) demand modeling constitutes the cornerstone of studies aiming to facilitate the integration of EVs into the power system. The different characteristics of the EV demand (departure time, arrival time, and electric demand), as well as the correlation between thereof, render EV demand modeling a complex task. The Majority of previous methods, which were developed based on the Monte Carlo simulation, are unable to observe and preserve the correlation between EV demand characteristics; because, in these methods, the EV demand characteristics are generated separately in an unsupervised manner. This study proposes a novel semi-supervised EV demand modeling approach by mapping the different EV demand characteristics into a three-dimensional (3D) space as a 3D image. To effectively realize the 3D EV demand modeling, we have employed Generative Adversarial Networks (GANs) with a 3D convolutional structure to develop EV-GANS network-a GANs structure tailored to the needs of EV demand modeling in environments hosting high demand diversity such as EV charging stations. Numerical results confirmed the effectiveness of the proposed EV-GANS in estimating the trend of the actual EV demand on the test day with a small error margin compared to the existing benchmark generation-based methods (Monte Carlo and Copula).</t>
  </si>
  <si>
    <t>10.1109/TPWRS.2021.3100994</t>
  </si>
  <si>
    <t>Arias, A; Granada, M; Castro, CA</t>
  </si>
  <si>
    <t>Arias, Andres; Granada, Mauricio; Castro, Carlos A.</t>
  </si>
  <si>
    <t>Optimal probabilistic charging of electric vehicles in distribution systems</t>
  </si>
  <si>
    <t>electric vehicle charging; secondary cells; battery powered vehicles; distribution networks; stochastic processes; Monte Carlo methods; risk analysis; decision making; demand side management; reactive power; probability; minimisation; optimal probabilistic charging; electric vehicle charging; distribution systems; optimal EV charging; demand losses; smart charging characteristics; electric network; stochastic driving patterns; battery capacity; active power; reactive power; load nodes; energy loss cost minimisation; battery charging; energy price variation; demand response; quality indices; risk analysis; decision making; Monte Carlo simulation; MCS; secondary distribution network</t>
  </si>
  <si>
    <t>In this study, a probabilistic approach for the optimal charging of electric vehicles (EVs) in distribution systems is proposed. The costs of both demand and energy losses in the system are minimised, subjected to a set of constraints that consider EVs smart charging characteristics and operative aspects of the electric network. The stochastic driving patterns for EVs' owners, battery capacity and active and reactive power demanded at load nodes are considered. The optimal charging of EVs connected to the system benefits the system's operation, as it does a strategy to minimise the cost of energy losses and evaluate the capability of the system to charge EVs' batteries fully under certain penetration scenarios. Priority periods of EVs' recharge and the variation of energy price contribute to an adequate demand response, assisting the network operator for complying with quality indices (decrement of power losses) set forward by regulatory entities and developing studies of risk analysis for decision making. On the other hand, there is a valuable participation of the EVs' owners in improving the operation of the distribution system. Monte Carlo simulation (MCS) is used to assess the stochastic nature of the problem in a secondary (low voltage) distribution network.</t>
  </si>
  <si>
    <t>10.1049/iet-est.2016.0072</t>
  </si>
  <si>
    <t>Ivanova, A; Chassin, D; Aguado, J; Crawford, C; Djilali, N</t>
  </si>
  <si>
    <t>Ivanova, Alyona; Chassin, David; Aguado, Jose; Crawford, Curran; Djilali, Ned</t>
  </si>
  <si>
    <t>Techno-economic feasibility of a photovoltaic-equipped plug-in electric vehicle public parking lot with coordinated chargingInspec keywordsOther keywords</t>
  </si>
  <si>
    <t>IET ENERGY SYSTEMS INTEGRATION</t>
  </si>
  <si>
    <t>transportation; customer satisfaction; maintenance engineering; battery powered vehicles; power generation economics; tariffs; photovoltaic power systems; pricing; distributed power generation; power grids; electric vehicle charging; minimisation; solar cell arrays; sunlight; power generation scheduling; techno-economic feasibility; photovoltaic-equipped plug-in electric vehicle public parking lot; coordinated charging; tail-pipes; bulk power systems; energy resources; photovoltaic solar parking lots; real-world charging data; solar data; electricity tariffs; microgrid system; load scheduling algorithm; insolation; PV infrastructure; low solar irradiation; electricity prices; solar panels; operational costs; abundant solar radiation; PV retrofitting; solar infrastructure price; coordinated distributed energy resources; PEV charging; retrofitting cost minimisation; customer satisfaction; net present cost minimisation; NPC minimisation; load growth opportunities</t>
  </si>
  <si>
    <t>Electrification of transport and the deployment of plug-in electric vehicles (PEVs) shift emissions from tail-pipes to bulk power systems (BPSs). Coordinated distributed energy resources and PEV charging can mitigate the impact of this shift. This study presents an analysis of photovoltaic (PV) solar parking lots that address this benefit. Real-world charging data, solar data, and electricity tariffs are used to determine the microgrid system that minimises the cost of retrofitting an existing parking lot with PV and PEV infrastructure coupled. The result is a load scheduling algorithm that takes into account tariffs and insolation to reduce costs while ensuring customer satisfaction. The techno-economic feasibility of PV infrastructure in the microgrid is determined by minimising the net present cost (NPC) in two case studies: Victoria, BC, and Los Angeles, CA. Relatively low solar irradiation and electricity prices make it economically infeasible to install solar panels in Victoria even though the operational costs are reduced by 11%. In Los Angeles, high time-of-use prices, together with abundant solar radiation, make PV retrofitting economically feasible with any array capacity. At the current solar infrastructure price, coordinated charging in this region yields 8-16% savings on NPC and smaller feeder size requirements with greater load growth opportunities.</t>
  </si>
  <si>
    <t>10.1049/iet-esi.2019.0136</t>
  </si>
  <si>
    <t>Li, B; Chen, MY; Ma, ZM; He, G; Dai, W; Liu, DR; Zhang, C; Zhong, HW</t>
  </si>
  <si>
    <t>Li, Bo; Chen, Minyou; Ma, Ziming; He, Gang; Dai, Wei; Liu, Dongran; Zhang, Chi; Zhong, Haiwang</t>
  </si>
  <si>
    <t>Modeling Integrated Power and Transportation Systems: Impacts of Power-to-Gas on the Deep Decarbonization</t>
  </si>
  <si>
    <t>Costs; Transportation; Generators; Low-carbon economy; Indexes; Hydrogen; Power systems; Capacity expansion; fuel cell electric vehicle; integrated power and transportation system; power-to-gas technology; smart charging</t>
  </si>
  <si>
    <t>ENERGY-STORAGE; HYDROGEN</t>
  </si>
  <si>
    <t>The deployment of renewable energy sources, power-to-gas (P2G) systems, and zero-emission vehicles provide a synergistic opportunity to accelerate the decarbonization of both power and transportation system. This article investigates the prospects of implementing hydrogen P2G technology in coupling the power system and the transportation system. A novel coordinated long-term planning model of integrated power and transportation system (IPTS) at the regional scale is proposed to simulate the power system balance and travel demand balance simultaneously, while subject to a series of constraints, such as CO2 emission constraints. IPTS of Texas was investigated considering various CO2 emission cap scenarios. Results show unique decarbonization trajectories of the proposed coordinated planning model, in which IPTS prefers to decarbonizing the power sector firstly. When the power system reaches ultralow carbon intensity, the IPTS then focuses on the road transportation system decarbonization. The results show that with the P2G system, IPTS of Texas could achieve 100% CO2 emission reductions (relative 2018 emissions level) by adding a combination of approximately 143.5 GW of wind, 50 GW of solar PV, and 40 GW of P2G systems with 2.5% renewables curtailment. The integration of the P2G system can produce hydrogen by use of surplus RES generation to meet hydrogen demand of Fuel cell electric vehicles (FCEVs) and to meet multiday electricity supply imbalances.</t>
  </si>
  <si>
    <t>10.1109/TIA.2021.3116916</t>
  </si>
  <si>
    <t>Prabawa, P; Choi, DH</t>
  </si>
  <si>
    <t>Prabawa, Panggah; Choi, Dae-Hyun</t>
  </si>
  <si>
    <t>Hierarchical Volt-VAR Optimization Framework Considering Voltage Control of Smart Electric Vehicle Charging Stations Under Uncertainty</t>
  </si>
  <si>
    <t>Voltage control; Inverters; State of charge; Reactive power; Regulators; Power systems; Uncertainty; Volt-VAR optimization; local voltage control; smart inverter; electric vehicle charging station; chance-constrained optimization</t>
  </si>
  <si>
    <t>DISTRIBUTION NETWORKS; OPTIMAL PLACEMENT; CONTROL STRATEGY; GENERATORS; OPERATION; SYSTEMS</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</si>
  <si>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t>
  </si>
  <si>
    <t>10.1109/ACCESS.2021.3109621</t>
  </si>
  <si>
    <t>Inala, KP; Sah, B; Kumar, P; Bose, SK</t>
  </si>
  <si>
    <t>Inala, Krishna Pavan; Sah, Bikash; Kumar, Praveen; Bose, Sanjay Kumar</t>
  </si>
  <si>
    <t>Impact of V2G Communication on Grid Node Voltage at Charging Station in a Smart Grid Scenario</t>
  </si>
  <si>
    <t>Vehicle-to-grid; Cascading style sheets; Charging stations; Communication systems; Substations; Bit error rate (BER); charging station (CS); communications; electric vehicle; fuzzy logic control; grid to vehicle (G2V) and vehicle to grid (V2G); smart grid</t>
  </si>
  <si>
    <t>ELECTRIC VEHICLES; DISTRIBUTED COORDINATION; SYSTEM</t>
  </si>
  <si>
    <t>This article discusses the impact of realistic communication systems on charging stations at multiple nodes of the subfeeder in an electricity grid distribution system. A vehicle to grid (V2G) system is modeled in this article comprising of the electricity grid, aggregators, controllers, charging station, electric vehicles, and communication channels. Fuzzy logic controllers are at two levels; one at the distribution level and the other at the charging station level. Two types of communication channels are considered between the entities of the V2G network with charging stations at multiple nodes of the electricity grid. The basic access method of the IEEE 802.11 MAC protocol using the distributed coordination function is used by electric vehicles to transmit their data packets to a charging station aggregator. An in-depth analysis of the system is carried out using MATLAB/Simulink environment by varying the bit error rate, timeout required to send a packet in the WiFi channel for multiple retransmissions, and the number of electric vehicles on the distribution grid node voltage. Root-mean-square error of node voltage is calculated for different values of the mentioned parameters to propose a real-time V2G infrastructure with an integrated communication system.</t>
  </si>
  <si>
    <t>10.1109/JSYST.2020.3007320</t>
  </si>
  <si>
    <t>Kandasamy, NK; Kandasamy, K; Tseng, KJ</t>
  </si>
  <si>
    <t>Kandasamy, Nandha Kumar; Kandasamy, Karthik; Tseng, King Jet</t>
  </si>
  <si>
    <t>Loss-of-life investigation of EV batteries used as smart energy storage for commercial building-based solar photovoltaic systems</t>
  </si>
  <si>
    <t>solar power stations; battery powered vehicles; building integrated photovoltaics; vehicle-to-grid; loss-of-life investigation; EV batteries; smart energy storage systems; commercial building-based solar photovoltaic systems; LoL analysis; electric vehicle batteries; SES systems; solar photovoltaic system; solar PV system; commercial-office buildings; battery lifetime; driving range; EV charging-discharging; time-coordinated coordinated vehicle-to-grid algorithm; power coordinated V2G algorithm</t>
  </si>
  <si>
    <t>ELECTRIC VEHICLES; PV</t>
  </si>
  <si>
    <t>This study presents a loss-of-life (LoL) analysis for electric vehicle (EV) batteries, when they are being used as smart energy storage (SES) systems in a typical solar photovoltaic (PV) system installed in building environment. EVs can be considered as ideal energy storage for solar PV system installed in commercial/office buildings. This is attributable to the fact that the idle time-period of the EVs during the daytime, and the time-period during which the solar PV requires the energy storage intersect perfectly. However, it is to be demonstrated that using EVs as SES for solar PV system in commercial/office buildings would not have a significant impact on the battery lifetime and driving range of EVs. Hence, LoL analysis is essential to get a clear picture on the expected LoL for the EV batteries when EVs are used as SES for solar PV. Furthermore, the LoL of the individual EV batteries depends on the priority criteria used for charging/discharging the EVs, namely time coordinated and power coordinated vehicle-to-grid (V2G) algorithms. Hence, a comparison of LoL for different types of EVs while using different priority criteria in both the types of V2G is presented.</t>
  </si>
  <si>
    <t>10.1049/iet-est.2016.0056</t>
  </si>
  <si>
    <t>Simolin, T; Rauma, K; Jarventausta, P; Rautiainen, A</t>
  </si>
  <si>
    <t>Simolin, Toni; Rauma, Kalle; Jarventausta, Pertti; Rautiainen, Antti</t>
  </si>
  <si>
    <t>Optimised controlled charging of electric vehicles under peak power-based electricity pricing</t>
  </si>
  <si>
    <t>battery powered vehicles; power distribution economics; pricing; tariffs; electric vehicle charging; cost reduction; optimisation; electric current measurement; power distribution control; hardware-in-the loop simulation; feedback; optimal control; electric vehicle charging optimisation; detached houses; attached houses; Finnish distribution system operators; peak power-based distribution tariffs; tariff development; reallocate unused charging capacity; electricity distribution costs; optimised controlled charging; peak power-based electricity pricing; smart charging control method; EV charging control method; real-time measurements; cost reduction; charging current measurement; feedback; hardware-in-the-loop simulation</t>
  </si>
  <si>
    <t>This study presents a practical control method for electric vehicle (EV) charging optimisation for detached and attached houses. The developed EV charging control method utilises real-time measurements to minimise charging costs of up to two EVs in a single household. Since some Finnish distribution system operators have already launched peak power-based distribution tariffs for small-scale customers and because there is a lot of discussion on this kind of tariff development, the control method considers peak power-based charges. Additionally, the proposed smart charging control method utilises charging current measurements as feedback to reallocate unused charging capacity if an EV does not utilise the whole capacity allocated for it. The control method is implemented and tested with commercial EVs. The conducted hardware-in-the-loop simulations and measurements confirm that the control method works as intended. The proposed smart charging control reduces EV charging electricity distribution costs around 60% when compared to the uncontrolled EV charging.</t>
  </si>
  <si>
    <t>10.1049/iet-stg.2020.0100</t>
  </si>
  <si>
    <t>Rinaldi, S; Pasetti, M; Sisinni, E; Bonafini, F; Ferrari, P; Rizzi, M; Flammini, A</t>
  </si>
  <si>
    <t>Rinaldi, Stefano; Pasetti, Marco; Sisinni, Emiliano; Bonafini, Federico; Ferrari, Paolo; Rizzi, Mattia; Flammini, Alessandra</t>
  </si>
  <si>
    <t>On the Mobile Communication Requirements for the Demand-Side Management of Electric Vehicles</t>
  </si>
  <si>
    <t>electric vehicle (EV); vehicle-to-grid (V2G); demand-side management (DSM); smart charging; EV mobile communication; Low-Power Wide-Area Network (LPWAN); Long-Range Wide Area Network (LoRaWAN)</t>
  </si>
  <si>
    <t>PLUG-IN HYBRID; SMART GRIDS; OPTIMIZATION; TECHNOLOGIES; INTEGRATION; NETWORK; OPERATION; INTERNET; LORAWAN; IMPACTS</t>
  </si>
  <si>
    <t>The rising concerns about global warming and environmental pollution are increasingly pushing towards the replacement of road vehicles powered by Internal Combustion Engines (ICEs). Electric Vehicles (EVs) are generally considered the best candidates for this transition, however, existing power grids and EV management systems are not yet ready for a large penetration of EVs, and the current opinion of the scientific community is that further research must be done in this field. The so-called Vehicle-to-Grid (V2G) concept plays a relevant role in this scenario by providing the communication capabilities required by advanced control and Demand-Side Management (DSM) strategies. Following this research trend, in this paper the communication requirements for the DSM of EVs in urban environments are discussed, by focusing on the mobile communication among EVs and smart grids. A specific system architecture for the DSM of EVs moving inside urban areas is proposed and discussed in terms of the required data throughput. In addition, the use of a Low-Power Wide-Area Network (LPWAN) solution-the Long-Range Wide Area Network (LoRaWAN) technology-is proposed as a possible alternative to cellular-like solutions, by testing an experimental communication infrastructure in a real environment. The results show that the proposed LPWAN technology is capable to handle an adequate amount of information for the considered application, and that one LoRa base station is able to serve up to 438 EVs per cell, and 1408 EV charging points.</t>
  </si>
  <si>
    <t>10.3390/en11051220</t>
  </si>
  <si>
    <t>Aggarwal, S; Kumar, N; Gope, P</t>
  </si>
  <si>
    <t>Aggarwal, Shubhani; Kumar, Neeraj; Gope, Prosanta</t>
  </si>
  <si>
    <t>An Efficient Blockchain-Based Authentication Scheme for Energy-Trading in V2G Networks</t>
  </si>
  <si>
    <t>Vehicle-to-grid; Authentication; Protocols; Blockchain; Privacy; Cascading style sheets; Blockchain; charging stations (CSs); electric vehicles (EVs); Merkle root hash (MRH); mutual authentication; smart grid (SG); vehicle-to-grid (V2G)</t>
  </si>
  <si>
    <t>SMART; LIGHTWEIGHT; PROTOCOL; SECURITY</t>
  </si>
  <si>
    <t>Vehicle-to-grid (V2G) networks have been emerged as a new technology in the smart grid (SG). These networks allow a two-way flow of energy-trading between electric vehicles (EVs) and charging stations (CSs) in the SG. EVs are regarded as one of the most effective tools to reduce energy demands. It will bring a great impact on our society and human life. Thus, during energy trading between EVs and CSs, various security, and privacy challenges occur in V2G networks. Although several proposals have been proposed, still there are many issues like lack of integrity, mutual authentication, and identity privacy-preservation make the system more vulnerable. Researchers have used the centralized system in V2G networks which may act as a single point of failure. So, for deploying secure V2G networks in the SG, we propose an energy-trading scheme having blockchain between three communicating parties, i.e., EVs, CSs, utility center. The proposed system is divided into three phases, first, the registration process provides identity privacy-preservation to the EVs and CSs, second, the searching process makes the registration and key-generation steps faster, and third, the authentication process provides mutual authentication between them and a blockchain network is used to execute transactions using Merkle Root Hash. The security analysis result shows that the proposed scheme is secure for energy-trading in V2G networks. The performance evaluation results illustrate that our scheme has less communication cost and computation time as compared to the existing proposals.</t>
  </si>
  <si>
    <t>10.1109/TII.2020.3030949</t>
  </si>
  <si>
    <t>Tashviri, MH; Ghaffarzadeh, N</t>
  </si>
  <si>
    <t>Tashviri, Mehdi Hatef; Ghaffarzadeh, Navid</t>
  </si>
  <si>
    <t>Method for EV charging in stochastic smart microgrid operation with fuel cell and renewable energy source (RES) units</t>
  </si>
  <si>
    <t>power distribution economics; optimisation; battery powered vehicles; distributed power generation; smart power grids; fuel cell vehicles; electric vehicle charging; power generation scheduling; air pollution; EV charging; stochastic smart microgrid operation; fuel cell; fossil fuels; environmental pollutions; economic aspects; environmental aspects; multiobjective optimisation programme; charging discharging; smart distribution system; constraint method; EV owner driving behaviour; multiobjective problem; 33-bus distribution test system; total operational cost; trip planning programme; time 24; 0 hour; CO2</t>
  </si>
  <si>
    <t>ELECTRIC VEHICLES; DEMAND RESPONSE; MANAGEMENT; STRATEGY; FLEETS; SYSTEM</t>
  </si>
  <si>
    <t>Nowadays, running out of fossil fuels and more attention to reduce environmental pollutions are essential factors for the growing use of electric vehicles (EVs). Owing to these factors, it is important to present a method, which schedules charging or discharging of EVs and simultaneously considers economic and environmental aspects of the problem. This study proposes a multi-objective optimisation programme for charging or discharging of EVs in a smart distribution system by taking advantage of advanced metering infrastructure and uses ae-constraint method for minimising operational costs and (CO2) emissions. Simulating stochastic patterns of EV owner driving behaviour as well as considering different models and types of EVs with the help of trip planning algorithm are the main advantages of this study. Investigating the multi-objective problem in two cases shows the effectiveness and flexibility of this algorithm in real cases. Besides, vehicle-to-grid capability of EVs was also considered. This method was tested on a 33-bus distribution test system for over 24 h. As the results show, the total amount of scheduled power, the peak-to-valley difference of daily load, transmission power loss, CO(2)emission, and the total operational cost are reduced by the trip planning programme and EV owner revenue is increased.</t>
  </si>
  <si>
    <t>10.1049/iet-est.2019.0013</t>
  </si>
  <si>
    <t>Bilal, M; Rizwan, M</t>
  </si>
  <si>
    <t>Bilal, Mohd; Rizwan, Mohammad</t>
  </si>
  <si>
    <t>Electric vehicles in a smart grid: a comprehensive survey on optimal location of charging station</t>
  </si>
  <si>
    <t>optimisation; transportation; air pollution; government policies; power engineering computing; smart power grids; fossil fuels; battery powered vehicles; power system planning; electric vehicles; power system economics; charging station; burning; fossil fuels; greenhouse gases motivates policymakers; electric vehicles; transportation vehicles; CS placement; scale penetration; old infrastructure; ideal placement; optimal placement; research outcomes; smart grid; optimal location</t>
  </si>
  <si>
    <t>PLANNING STRATEGY; MODEL; INFRASTRUCTURE; RELIABILITY; QUALITY</t>
  </si>
  <si>
    <t>The burning of fossil fuels and the emission of greenhouse gases motivates policymakers to think about the transition in their approach towards electric vehicles (EVs) from conventional ones. Transportation vehicles' electrification drives the attention of various researchers and scientists towards the emergence of charging stations (CSs). CS placement is a matter of great concern for large scale penetration of EVs. Old infrastructure causes several challenges in planning the ideal placement of the CS since EVs have not prevailed in recent years. Recently, a lot of studies have been performed on CS placement, which attracts the attention of researchers. Various approaches, objective functions, constraints and range of optimisation techniques are addressed by researchers for optimal placement of CS. This study provides the research outcomes in respect of the placement of CS over the past few years based on objective functions, solution methods, geographic conditions and demand-side management.</t>
  </si>
  <si>
    <t>10.1049/iet-stg.2019.0220</t>
  </si>
  <si>
    <t>Inala, KP; Kumar, P; Bose, SK</t>
  </si>
  <si>
    <t>Inala, Krishna Pavan; Kumar, Praveen; Bose, Sanjay Kumar</t>
  </si>
  <si>
    <t>Impact of communication systems on grid node voltage and operation of a vehicle-to-grid controller in a smart-grid scenario</t>
  </si>
  <si>
    <t>error statistics; smart power grids; battery storage plants; electric vehicles; power grids; battery powered vehicles; grid node voltage; vehicle-to-grid controller; smart-grid scenario; vehicle-to-grid system; V2G; MCS; electric vehicles; distribution node voltage; charging station; CS; off-peak load hours; different communication technologies; respective communication channels; nonideal communication systems; test node</t>
  </si>
  <si>
    <t>ELECTRIC VEHICLES; REQUIREMENTS; TECHNOLOGIES; PROTOCOL</t>
  </si>
  <si>
    <t>The impact of communication systems between different entities of a vehicle-to-grid (V2G) system, consisting of a controller, aggregator, multiple charging stations (MCS) and electric vehicles (EVs), affecting the distribution node voltage is discussed. The controller decides the amount of power to be exchanged between MCS and the grid. EVs either get charged or discharged at the charging station (CS) based on peak load or off-peak load hours. Based on the distance between the entities of the V2G, different communication technologies are proposed and, the respective communication channels are modelled. The impact of non-ideal communication systems on the node voltage at the test node where the CS is connected has been studied and, different regions of operation of the controller are determined. Changes in the controller are introduced to reduce the impact of bit error rate in data transmission using communication channels.</t>
  </si>
  <si>
    <t>10.1049/iet-pel.2019.0109</t>
  </si>
  <si>
    <t>Kaur, AP; Singh, M</t>
  </si>
  <si>
    <t>Kaur, Amrit Pal; Singh, Mukesh</t>
  </si>
  <si>
    <t>Design and development of a three-phase Net Meter for V2G enabled charging stations of electric vehicles</t>
  </si>
  <si>
    <t>Automotive Industry Standards (AIS); Charging station; Electric Vehicle (EV); Fast-Fourier Transform (FFT); IEEE std. 1459-2010; Net Meter; Smart Grid (SG); Technology Readiness Level (TRL); Vehicle-to-Grid (V2G)</t>
  </si>
  <si>
    <t>SMART POWER-METER; ENERGY; IMPLEMENTATION; TOPOLOGIES; SYSTEMS</t>
  </si>
  <si>
    <t>In today's scenario, the estimated exponential growth of Electric vehicles (EVs) has raised the concern about the spike in electricity demand. Vehicle-to-Grid (V2G) technology has emerged as an effective solution to support the grid that operates EV in charging and discharging mode. V2G establishment involves three elements amongst the bidirectional metering plays a significant role. This paper aims to design and develop a cost-effective three-phase Net Meter at technology readiness level (TRL) 9 for V2G enabled charging stations at levels 1 and 2. It allows the bi-directional flow of current and generate bills at an associated subsidize rates. A scalable design to serve two different charging levels is adopted to achieve higher flexibility without any change in the hardware. The compilation is done considering the automotive-grade with the International Electrotechnical Commission (IEC) standards to assure class 1 accuracy. By implementing the electrical quantities defined in IEEE std. 1459-2010, coherent sampling is adopted to compute Fast-Fourier Transform (FFT). It shows a better spectral resolution and eliminates the overheads of windowing selection. To provide a cost-effective solution, C2000 Digital Signal Processor (DSP) based TMS320F28069 microcontroller is used in the application. The prototype assures the automotive industry standards (AIS) for electromagnetic compatibility in the practical environment. In experimentation, configured two test benches for three test sets operating under different conditions. The result has shown class 1 accuracy over a wide range and better harmonic detection in real-time.(c) 2021 Elsevier Ltd. All rights reserved.</t>
  </si>
  <si>
    <t>10.1016/j.segan.2021.100598</t>
  </si>
  <si>
    <t>Yousefi, M; Hajizadeh, A; Soltani, MN; Hredzak, B</t>
  </si>
  <si>
    <t>Yousefi, Mojtaba; Hajizadeh, Amin; Soltani, Mohsen N.; Hredzak, Branislav</t>
  </si>
  <si>
    <t>Predictive Home Energy Management System With Photovoltaic Array, Heat Pump, and Plug-In Electric Vehicle</t>
  </si>
  <si>
    <t>Batteries; Smart homes; Load modeling; Informatics; Stochastic processes; Home energy management system (HEMS); optimal plug-in electric vehicle (PEV) charging; discharging; photovoltaic array; stochastic model predictive control (MPC); user thermal comfort</t>
  </si>
  <si>
    <t>THERMAL COMFORT; MODEL; OPTIMIZATION; DISPATCH; STORAGE</t>
  </si>
  <si>
    <t>This article presents a predictive home energy management system (HEMS) for a residential building with integration of a plug-in electric vehicle (PEV), a photovoltaic array, and a heat pump. A stochastic model predictive control (MPC) strategy is applied in the HEMS in order to minimize the home's electricity cost and reduce the PEV battery degradation cost. Moreover, the MPC ensures that home load demand, PEV battery charging requirements, and household thermal comfort conditions are met. The MPC operates in real-time and thus minimizes the effects of gap between the forecasted and real data on the HEMS performance by updating its control decisions and the forecast data as the stochastic parameters are realized in each time step. The obtained simulation results demonstrate that the proposed control strategy reaches 96% to 97% of ideal performance achieved by off-line optimization counterpart with perfect data.</t>
  </si>
  <si>
    <t>10.1109/TII.2020.2971530</t>
  </si>
  <si>
    <t>Wang, HY; Fan, YY; Chen, C; Tao, T; Qiao, ZY</t>
  </si>
  <si>
    <t>Wang, Hongyi; Fan, Youyou; Chen, Chen; Tao, Tao; Qiao, Zeyu</t>
  </si>
  <si>
    <t>Novel estimation solution on lithium-ion battery state of charge with current-free detection algorithm</t>
  </si>
  <si>
    <t>IET CIRCUITS DEVICES &amp; SYSTEMS</t>
  </si>
  <si>
    <t>battery management systems; battery powered vehicles; field programmable gate arrays; secondary cells; lithium compounds; electric vehicle charging; estimation theory; lithium-ion battery state of charge; sustainable energy; SOC estimation algorithm; greenhouse gas emission reduction; current detection; battery currents; smart devices; electric vehicles; clean energy; current-free detection algorithm; commercial common field-programmable gate array; battery working process; battery voltages</t>
  </si>
  <si>
    <t>Lithium-ion battery as an efficient, sustainable, and clean energy for electric vehicles (EVs) and smart devices becomes more popular with the worldwide demand for reduction of greenhouse gas emission. In all kinds of applications, an accurate real-time estimation for state of charge (SOC) of battery is necessary. Some conventional methods usually need to sample both battery currents and voltages. This article presents a novel SOC estimation algorithm without current detection. This algorithm just acquires the port voltages of cell to calculate the open-circuit voltage (OCV) which is related to SOC. By extracting a large number of battery voltages based on a step response, some important parameters that can track battery working process are determined. In order to verify the algorithm feasibility and accuracy, it has been tested on a commercial common field-programmable gate array (FPGA) in different application conditions. The algorithm accuracy is mainly limited by model accuracy and sampling sensor accuracy. The maximum error between ideal SOC and calculated SOC by this algorithm is within 4%, and the mean error is about 0.99%. So, this high-feasibility, accredited accuracy, easy integration, and low-cost solution has bright potential in smarter future.</t>
  </si>
  <si>
    <t>10.1049/iet-cds.2018.5406</t>
  </si>
  <si>
    <t>Khan, R; Mehmood, KK; Bukhari, SBA; Imran, K; Wadood, A; Rhee, SB; Park, S</t>
  </si>
  <si>
    <t>Khan, Rashid; Mehmood, Khawaja Khalid; Bukhari, Syed Basit Ali; Imran, Kashif; Wadood, Abdul; Rhee, Sang Bong; Park, Sina</t>
  </si>
  <si>
    <t>An Optimization-Based Reliability Enhancement Scheme for Active Distribution Systems Utilizing Electric Vehicles</t>
  </si>
  <si>
    <t>Reliability; Costs; Power system reliability; Power systems; Optimization; Batteries; Vehicle-to-grid; Distribution system reliability; electric vehicle (EV); energy not supplied (ENS); parking lot (PL); smart charging; vehicle-to-home (V2H); vehicle-to-grid (V2G)</t>
  </si>
  <si>
    <t>DISTRIBUTION NETWORK; PARKING LOTS; INTEGRATION; WIND; MANAGEMENT; ALLOCATION</t>
  </si>
  <si>
    <t>Unanticipated faults can hinder the operation of the utility grid, consumers, and businesses. This study aims to ensure the continued power supply to the consumers during outages and peak hours from the stored energy in the batteries of electric vehicles (EVs). Considering the bi-directional charging feature, the energy capacity model of the EV-batteries in a centralized parking lot (PL) and distributed EVs is developed. Various factors that affect the energy capacity of EVs are considered and modeled. The optimal location of PL and charging/discharging time and rate are found for reliability improvement, losses reduction, and voltage regulation of the distribution system. The problem is formulated as a mixed-integer multi-objective optimization problem. The first objective function is formulated to maximize the energy output from the EVs-batteries during blackouts or to minimize the energy not supplied (ENS) to the consumers, whereas the second objective function minimizes the losses of the distribution system. Moreover, an IEEE 37 Node-Test Feeder and seven test cases are considered for this study. Simulation results show that PL of EVs could be employed as a power source during the islanded and grid-connected mode for improvement of reliability in the power systems.</t>
  </si>
  <si>
    <t>10.1109/ACCESS.2021.3127802</t>
  </si>
  <si>
    <t>Zhang, ZY; Zhao, WJ; Yang, M; Kang, L; Zhang, Z; Zhao, Y; Liu, GZ; Yao, N</t>
  </si>
  <si>
    <t>Zhang Zhaoyun; Zhao Wenjun; Yang Mei; Kang Li; Zhang Zhi; Zhao Yang; Liu Guozhong; Yao Na</t>
  </si>
  <si>
    <t>Application of micro-grid control system in smart park</t>
  </si>
  <si>
    <t>energy storage; intelligent control; energy management systems; distributed power generation; photovoltaic power systems; wind power plants; smart power grids; power generation control; power system management; power generation scheduling; power distribution faults; power distribution control; power supply quality; electric vehicle charging; automobiles; park energy storage device; smart grid; sustainable energy system; microgrid energy management system; microgrid control system applications; microgrid smart park system; China; national economy; renewable energy utilisation; sustainable economic development; energy source architecture; power grids; automatic scheduling; grid-connected mode; island mode; intelligent control; electric vehicle load; power quality monitoring; photovoltaic power generation; wind power generation</t>
  </si>
  <si>
    <t>Micro-grid can be used as a supplement to power supply of large power grids. Combined with smart park, users can easily manage the micro-grid. In the tourist scenic area, the local distributed new energy is mainly used to provide energy for the system. The micro-grid control system as the core of the system controls the optimal operation of the entire smart park. In order to ensure the efficient operation of the entire system, the energy management system is needed for smart control and automatic scheduling. In the grid-connected mode, the main-grid complements the system energy and charges the park energy storage device. In the island mode, the distributed energy is fully used to provide energy for the smart park system. The energy power fluctuates greatly, and the energy management system needs to schedule the micro-grid energy, energy storage system, electric vehicle load and so on, and power quality needs to be monitored. Use of micro-grid control system in the smart parking deploying photovoltaic power generation, wind power generation, charging and exchanging devices and other devices, real-time monitoring of the park of cars, charging cars automatically complete charging, automatic processing of visitor cars into and out of smart park, and improve work efficiency.</t>
  </si>
  <si>
    <t>10.1049/joe.2018.8771</t>
  </si>
  <si>
    <t>Farajizadeh, F; Vilathgamuwa, DM; Jovanovic, D; Jayathurathnage, P; Ledwich, G; Madawala, U</t>
  </si>
  <si>
    <t>Farajizadeh, Farzad; Vilathgamuwa, D. Mahinda; Jovanovic, Dejan; Jayathurathnage, Prasad; Ledwich, Gerard; Madawala, Udaya</t>
  </si>
  <si>
    <t>Expandable N-Legged Converter to Drive Closely Spaced Multitransmitter Wireless Power Transfer Systems for Dynamic Charging</t>
  </si>
  <si>
    <t>Transmitters; Legged locomotion; Couplings; Coils; Windings; Wireless power transfer; Vehicle dynamics; Coordination factor; cross coupling; electric vehicles (EV); expandable wireless power transfer (WPT) system; inductive charging; magnetic profile; mode changing transients; multitransmitter wireless power transfer systems; transferred power profile</t>
  </si>
  <si>
    <t>Expandable and flexible wireless power transfer (WPT) systems have been in demand in numerous industry applications, especially for dynamic chargers in electric vehicles. Those systems, however, bring about certain technical issues such as modulation technique and topology of the transmitter side, and transferred power profile of the transmitters. In this article, a new converter topology to drive closely spaced segmented dynamic wireless power transfer (DWPT) systems is proposed. The proposed converter can be expanded to cater for different number of transmitters, and it can provide a uniform transferred power profile throughout the path of transmitter coils, known as track. Furthermore, this article focuses on analyzing the operation of the converter and the effect of closely spaced transmitters over its operation. To show the effectiveness of the proposed topology and its modulation technique, the converter is simulated and experimentally tested using a laboratory prototype. The results are compared and analyzed, and their close agreement shows the validity of the proposed technique.</t>
  </si>
  <si>
    <t>10.1109/TPEL.2019.2939848</t>
  </si>
  <si>
    <t>Botkin-Levy, M; Engelmann, A; Muhlpfordt, T; Faulwasser, T; Almassalkhi, MR</t>
  </si>
  <si>
    <t>Botkin-Levy, Micah; Engelmann, Alexander; Muehlpfordt, Tillmann; Faulwasser, Timm; Almassalkhi, Mads R.</t>
  </si>
  <si>
    <t>Distributed Control of Charging for Electric Vehicle Fleets Under Dynamic Transformer Ratings</t>
  </si>
  <si>
    <t>Oil insulation; Heuristic algorithms; Power transformer insulation; Substations; Oils; Convex functions; Analytical models; Alternating direction method of multipliers (ADMM); augmented Lagrangian-based alternating direction inexact Newton (ALADIN); distributed optimization; dual decomposition; electric vehicle (EV) charging; fleet; packet-based coordination</t>
  </si>
  <si>
    <t>OPTIMIZATION; MODEL; TEMPERATURE; ALGORITHM</t>
  </si>
  <si>
    <t>Due to their large power draws and increasing adoption rates, electric vehicles (EVs) will become a significant challenge for electric distribution grids. However, with proper charging control strategies, the challenge can be mitigated without the need for expensive grid reinforcements. This article presents and analyzes new distributed charging control methods to coordinate EV charging under nonlinear transformer temperature ratings. Specifically, we assess the tradeoffs between required data communications, computational efficiency, and optimality guarantees for different control strategies based on a convex relaxation of the underlying nonlinear transformer temperature dynamics. Classical distributed control methods, such as those based on dual decomposition and alternating direction method of multipliers (ADMM), are compared against the new augmented Lagrangian-based alternating direction inexact Newton (ALADIN) method and a novel low-information, look-ahead version of packetized energy management (PEM). These algorithms are implemented and analyzed for two case studies on residential and commercial EV fleets with fixed and variable populations. The latter motivates a novel EV hub charging model that captures arrivals and departures. Simulation results validate the new methods and provide insights into key tradeoffs.</t>
  </si>
  <si>
    <t>10.1109/TCST.2021.3120494</t>
  </si>
  <si>
    <t>Gazafroudi, AS; Corchado, JM; Keane, A; Soroudi, A</t>
  </si>
  <si>
    <t>Gazafroudi, Amin Shokri; Corchado, Juan Manuel; Keane, Andrew; Soroudi, Alireza</t>
  </si>
  <si>
    <t>Decentralised flexibility management for EVs</t>
  </si>
  <si>
    <t>IET RENEWABLE POWER GENERATION</t>
  </si>
  <si>
    <t>smart power grids; demand side management; electric vehicles; distribution networks; power markets; energy management systems; decision making; distributed power generation; decentralised flexibility management; EVs; smart cities; end users; flexibility services; smart distribution grids; distributed energy; stochastic problem; energy flexibility; charging operation; distribution grid; energy management problem; decentralised approach; 33-bus distribution network; transacted energy; decentralised decision-making strategy</t>
  </si>
  <si>
    <t>DEMAND RESPONSE; ENERGY; AGGREGATOR; SYSTEMS; MARKET; MODEL</t>
  </si>
  <si>
    <t>In smart cities, the end users should play an active role to provide the flexibility services in demand response programmes of smart distribution grids. Moreover, electric vehicles (EVs), their main task being providing green transportation, can play an important role in providing distributed energy in smart cities. In this study, a stochastic problem is presented to manage flexibility of end users and charging operation of EVs in the distribution grid. Thus, the end-users, aggregators, and EVs are defined as players in the proposed problem. Additionally, three strategies are presented to manage energy centralised, decentralised, or pseudo-decentralised in the proposed stochastic problem. In the decentralised and pseudo-decentralised approaches, flexibility of consumers is managed autonomously. On the other hand, EVs are utilised independently by their corresponding owners only in the decentralised approach. Also, a 33-bus distribution network is considered to assess the performance of the proposed strategies regarding the expected costs of players and the impact of flexibility on transacted energy through aggregators, and the real-time market. On the basis of simulation results, it is concluded that decentralised strategy to manage energy flexibility and charging operation of EVs by the end users is the win-win strategy for end users and aggregators.</t>
  </si>
  <si>
    <t>APR 29</t>
  </si>
  <si>
    <t>10.1049/iet-rpg.2018.6023</t>
  </si>
  <si>
    <t>Sechilariu, M; Molines, N; Richard, G; Martell-Flores, H; Locment, F; Baert, J</t>
  </si>
  <si>
    <t>Sechilariu, Manuela; Molines, Nathalie; Richard, Gabrielle; Martell-Flores, Hipolito; Locment, Fabrice; Baert, Jerome</t>
  </si>
  <si>
    <t>Electromobility framework study: infrastructure and urban planning for EV charging station empowered by PV-based microgrid</t>
  </si>
  <si>
    <t>battery powered vehicles; town and country planning; power grids; photovoltaic power systems; sustainable development; distributed power generation; electric vehicle charging; power markets; power generation economics; energy management systems; power distribution economics; carbon; smart cities; urban planning; EV charging station; PV-based microgrid; electric vehicles market; carbon-free urban mobility; renewable energy production; optimised model; energy management; smart cities; intelligent infrastructure; photovoltaic-based microgrid; public power distribution network; users demand; IIREVs implantation; electromobility framework study; urban microgrid; sustainable development; multidisciplinary research position; power grid; technical-economic-environmental evaluation methodology; C</t>
  </si>
  <si>
    <t>The growth of electric vehicles (EVs) market is an important step towards achieving carbon-free urban mobility. The coupling with renewable energy production according to an optimised model of energy management within an urban microgrid responds to tomorrow's challenges of networks and smart cities. This study aims to define an intelligent infrastructure dedicated to the recharge of EVs (IIREVs) in an urban area as a charging station empowered by photovoltaic (PV)-based microgrid. This system can facilitate interactions between the IIREVs, the public power distribution network, the users of EVs, and the surrounding building. The study provides key elements to encourage the stakeholders to develop IIREVs within societal expectations, urban planning, and in adequacy with the sustainable development goals. In addition, the study highlights multidisciplinary research position that demonstrates the need of a systemic approach to remain centred on users demand and needs, to asses efficiency at various scales of IIREVs, associated services, and power grid. By using a multidisciplinary framework leading to a technical-economic-environmental evaluation methodology for IIREVs and presenting a study case, the main result of this study focuses on requirements and feasibility of IIREVs implantation within the best fitting urban areas.</t>
  </si>
  <si>
    <t>10.1049/iet-est.2019.0032</t>
  </si>
  <si>
    <t>Sengor, I; Erenoglu, AK; Erdinc, O; Tascikaraoglu, A; Catalao, JPS</t>
  </si>
  <si>
    <t>Sengor, Ibrahim; Erenoglu, Ayse Kubra; Erdinc, Ozan; Tascikaraoglu, Akin; Catalao, Joao P. S.</t>
  </si>
  <si>
    <t>Day-ahead charging operation of electric vehicles with on-site renewable energy resources in a mixed integer linear programming framework</t>
  </si>
  <si>
    <t>linear programming; pricing; electric vehicles; integer programming; battery storage plants; demand side management; photovoltaic power systems; smart power grids; power generation scheduling; electric vehicles; on-site renewable energy resources; mixed integer linear programming framework; large-scale penetration; power system; distribution system operators; DSOs; demand response strategies; smart grid paradigm; different aggregators; DR strategies; PLL; peak load limitation; day-ahead charging operation; peak load limitation based DR strategies; operational flexibility; daily solar irradiation data; scenario-based approach; PV generation; related EVPL; arrival time; state-of-energy; related EV owners; EVPLs; EV parking lots</t>
  </si>
  <si>
    <t>PARKING LOT; SYSTEM; COORDINATION; BEHAVIOR; MODEL</t>
  </si>
  <si>
    <t>The large-scale penetration of electric vehicles (EVs) into the power system will provoke new challenges needed to be handled by distribution system operators (DSOs). Demand response (DR) strategies play a key role in facilitating the integration of each new asset into the power system. With the aid of the smart grid paradigm, a day-ahead charging operation of large-scale penetration of EVs in different regions that include different aggregators and various EV parking lots (EVPLs) is propounded in this study. Moreover, the uncertainty of the related EV owners, such as the initial state-of-energy and the arrival time to the related EVPL, is taken into account. The stochasticity of PV generation is also investigated by using a scenario-based approach related to daily solar irradiation data. Last but not least, the operational flexibility is also taken into consideration by implementing peak load limitation (PLL) based DR strategies from the DSO point of view. To reveal the effectiveness of the devised scheduling model, it is performed under various case studies that have different levels of PLL, and for the cases with and without PV generation.</t>
  </si>
  <si>
    <t>10.1049/iet-stg.2019.0282</t>
  </si>
  <si>
    <t>Jarraya, F; Khan, A; Gastli, A; Ben-Brahim, L; Hamila, R</t>
  </si>
  <si>
    <t>Jarraya, Fatma; Khan, Ahmad; Gastli, Adel; Ben-Brahim, Lazhar; Hamila, Ridha</t>
  </si>
  <si>
    <t>Design considerations, modelling, and control of dual-active full bridge for electric vehicles charging applications</t>
  </si>
  <si>
    <t>smart power grids; DC-DC power convertors; zero voltage switching; control system synthesis; electric vehicle charging; zero current switching; bridge circuits; power system control; power system reliability; high-frequency transformers; digital systems; power semiconductor switches; hardware-in-the loop simulation; delays; battery management systems; dual-active full bridge; smart grids; DAFB converter; EV charger control scheme; system materials; step-by-step modelling approach; digital system delays; system design; electric vehicles charging applications; isolated DC-DC converter topologies; soft switching; battery lifetime; high-frequency transformer; semiconductor switches; passive components; Simulink; Typhoon-HIL real-time simulator; power 6; 1 kW</t>
  </si>
  <si>
    <t>DC-DC CONVERTER; PHASE-SHIFT; REACTIVE POWER; RELIABILITY</t>
  </si>
  <si>
    <t>The dual active full bridge (DAFB) is one of the promising isolated DC/DC converter topologies that will play a significant role in the future of electric vehicle (EV) integration in smart grids (SGs). This is due to its inherent soft switching and control simplicity. Therefore, this study presents first the latest developments related to the design of DAFB converter in EV charging technology. It provides a brief discussion of the crucial recommendations regarding the reliability, efficiency, system configuration, EV charger control scheme, battery lifetime, and system materials. Then, it presents a step-by-step modelling approach for a non-ideal DAFB for the purpose of designing its controller. In addition, the model provided by this study includes all non-idealities due to the high-frequency (HF) transformer, semiconductor switches, passive components, and digital system delays. Eventually, the proposed system design and analysis was validated by implementing a 6.1 kW prototype on Simulink and Typhoon-HIL real-time simulator.</t>
  </si>
  <si>
    <t>10.1049/joe.2018.5279</t>
  </si>
  <si>
    <t>Zhou, TP; Sun, W</t>
  </si>
  <si>
    <t>Zhou, Tianpei; Sun, Wei</t>
  </si>
  <si>
    <t>Research on multi-objective optimisation coordination for large-scale V2G</t>
  </si>
  <si>
    <t>battery powered vehicles; optimisation; renewable energy sources; distributed power generation; power generation scheduling; vehicle-to-grid; multiobjective optimisation coordination; electric vehicles; power grid; multiobjective optimisation model; minimum grid load fluctuation; maximum renewable energy utilisation; EV users; optimisation objectives; variable threshold optimisation algorithm; vehicle-to-grid technology; large-scale V2G; large-scale disordered charging behaviour; large-scale disordered discharging behaviour; microgrid; searching valley scheduling algorithm; variable charge-discharge rate optimisation algorithm; variable charge-discharge rate scheduling algorithm; power supply-and-demand</t>
  </si>
  <si>
    <t>ELECTRIC VEHICLES; POWER-SYSTEMS</t>
  </si>
  <si>
    <t>Vehicle-to-grid (V2G) technology plays an important role in solving the large-scale disordered charging and discharging behaviour of the electric vehicles (EVs). V2G mode based on microgrid is used for multi-objective optimisation coordination between the EVs and the power grid, and a multi-objective optimisation model, in which minimum grid load fluctuation, maximum renewable energy utilisation and maximum benefits for the EV users as the optimisation objectives are established. In order to solve the optimisation model, searching valley scheduling algorithm, variable threshold optimisation algorithm and variable charge/discharge rate optimisation algorithm are proposed successively. In order to verify the control effect, the three proposed algorithms are compared with the without optimisation algorithm. The results show that the three proposed algorithms, in a manner, could improve the imbalance between power supply and demand of the microgrid; increase utilisation of renewable energy; and bring certain benefits to the EV users. By analysis of experimental data, the control effect of variable charge/discharge rate scheduling algorithm is the best in the three scheduling algorithms.</t>
  </si>
  <si>
    <t>FEB 24</t>
  </si>
  <si>
    <t>10.1049/iet-rpg.2019.0173</t>
  </si>
  <si>
    <t>Khalid, HM; Flitti, F; Muyeen, SM; Elmoursi, MS; Sweidan, TO; Yu, XH</t>
  </si>
  <si>
    <t>Khalid, Haris M.; Flitti, Farid; Muyeen, S. M.; Elmoursi, Mohamed Shawky; Sweidan, Tha'er O.; Yu, Xinghuo</t>
  </si>
  <si>
    <t>Parameter Estimation of Vehicle Batteries in V2G Systems: An Exogenous Function-Based Approach</t>
  </si>
  <si>
    <t>Vehicle-to-grid; Load modeling; Integrated circuit modeling; Battery charge measurement; Power system dynamics; Parameter estimation; Lithium-ion batteries; Aging analysis; ancillary services; battery degradation; bidirectional charging; electric transportation; electric vehicles (EVs); estimation; grid-to-vehicle; Li-ion batteries; median filter; prediction; recursive; regression; renewable energy; smart grid; vehicle-to-grid</t>
  </si>
  <si>
    <t>LITHIUM-ION BATTERIES; DESIGN; MODEL; DIAGNOSIS; CELLS</t>
  </si>
  <si>
    <t>The rapid introduction of electric vehicles (EVs) in the transportation market has initiated the concept of vehicle-to-grid (V2G) technology in smart grids. However, where V2G technology is intended to facilitate the power grid ancillary services, it could also have an adverse effect on the aging of battery packs in EVs. This is due to the instant depletion of power during the charge and discharge cycles, which could eventually impact the structural complexity and electrochemical operations in the battery pack. To address this situation, a median expectation-based regression approach is proposed for parameter estimation of vehicle batteries in V2G systems. The proposed method is built on the property of uncertainty prediction of Gaussian processes for parameter estimation while considering the cell variations as an exogenous function. First, a median expectation-based Gaussian process model is derived to predict the fused and individual cell variations of a battery pack. Second, a magnitude-squared coherence model is developed by the error matrix to detect and isolate each variation. This is obtained by extracting the cross-spectral densities for the measurements. The proposed regression-based approach is evaluated using experimental measurements collected from lithium-ion battery pack in EVs. The parametric analysis of the battery pack has been verified using D-SAT Chroma 8000ATS hardware platform. Performance evaluation shows an accurate estimation of these dynamics even in the presence of injected faults.</t>
  </si>
  <si>
    <t>10.1109/TIE.2021.3112980</t>
  </si>
  <si>
    <t>Khalid, HM; Peng, JCH</t>
  </si>
  <si>
    <t>Khalid, Haris M.; Peng, Jimmy C. -H.</t>
  </si>
  <si>
    <t>Bidirectional Charging in V2G Systems: An In-Cell Variation Analysis of Vehicle Batteries</t>
  </si>
  <si>
    <t>Vehicle-to-grid; Vehicle dynamics; Temperature measurement; Temperature sensors; Lithium-ion batteries; Battery degradation; battery pack voltage; bidirectional charging; cell-to-cell variations; electric vehicles (EVs); estimation; expected value; grid-to-vehicle (G2V); hypothesis testing; in-cell; Li-ion batteries; median filter; prediction; recursive; smart grid; variation propagation; vehicle-to-grid (V2G)</t>
  </si>
  <si>
    <t>ELECTRIC VEHICLES; ION; STATE; MODEL; DESIGN; DIAGNOSIS; FILTER; SOC</t>
  </si>
  <si>
    <t>Vehicle-to-grid (V2G) technology enables bidirectional charging of electric vehicle (EV) and facilitates power grid ancillary services. However, battery pack in EV may develop in-cell dynamic variations over time. This is due to the structural complexity and electrochemical operations in the battery pack. These variations may arise in V2G systems due to: first, additional charging and discharging cycles to power grid; second, external shocks; and third, long exposures to high temperatures. A particular source of these variations is due to faulty sensors. Therefore, it can be argued that the battery packs in EV are highly reliant on the monitoring of these in-cell variations and their impact of propagation with each involved component. In this article, a prediction-based scheme to monitor the health of variation induced sensors is proposed. First, a propagation model is developed to predict the in-cell variations of a battery pack by calculating the covariance using a median-based expectation. Second, a hypothesis model is developed to detect and isolate each variation. This is obtained by deriving a conditional probability-based density function for the measurements. The proposed monitoring framework is evaluated using experimental measurements collected from Li-ion battery pack in EVs. The in-cell variation profiles have been verified using D-SAT Chroma 8000ATS hardware platform. The performance results of the proposed scheme show accurate analysis of these emerged variations.</t>
  </si>
  <si>
    <t>10.1109/JSYST.2019.2958967</t>
  </si>
  <si>
    <t>Zand, M; Nasab, MA; Sanjeevikumar, P; Maroti, PK; Holm-Nielsen, JB</t>
  </si>
  <si>
    <t>Zand, Mohammad; Nasab, Morteza Azimi; Sanjeevikumar, Padmanaban; Maroti, Pandav Kiran; Holm-Nielsen, Jens Bo</t>
  </si>
  <si>
    <t>Energy management strategy for solid-state transformer-based solar charging station for electric vehicles in smart grids</t>
  </si>
  <si>
    <t>solar power stations; optimisation; energy management systems; smart power grids; photovoltaic power systems; battery powered vehicles; energy management strategy; solid-state transformer-based solar charging station; smart grids; solar power station design; efficient EMS; smart grid ancillary services; optimal decision method; energy bound calculation model; upper bounds; lower bounds; flexible sources; EBC results; power order; charge power allocation algorithm; flexible electric vehicles; EMS strategy; real-time energy management; energy range; real-time power allocation; charge stations; sustaining power</t>
  </si>
  <si>
    <t>RECENT PROGRESS; SYSTEM; OPTIMIZATION; IMPLEMENTATION; TOPOLOGIES; MICROGRIDS; ALGORITHM; FRAMEWORK; MODEL; EMS</t>
  </si>
  <si>
    <t>This study introduces a type of solid-state transformer (SST) for solar power station design and an energy management strategy (EMS) for the SST. The purpose of this study is to design a real efficient EMS for the photovoltaic-assisted charging station in smart grid ancillary services and apply the optimal decision method. Also, the energy bound calculation (EBC) model is proposed to find the upper and lower bounds of flexible sources. Also, taking into account the EBC results and the power order from the aggregator, a charge power allocation algorithm is designed to distribute the power of flexible electric vehicles (EVs). With the help of a case study and laboratory analysis, the proposed EMS strategy is effective in real-time energy management and is suitable for practical applications. The obtained results show the stable performance in the calculation of the energy range and real-time power allocation which improves the efficiency of the photovoltaic-based charging station. Also, the SST improves the operation of charge stations for supplying the sustaining power.</t>
  </si>
  <si>
    <t>10.1049/iet-rpg.2020.0399</t>
  </si>
  <si>
    <t>El-Hawary, ME</t>
  </si>
  <si>
    <t>El-Hawary, Mohamed E.</t>
  </si>
  <si>
    <t>The Smart Grid-State-of-the-art and Future Trends</t>
  </si>
  <si>
    <t>Adaptive reconfiguration of distribution networks; alternative energy sources; automated metering infrastructure; building automation and control system; Canadian Electricity Association; data fusion; data transmission; demand side management; Department of Energy; deregulation; discrete wavelet transform; distributed energy sources; distributed intelligence; distributed management system; distribution and utilization systems; distribution automation; dynamic storage resources; electric vehicle charging station; electric vehicles; embedded intelligence; energy efficient building; environmental impact of power generation; external cyber attacks; forecasting; fuel cells; fuzzy logic controller; generation automation; generation carbon footprint; global positioning system; green energy; grid of the future; integrated forecasting; intermittent energy availability; International Electrotechnical Commission (IEC); interoperability; Kentucky Smart Grid Roadmap Initiative; load prioritization; microgrids; model predictive voltage control; multistage mixed-integer stochastic programming; nanotechnology; observability; optimal predictor-corrector resource dispatching; optimal sizing and placement of distribution system resources; plug-in electric vehicles; power quality; power system infrastructure aging; power system reliability; power system restoration; prediction; pulse width modulation; renewable energy sources; rural electrification; self-healing distribution systems; sliding mode current control; smart appliances; smart building; smart grid; Smart Grid Forum (India); smart grid roadmap; smart home; smart home energy management system; smart meters; state estimation; State Grid Corporation of China (SGCC); synchronized phasor measurements; synchronized smart grids monitoring; US National Academy of Engineering; voltage source inverter; wide-area monitoring system; wind turbines; wind-thermal-pumped storage systems</t>
  </si>
  <si>
    <t>ENERGY MANAGEMENT; OPERATION</t>
  </si>
  <si>
    <t>This paper introduces Smart Grid and associated technical, environmental and socio-economic, and other non-tangible benefits to society, and articulates the need for the concept and the fact that it is a dynamic interactive, real-time infrastructure that responds to the challenges of designing and building the power system of the future, rather than being simply a marketing term. To illustrate the diversity of terminology, the paper compares an Electric Power Research Institute (EPRI) definition with that suggested by a study group of the International Electrotechnical Commission (IEC). Next, a paper sponsored by the Canadian Electricity Association (CEA) that cites three example definitions to highlight the diversity of views of Smart Grid is briefly reviewed. Early misconceptions and characterizations of Smart Grid are discussed as a prelude to addressing challenging issues that motivate developing and implementing related innovative technologies, products and services. The paper then discusses the potential promise of the Smart Grid, which is embedded in its often-cited attributes of efficiency, accommodating, quality focus, enabling and self-healing to name some. The paper then addresses some of the often-cited impediments to accepting Smart Grid which are based on concerns and issues confronting its forward progress, adoption and acceptance. Distribution Automation (DA) and embedded intelligence are discussed emphasising self-healing, optimizing operation and facilitating recreation and recovery from abnormal events. Functional and integration requirements of Distributed Energy Resources (DER,) are detailed. Smart Consumption Infrastructure elements of Distribution Management Systems (DMS,) Automated Metering Infrastructure (AMI,) Smart Homes (SH), and Smart Appliances (SA,) are discussed. Following the introductory section, this paper summarizes contributions included in the double issue 42(3-4) of the Electric Power Components and Systems Journal. To begin, papers are offered discussing smart grid activities in China, India, and the development of a Smart Grid roadmap for the US State of Kentucky. The approaches of each of these cases reflect the diversity of policy initiatives in these jurisdictions. Two state of the art reviews are given next. The first considers distribution network active management and future development trends in technologies and methods, where centralized and decentralized management frameworks and applying agent-based coordination are discussed. The second offers a review of smart home technologies and the goals of an energy management system (SHEMS). This section is concluded by a letter providing an overview of recent and expected advances nanotechnology applications in Smart Grid. Following the state of the art review section, ten papers offering new and innovative research approaches and results are included. These papers cover Smart Grid topics such as real-time energy control approach for smart home energy management systems, optimal operation of energy- efficient buildings with Combined Heat and Power (CHP) systems, energy management and control of Electric Vehicle (EV) charging stations, voltage-frequency control of a voltage source inverter (VSI) in a smart islanded microgrid, smart generation scheduling for wind-thermal-pumped storage systems, optimized power system restoration, robust data transmission upon compressive sensing, data fusion for wide-area oscillation monitoring, satellite based GPS synchronized monitoring systems, stability in Smart Grid with emerging renewable energy techno- logies.</t>
  </si>
  <si>
    <t>10.1080/15325008.2013.868558</t>
  </si>
  <si>
    <t>Talaat, M; Arafa, I; Metwally, HMB</t>
  </si>
  <si>
    <t>Talaat, M.; Arafa, I.; Metwally, H. M. B.</t>
  </si>
  <si>
    <t>Advanced automation system for charging electric vehicles based on machine vision and finite element method</t>
  </si>
  <si>
    <t>IET ELECTRIC POWER APPLICATIONS</t>
  </si>
  <si>
    <t>finite element analysis; Internet of Things; inductive power transmission; virtual instrumentation; coils; graphical user interfaces; battery powered vehicles; magnetic flux; power engineering computing; considered WPT technique; inductive magnetic resonance; smart controller system; machine vision; IOT; utilisation technique; maximum WPT; magnetic flux density; receiving coils; WPT system; IMR method; coils alignment; integrated controlling layers; image processing technique; smart embedded sensing elements; wireless link; advanced automation system; finite element method; electric vehicle technology; EV; predictable shortage; traditional energy sources; wireless power transfer technology; battery charging time problem</t>
  </si>
  <si>
    <t>WIRELESS POWER TRANSFER; SIMULATION; RESONATORS; EFFICIENT; DESIGN; FIELD</t>
  </si>
  <si>
    <t>Electric vehicle (EV) technology proposed itself as a great solution for the predictable shortage in traditional energy sources. Using wireless power transfer (WPT) technology for charging the battery can be considered as a good solution to overcome the battery charging time problem. The considered WPT technique in this research is an inductive magnetic resonance (IMR). The problem now is to design a smart controller system that enables the EVs to obtain the optimum value of WPT by using the machine vision and the technology of Internet of Things (IOT). The utilisation technique of the maximum WPT in this research based on the simulation study of the magnetic flux density between the sending and receiving coils of the WPT system. Maximum efficiency of IMR method depends directly on the ideality of coils alignment. To achieve this alignment, a smart controller has been introduced with four integrated controlling layers. Coordinating an image processing technique with smart embedded sensing elements is considered the main solution key to better positioning. National instrument packages NI LabVIEW and NI vision are considered to fully control the system. NI Data Dashboard enables creating a wireless link using the concept of IOT to a smartphone running simple graphical user interface.</t>
  </si>
  <si>
    <t>DEC 18</t>
  </si>
  <si>
    <t>10.1049/iet-epa.2020.0380</t>
  </si>
  <si>
    <t>Included</t>
  </si>
  <si>
    <t>Deleted</t>
  </si>
  <si>
    <t>Literature reviews</t>
  </si>
  <si>
    <t>Articles</t>
  </si>
  <si>
    <t>Total</t>
  </si>
  <si>
    <t>Read</t>
  </si>
  <si>
    <t>Acceptation</t>
  </si>
  <si>
    <t>Expected</t>
  </si>
  <si>
    <t>Date</t>
  </si>
  <si>
    <t>New read</t>
  </si>
  <si>
    <t>Average</t>
  </si>
  <si>
    <t>Expected weeks</t>
  </si>
  <si>
    <t>Expected date</t>
  </si>
  <si>
    <t>Articles per day</t>
  </si>
  <si>
    <t>Best</t>
  </si>
  <si>
    <t>Desired</t>
  </si>
  <si>
    <t>Removing</t>
  </si>
  <si>
    <t>Author</t>
  </si>
  <si>
    <t>KP</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</si>
  <si>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</si>
  <si>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</si>
  <si>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</si>
  <si>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</si>
  <si>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</si>
  <si>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</si>
  <si>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</si>
  <si>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</si>
  <si>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</si>
  <si>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</si>
  <si>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</si>
  <si>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</si>
  <si>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</si>
  <si>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</si>
  <si>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</si>
  <si>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</si>
  <si>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</si>
  <si>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</si>
  <si>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</si>
  <si>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</si>
  <si>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</si>
  <si>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</si>
  <si>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</si>
  <si>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</si>
  <si>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</si>
  <si>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</si>
  <si>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</si>
  <si>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</si>
  <si>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</si>
  <si>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</si>
  <si>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</si>
  <si>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</si>
  <si>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</si>
  <si>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</si>
  <si>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</si>
  <si>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</si>
  <si>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</si>
  <si>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</si>
  <si>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</si>
  <si>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</si>
  <si>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</si>
  <si>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</si>
  <si>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</si>
  <si>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</si>
  <si>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</si>
  <si>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</si>
  <si>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</si>
  <si>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</si>
  <si>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</si>
  <si>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</si>
  <si>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</si>
  <si>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</si>
  <si>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</si>
  <si>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</si>
  <si>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</si>
  <si>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</si>
  <si>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</si>
  <si>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</si>
  <si>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</si>
  <si>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</si>
  <si>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</si>
  <si>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</si>
  <si>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</si>
  <si>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</si>
  <si>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</si>
  <si>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</si>
  <si>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</si>
  <si>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</si>
  <si>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</si>
  <si>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</si>
  <si>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</si>
  <si>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</si>
  <si>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</si>
  <si>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</si>
  <si>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</si>
  <si>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</si>
  <si>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</si>
  <si>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</si>
  <si>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</si>
  <si>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</si>
  <si>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</si>
  <si>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</si>
  <si>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</si>
  <si>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</si>
  <si>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</si>
  <si>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</si>
  <si>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</si>
  <si>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</si>
  <si>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</si>
  <si>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</si>
  <si>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</si>
  <si>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</si>
  <si>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</si>
  <si>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</si>
  <si>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</si>
  <si>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</si>
  <si>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</si>
  <si>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</si>
  <si>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</si>
  <si>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</si>
  <si>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</si>
  <si>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</si>
  <si>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</si>
  <si>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</si>
  <si>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</si>
  <si>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</si>
  <si>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</si>
  <si>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</si>
  <si>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</si>
  <si>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</si>
  <si>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</si>
  <si>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</si>
  <si>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</si>
  <si>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</si>
  <si>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</si>
  <si>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</si>
  <si>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</si>
  <si>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</si>
  <si>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</si>
  <si>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</si>
  <si>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</si>
  <si>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</si>
  <si>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</si>
  <si>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</si>
  <si>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</si>
  <si>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</si>
  <si>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</si>
  <si>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</si>
  <si>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</si>
  <si>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</si>
  <si>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</si>
  <si>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</si>
  <si>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</si>
  <si>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</si>
  <si>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</si>
  <si>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</si>
  <si>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</si>
  <si>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</si>
  <si>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</si>
  <si>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</si>
  <si>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</si>
  <si>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</si>
  <si>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</si>
  <si>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</si>
  <si>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</si>
  <si>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</si>
  <si>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</si>
  <si>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</si>
  <si>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</si>
  <si>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</si>
  <si>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</si>
  <si>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</si>
  <si>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</si>
  <si>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</si>
  <si>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</si>
  <si>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</si>
  <si>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</si>
  <si>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</si>
  <si>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</si>
  <si>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</si>
  <si>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</si>
  <si>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</si>
  <si>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</si>
  <si>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</si>
  <si>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</si>
  <si>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</si>
  <si>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</si>
  <si>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</si>
  <si>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</si>
  <si>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</si>
  <si>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</si>
  <si>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</si>
  <si>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</si>
  <si>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</si>
  <si>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</si>
  <si>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</si>
  <si>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</si>
  <si>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</si>
  <si>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</si>
  <si>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</si>
  <si>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</si>
  <si>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</si>
  <si>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</si>
  <si>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</si>
  <si>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</si>
  <si>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</si>
  <si>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</si>
  <si>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</si>
  <si>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</si>
  <si>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</si>
  <si>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</si>
  <si>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</si>
  <si>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</si>
  <si>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</si>
  <si>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</si>
  <si>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</si>
  <si>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</si>
  <si>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</si>
  <si>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</si>
  <si>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</si>
  <si>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</si>
  <si>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</si>
  <si>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</si>
  <si>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</si>
  <si>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</si>
  <si>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</si>
  <si>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</si>
  <si>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</si>
  <si>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</si>
  <si>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</si>
  <si>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</si>
  <si>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</si>
  <si>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</si>
  <si>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</si>
  <si>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</si>
  <si>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</si>
  <si>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</si>
  <si>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</si>
  <si>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</si>
  <si>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</si>
  <si>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</si>
  <si>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</si>
  <si>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</si>
  <si>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</si>
  <si>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</si>
  <si>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</si>
  <si>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</si>
  <si>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</si>
  <si>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</si>
  <si>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</si>
  <si>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</si>
  <si>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</si>
  <si>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</si>
  <si>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</si>
  <si>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</si>
  <si>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</si>
  <si>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</si>
  <si>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</si>
  <si>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</si>
  <si>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</si>
  <si>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</si>
  <si>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</si>
  <si>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</si>
  <si>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</si>
  <si>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</si>
  <si>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</si>
  <si>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</si>
  <si>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</si>
  <si>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</si>
  <si>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</si>
  <si>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</si>
  <si>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</si>
  <si>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</si>
  <si>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</si>
  <si>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</si>
  <si>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</si>
  <si>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</si>
  <si>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</si>
  <si>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</si>
  <si>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</si>
  <si>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</si>
  <si>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</si>
  <si>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</si>
  <si>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</si>
  <si>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</si>
  <si>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</si>
  <si>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</si>
  <si>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</si>
  <si>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</si>
  <si>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</si>
  <si>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</si>
  <si>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</si>
  <si>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</si>
  <si>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</si>
  <si>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</si>
  <si>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</si>
  <si>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</si>
  <si>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</si>
  <si>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</si>
  <si>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</si>
  <si>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</si>
  <si>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</si>
  <si>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</si>
  <si>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</si>
  <si>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</si>
  <si>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</si>
  <si>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</si>
  <si>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</si>
  <si>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</si>
  <si>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</si>
  <si>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</si>
  <si>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</si>
  <si>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</si>
  <si>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</si>
  <si>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</si>
  <si>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</si>
  <si>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</si>
  <si>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</si>
  <si>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</si>
  <si>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</si>
  <si>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</si>
  <si>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</si>
  <si>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</si>
  <si>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</si>
  <si>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</si>
  <si>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</si>
  <si>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</si>
  <si>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</si>
  <si>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</si>
  <si>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</si>
  <si>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</si>
  <si>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</si>
  <si>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</si>
  <si>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</si>
  <si>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</si>
  <si>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</si>
  <si>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</si>
  <si>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</si>
  <si>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</si>
  <si>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</si>
  <si>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</si>
  <si>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</si>
  <si>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</si>
  <si>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</si>
  <si>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</si>
  <si>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</si>
  <si>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</si>
  <si>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</si>
  <si>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</si>
  <si>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</si>
  <si>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</si>
  <si>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</si>
  <si>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</si>
  <si>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</si>
  <si>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</si>
  <si>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</si>
  <si>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</si>
  <si>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</si>
  <si>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</si>
  <si>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</si>
  <si>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</si>
  <si>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</si>
  <si>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</si>
  <si>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</si>
  <si>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</si>
  <si>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</si>
  <si>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</si>
  <si>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</si>
  <si>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</si>
  <si>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</si>
  <si>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</si>
  <si>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</si>
  <si>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</si>
  <si>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</si>
  <si>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</si>
  <si>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</si>
  <si>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</si>
  <si>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</si>
  <si>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</si>
  <si>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</si>
  <si>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</si>
  <si>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</si>
  <si>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</si>
  <si>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</si>
  <si>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</si>
  <si>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</si>
  <si>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</si>
  <si>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</si>
  <si>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</si>
  <si>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</si>
  <si>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</si>
  <si>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</si>
  <si>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</si>
  <si>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</si>
  <si>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</si>
  <si>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</si>
  <si>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</si>
  <si>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</si>
  <si>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</si>
  <si>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</si>
  <si>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</si>
  <si>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</si>
  <si>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</si>
  <si>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</si>
  <si>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</si>
  <si>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</si>
  <si>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</si>
  <si>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</si>
  <si>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</si>
  <si>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</si>
  <si>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</si>
  <si>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</si>
  <si>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</si>
  <si>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</si>
  <si>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</si>
  <si>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</si>
  <si>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</si>
  <si>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</si>
  <si>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</si>
  <si>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</si>
  <si>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</si>
  <si>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</si>
  <si>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</si>
  <si>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</si>
  <si>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</si>
  <si>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</si>
  <si>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</si>
  <si>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</si>
  <si>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</si>
  <si>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</si>
  <si>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</si>
  <si>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</si>
  <si>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</si>
  <si>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</si>
  <si>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</si>
  <si>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</si>
  <si>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</si>
  <si>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</si>
  <si>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</si>
  <si>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</si>
  <si>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</si>
  <si>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</si>
  <si>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</si>
  <si>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</si>
  <si>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</si>
  <si>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</si>
  <si>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</si>
  <si>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</si>
  <si>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</si>
  <si>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</si>
  <si>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</si>
  <si>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</si>
  <si>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</si>
  <si>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</si>
  <si>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</si>
  <si>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</si>
  <si>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</si>
  <si>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</si>
  <si>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</si>
  <si>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</si>
  <si>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</si>
  <si>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</si>
  <si>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</si>
  <si>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</si>
  <si>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</si>
  <si>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</si>
  <si>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</si>
  <si>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</si>
  <si>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</si>
  <si>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</si>
  <si>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</si>
  <si>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</si>
  <si>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</si>
  <si>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</si>
  <si>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</si>
  <si>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</si>
  <si>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</si>
  <si>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</si>
  <si>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</si>
  <si>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</si>
  <si>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</si>
  <si>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</si>
  <si>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</si>
  <si>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</si>
  <si>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</si>
  <si>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</si>
  <si>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</si>
  <si>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</si>
  <si>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</si>
  <si>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</si>
  <si>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</si>
  <si>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</si>
  <si>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</si>
  <si>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</si>
  <si>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</si>
  <si>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</si>
  <si>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</si>
  <si>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</si>
  <si>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</si>
  <si>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</si>
  <si>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</si>
  <si>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</si>
  <si>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</si>
  <si>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</si>
  <si>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</si>
  <si>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</si>
  <si>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</si>
  <si>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</si>
  <si>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</si>
  <si>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</si>
  <si>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</si>
  <si>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</si>
  <si>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</si>
  <si>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</si>
  <si>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</si>
  <si>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</si>
  <si>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</si>
  <si>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</si>
  <si>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</si>
  <si>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</si>
  <si>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</si>
  <si>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</si>
  <si>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</si>
  <si>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</si>
  <si>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</si>
  <si>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</si>
  <si>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</si>
  <si>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</si>
  <si>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</si>
  <si>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</si>
  <si>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</si>
  <si>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</si>
  <si>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</si>
  <si>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</si>
  <si>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</si>
  <si>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</si>
  <si>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</si>
  <si>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</si>
  <si>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</si>
  <si>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</si>
  <si>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</si>
  <si>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</si>
  <si>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</si>
  <si>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</si>
  <si>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</si>
  <si>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</si>
  <si>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</si>
  <si>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</si>
  <si>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</si>
  <si>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</si>
  <si>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</si>
  <si>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</si>
  <si>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</si>
  <si>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</si>
  <si>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</si>
  <si>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</si>
  <si>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</si>
  <si>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</si>
  <si>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</si>
  <si>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</si>
  <si>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</si>
  <si>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</si>
  <si>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</si>
  <si>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</si>
  <si>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</si>
  <si>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</si>
  <si>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</si>
  <si>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</si>
  <si>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</si>
  <si>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</si>
  <si>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</si>
  <si>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</si>
  <si>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</si>
  <si>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</si>
  <si>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</si>
  <si>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</si>
  <si>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</si>
  <si>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</si>
  <si>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</si>
  <si>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</si>
  <si>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</si>
  <si>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</si>
  <si>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</si>
  <si>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</si>
  <si>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</si>
  <si>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</si>
  <si>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</si>
  <si>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</si>
  <si>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</si>
  <si>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</si>
  <si>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</si>
  <si>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</si>
  <si>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</si>
  <si>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</si>
  <si>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</si>
  <si>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</si>
  <si>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</si>
  <si>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</si>
  <si>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</si>
  <si>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</si>
  <si>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</si>
  <si>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</si>
  <si>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</si>
  <si>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</si>
  <si>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</si>
  <si>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</si>
  <si>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</si>
  <si>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</si>
  <si>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</si>
  <si>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</si>
  <si>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</si>
  <si>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</si>
  <si>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</si>
  <si>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</si>
  <si>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</si>
  <si>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</si>
  <si>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</si>
  <si>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</si>
  <si>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</si>
  <si>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</si>
  <si>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</si>
  <si>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</si>
  <si>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</si>
  <si>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</si>
  <si>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</si>
  <si>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</si>
  <si>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</si>
  <si>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</si>
  <si>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</si>
  <si>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</si>
  <si>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</si>
  <si>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</si>
  <si>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</si>
  <si>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</si>
  <si>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</si>
  <si>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</si>
  <si>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</si>
  <si>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</si>
  <si>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</si>
  <si>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</si>
  <si>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</si>
  <si>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</si>
  <si>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</si>
  <si>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</si>
  <si>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</si>
  <si>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</si>
  <si>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Deletion process</t>
  </si>
  <si>
    <t>Sensitivity</t>
  </si>
  <si>
    <t>Specificity</t>
  </si>
  <si>
    <t>Don't Read</t>
  </si>
  <si>
    <t>Include</t>
  </si>
  <si>
    <t>Don't include</t>
  </si>
  <si>
    <t>Simulation and Optimization (ADMM)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</si>
</sst>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sz val="12"/>
      <color theme="1"/>
      <name val="Calibri"/>
      <family val="2"/>
    </font>
    <font>
      <u/>
      <sz val="12"/>
      <color theme="10"/>
      <name val="Calibri"/>
      <family val="2"/>
      <scheme val="minor"/>
    </font>
    <font>
      <sz val="10"/>
      <name val="Arial"/>
      <family val="2"/>
    </font>
    <font>
      <sz val="10"/>
      <name val="Arial"/>
      <family val="2"/>
    </font>
    <font>
      <sz val="10"/>
      <color theme="1"/>
      <name val="Arial"/>
      <family val="2"/>
    </font>
    <font>
      <sz val="12"/>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0" fontId="3" fillId="0" borderId="0" applyNumberFormat="0" applyFill="0" applyBorder="0" applyAlignment="0" applyProtection="0"/>
    <xf numFmtId="0" fontId="4" fillId="0" borderId="0"/>
    <xf numFmtId="9" fontId="7" fillId="0" borderId="0" applyFont="0" applyFill="0" applyBorder="0" applyAlignment="0" applyProtection="0"/>
    <xf numFmtId="9" fontId="4" fillId="0" borderId="0" applyFont="0" applyFill="0" applyBorder="0" applyAlignment="0" applyProtection="0"/>
  </cellStyleXfs>
  <cellXfs count="60">
    <xf numFmtId="0" fontId="0" fillId="0" borderId="0" xfId="0"/>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quotePrefix="1" applyFill="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0" fillId="3" borderId="0" xfId="0" quotePrefix="1" applyFill="1" applyAlignment="1">
      <alignment horizontal="left" vertical="top" wrapText="1"/>
    </xf>
    <xf numFmtId="0" fontId="0" fillId="0" borderId="0" xfId="0" applyAlignment="1">
      <alignment vertical="top"/>
    </xf>
    <xf numFmtId="0" fontId="0" fillId="0" borderId="0" xfId="0" applyAlignment="1">
      <alignment horizontal="left" vertical="top"/>
    </xf>
    <xf numFmtId="0" fontId="2" fillId="2" borderId="0" xfId="0" applyFont="1" applyFill="1"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1" fillId="2" borderId="0" xfId="0" applyFont="1" applyFill="1" applyAlignment="1">
      <alignment vertical="top" wrapText="1"/>
    </xf>
    <xf numFmtId="0" fontId="3" fillId="0" borderId="0" xfId="1" applyAlignment="1">
      <alignment vertical="top"/>
    </xf>
    <xf numFmtId="0" fontId="0" fillId="2" borderId="0" xfId="0" applyFill="1" applyAlignment="1">
      <alignment vertical="top"/>
    </xf>
    <xf numFmtId="0" fontId="3" fillId="2" borderId="0" xfId="1" applyFill="1" applyAlignment="1">
      <alignment vertical="top"/>
    </xf>
    <xf numFmtId="0" fontId="3" fillId="2" borderId="0" xfId="1" quotePrefix="1" applyFill="1" applyAlignment="1">
      <alignment vertical="top" wrapText="1"/>
    </xf>
    <xf numFmtId="0" fontId="0" fillId="2" borderId="0" xfId="0" applyFill="1" applyAlignment="1">
      <alignment horizontal="right" vertical="top" wrapText="1"/>
    </xf>
    <xf numFmtId="0" fontId="0" fillId="3" borderId="0" xfId="0" applyFill="1" applyAlignment="1">
      <alignment horizontal="right" vertical="top" wrapText="1"/>
    </xf>
    <xf numFmtId="0" fontId="1" fillId="0" borderId="0" xfId="0" applyFont="1" applyAlignment="1">
      <alignment horizontal="right" vertical="top" wrapText="1"/>
    </xf>
    <xf numFmtId="0" fontId="4" fillId="0" borderId="0" xfId="2"/>
    <xf numFmtId="0" fontId="4" fillId="2" borderId="0" xfId="2" applyFill="1"/>
    <xf numFmtId="0" fontId="4" fillId="4" borderId="0" xfId="2" applyFill="1"/>
    <xf numFmtId="0" fontId="5" fillId="4" borderId="0" xfId="2" applyFont="1" applyFill="1"/>
    <xf numFmtId="0" fontId="4" fillId="5" borderId="0" xfId="2" applyFill="1"/>
    <xf numFmtId="0" fontId="6" fillId="4" borderId="0" xfId="2" applyFont="1" applyFill="1"/>
    <xf numFmtId="0" fontId="4" fillId="6" borderId="0" xfId="2" applyFill="1"/>
    <xf numFmtId="0" fontId="4" fillId="7" borderId="0" xfId="2" applyFill="1"/>
    <xf numFmtId="0" fontId="4" fillId="3" borderId="0" xfId="2" applyFill="1"/>
    <xf numFmtId="0" fontId="5" fillId="2" borderId="0" xfId="2" applyFont="1" applyFill="1"/>
    <xf numFmtId="0" fontId="5" fillId="3" borderId="0" xfId="2" applyFont="1" applyFill="1"/>
    <xf numFmtId="0" fontId="5" fillId="0" borderId="0" xfId="2" applyFont="1"/>
    <xf numFmtId="0" fontId="5" fillId="0" borderId="0" xfId="2" applyFont="1" applyAlignment="1">
      <alignment horizontal="center"/>
    </xf>
    <xf numFmtId="10" fontId="5" fillId="0" borderId="0" xfId="3" applyNumberFormat="1" applyFont="1"/>
    <xf numFmtId="10" fontId="6" fillId="0" borderId="1" xfId="4" applyNumberFormat="1" applyFont="1" applyBorder="1" applyAlignment="1">
      <alignment horizontal="center"/>
    </xf>
    <xf numFmtId="0" fontId="5" fillId="0" borderId="1" xfId="2" applyFont="1" applyBorder="1" applyAlignment="1">
      <alignment horizontal="center"/>
    </xf>
    <xf numFmtId="14" fontId="5" fillId="0" borderId="1" xfId="2" applyNumberFormat="1" applyFont="1" applyBorder="1" applyAlignment="1">
      <alignment horizontal="center"/>
    </xf>
    <xf numFmtId="1" fontId="5" fillId="0" borderId="0" xfId="2" applyNumberFormat="1" applyFont="1" applyAlignment="1">
      <alignment horizontal="center"/>
    </xf>
    <xf numFmtId="10" fontId="5" fillId="0" borderId="0" xfId="3" applyNumberFormat="1" applyFont="1" applyAlignment="1">
      <alignment horizontal="center"/>
    </xf>
    <xf numFmtId="10" fontId="5" fillId="0" borderId="1" xfId="2" applyNumberFormat="1" applyFont="1" applyBorder="1" applyAlignment="1">
      <alignment horizontal="center"/>
    </xf>
    <xf numFmtId="1" fontId="5" fillId="0" borderId="1" xfId="2" applyNumberFormat="1" applyFont="1" applyBorder="1" applyAlignment="1">
      <alignment horizontal="center"/>
    </xf>
    <xf numFmtId="0" fontId="5" fillId="0" borderId="1" xfId="2" applyFont="1" applyBorder="1"/>
    <xf numFmtId="14" fontId="5" fillId="4" borderId="1" xfId="2" applyNumberFormat="1" applyFont="1" applyFill="1" applyBorder="1" applyAlignment="1">
      <alignment horizontal="center"/>
    </xf>
    <xf numFmtId="14" fontId="5" fillId="0" borderId="0" xfId="2" applyNumberFormat="1" applyFont="1"/>
    <xf numFmtId="0" fontId="5" fillId="0" borderId="2" xfId="2" applyFont="1" applyBorder="1" applyAlignment="1">
      <alignment horizontal="left"/>
    </xf>
    <xf numFmtId="0" fontId="5" fillId="0" borderId="1" xfId="2" applyFont="1" applyBorder="1" applyAlignment="1">
      <alignment horizontal="left"/>
    </xf>
    <xf numFmtId="0" fontId="5" fillId="0" borderId="1" xfId="2" applyFont="1" applyBorder="1" applyAlignment="1">
      <alignment horizontal="center"/>
    </xf>
    <xf numFmtId="0" fontId="5" fillId="0" borderId="0" xfId="2" applyFont="1" applyAlignment="1">
      <alignment horizontal="center"/>
    </xf>
  </cellXfs>
  <cellStyles count="5">
    <cellStyle name="Hyperlink" xfId="1" builtinId="8"/>
    <cellStyle name="Normal" xfId="0" builtinId="0"/>
    <cellStyle name="Normal 2" xfId="2" xr:uid="{9CCB6C33-E9E5-D14D-827E-9353A5DFF866}"/>
    <cellStyle name="Percent" xfId="3" builtinId="5"/>
    <cellStyle name="Percent 2" xfId="4" xr:uid="{3D8EC444-55B9-1546-B958-BAE6EAB95328}"/>
  </cellStyles>
  <dxfs count="2">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Luis Rojo González" id="{468E4C0B-6882-3A4E-BDE6-9F0450713004}" userId="S::luis.rojo.g@usach.cl::e73de8d6-e603-4639-a158-e25de61b2a7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09-15T18:03:44.84" personId="{468E4C0B-6882-3A4E-BDE6-9F0450713004}" id="{D00C8E99-13D7-8D40-94AF-9C604B4915A5}">
    <text>Full or Partial</text>
  </threadedComment>
  <threadedComment ref="O1" dT="2022-09-15T18:04:02.98" personId="{468E4C0B-6882-3A4E-BDE6-9F0450713004}" id="{4D4F2EED-7AE6-9344-B005-FA8B1673E731}">
    <text>Linear or Nonlinear</text>
  </threadedComment>
  <threadedComment ref="P1" dT="2022-09-15T18:04:25.53" personId="{468E4C0B-6882-3A4E-BDE6-9F0450713004}" id="{003F46C1-4A44-5547-A6C0-F3F1B9E623F5}">
    <text>Homogeneous or Heterogeneous</text>
  </threadedComment>
  <threadedComment ref="Q1" dT="2022-07-23T20:14:54.96" personId="{468E4C0B-6882-3A4E-BDE6-9F0450713004}" id="{FFA27125-E6BA-F741-9578-8559B02A2090}">
    <text>Number of EVs</text>
  </threadedComment>
  <threadedComment ref="Q1" dT="2022-09-15T18:04:53.00" personId="{468E4C0B-6882-3A4E-BDE6-9F0450713004}" id="{493C9344-E96B-874A-BA17-6A759C9A62EB}" parentId="{FFA27125-E6BA-F741-9578-8559B02A2090}">
    <text>Fleet size, how many vehicles are considered</text>
  </threadedComment>
  <threadedComment ref="R1" dT="2022-09-15T18:05:47.23" personId="{468E4C0B-6882-3A4E-BDE6-9F0450713004}" id="{CA7CE49A-1AB3-664D-A6B3-FB54AEF9D587}">
    <text>Private, logistic or transportation</text>
  </threadedComment>
  <threadedComment ref="S1" dT="2022-09-15T18:48:27.71" personId="{468E4C0B-6882-3A4E-BDE6-9F0450713004}" id="{7A287BE2-FBEA-8248-806A-7690A40A9F79}">
    <text>Homogeneous or Heterogeneous (this is the charging pile)</text>
  </threadedComment>
  <threadedComment ref="U1" dT="2022-09-15T19:03:09.09" personId="{468E4C0B-6882-3A4E-BDE6-9F0450713004}" id="{C4F300C0-D2F1-104C-B0FB-EB6C7F36AAD0}">
    <text>Renewable energy sources</text>
  </threadedComment>
  <threadedComment ref="V1" dT="2022-09-15T19:16:35.97" personId="{468E4C0B-6882-3A4E-BDE6-9F0450713004}" id="{AB7EE3C8-4FBB-5141-9061-CB1D3458D151}">
    <text>Centralized, Decentralized or Aggregator-assisted</text>
  </threadedComment>
  <threadedComment ref="Y1" dT="2022-06-07T14:43:48.56" personId="{468E4C0B-6882-3A4E-BDE6-9F0450713004}" id="{01B2B6F4-8589-9644-8C1D-2E08604F45FC}">
    <text>It refers to how energy is bought. Can be either one-day-ahead, intra-day</text>
  </threadedComment>
  <threadedComment ref="Z1" dT="2022-07-19T16:02:26.74" personId="{468E4C0B-6882-3A4E-BDE6-9F0450713004}" id="{4B238FD6-6099-5B47-B781-7AA070328EE7}">
    <text>TCC or PCC
Preemptive: once start charging it can be stopped to receive power.
Non-preemptive: once start charging it cannot stop receive energy till satisfying either desired SoC or departure time.</text>
  </threadedComment>
  <threadedComment ref="AA1" dT="2022-09-15T19:23:11.52" personId="{468E4C0B-6882-3A4E-BDE6-9F0450713004}" id="{0B091B3E-C2A9-3742-9396-EF302C561CCD}">
    <text>Optimization or Simulation</text>
  </threadedComment>
  <threadedComment ref="AC1" dT="2022-09-15T19:23:30.61" personId="{468E4C0B-6882-3A4E-BDE6-9F0450713004}" id="{F497BDB5-8EED-9A43-8B56-20C146A7D27F}">
    <text>EVSE or Power</text>
  </threadedComment>
  <threadedComment ref="AL1" dT="2022-07-14T03:44:26.27" personId="{468E4C0B-6882-3A4E-BDE6-9F0450713004}" id="{BEC76AD4-42F4-F842-84A0-5BDCB8218A21}">
    <text>- Public: Station or Parking
- Residential: Parking or Home
- Workplace: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2-09-15T18:03:44.84" personId="{468E4C0B-6882-3A4E-BDE6-9F0450713004}" id="{D0F27FC5-13A2-314D-9510-5595AF980023}">
    <text>Full or Partial</text>
  </threadedComment>
  <threadedComment ref="N1" dT="2022-09-15T18:04:02.98" personId="{468E4C0B-6882-3A4E-BDE6-9F0450713004}" id="{E6D3F157-B7FC-6E4C-8910-0124914CF872}">
    <text>Linear or Nonlinear</text>
  </threadedComment>
  <threadedComment ref="O1" dT="2022-09-15T18:04:25.53" personId="{468E4C0B-6882-3A4E-BDE6-9F0450713004}" id="{67C89A5D-FDD6-0240-8688-27481CACBEF8}">
    <text>Homogeneous or Heterogeneous</text>
  </threadedComment>
  <threadedComment ref="P1" dT="2022-07-23T20:14:54.96" personId="{468E4C0B-6882-3A4E-BDE6-9F0450713004}" id="{DEB3888D-D5E5-1A4C-A1C9-7CA12B69AB8A}">
    <text>Number of EVs</text>
  </threadedComment>
  <threadedComment ref="P1" dT="2022-09-15T18:04:53.00" personId="{468E4C0B-6882-3A4E-BDE6-9F0450713004}" id="{D77C6103-B077-5046-83A2-04DB63A144F4}" parentId="{DEB3888D-D5E5-1A4C-A1C9-7CA12B69AB8A}">
    <text>Fleet size, how many vehicles are considered</text>
  </threadedComment>
  <threadedComment ref="Q1" dT="2022-09-15T18:05:47.23" personId="{468E4C0B-6882-3A4E-BDE6-9F0450713004}" id="{20CCBE16-F98D-134C-ACA3-85461D2F8F49}">
    <text>Private, logistic or transportation</text>
  </threadedComment>
  <threadedComment ref="R1" dT="2022-09-15T18:48:27.71" personId="{468E4C0B-6882-3A4E-BDE6-9F0450713004}" id="{263B1709-7878-DA4D-89C3-92CDE2019F8C}">
    <text>Homogeneous or Heterogeneous (this is the charging pile)</text>
  </threadedComment>
  <threadedComment ref="T1" dT="2022-09-15T19:03:09.09" personId="{468E4C0B-6882-3A4E-BDE6-9F0450713004}" id="{6EE6F3C0-01B9-AB44-8925-B94BEA96D07E}">
    <text>Renewable energy sources</text>
  </threadedComment>
  <threadedComment ref="U1" dT="2022-09-15T19:16:35.97" personId="{468E4C0B-6882-3A4E-BDE6-9F0450713004}" id="{D292BBF5-251A-9441-A599-942595DE8A3A}">
    <text>Centralized, Decentralized or Aggregator-assisted</text>
  </threadedComment>
  <threadedComment ref="X1" dT="2022-06-07T14:43:48.56" personId="{468E4C0B-6882-3A4E-BDE6-9F0450713004}" id="{9E789717-B342-B64C-8BD8-A6A2AD1E0E3A}">
    <text>It refers to how energy is bought. Can be either one-day-ahead, intra-day</text>
  </threadedComment>
  <threadedComment ref="Y1" dT="2022-07-19T16:02:26.74" personId="{468E4C0B-6882-3A4E-BDE6-9F0450713004}" id="{057DB60B-F74A-7843-B4D5-234A08A3F165}">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DE1DC3B3-38C1-0A4D-ACF8-CDC154952791}">
    <text>Optimization or Simulation</text>
  </threadedComment>
  <threadedComment ref="AB1" dT="2022-09-15T19:23:30.61" personId="{468E4C0B-6882-3A4E-BDE6-9F0450713004}" id="{716B8647-A8D4-694C-A45F-9F6DE26955D6}">
    <text>EVSE or Power</text>
  </threadedComment>
  <threadedComment ref="AK1" dT="2022-07-14T03:44:26.27" personId="{468E4C0B-6882-3A4E-BDE6-9F0450713004}" id="{FFCDA6E4-3132-3D43-900E-FA924DF6ADC1}">
    <text>- Public: Station or Parking
- Residential: Parking or Home
- Workplace: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2-09-15T18:03:44.84" personId="{468E4C0B-6882-3A4E-BDE6-9F0450713004}" id="{925FD534-73E4-BD46-8226-1057178D3BDB}">
    <text>Full or Partial</text>
  </threadedComment>
  <threadedComment ref="N1" dT="2022-09-15T18:04:02.98" personId="{468E4C0B-6882-3A4E-BDE6-9F0450713004}" id="{56A75373-AE4F-444A-90DC-04D89FDCE7EF}">
    <text>Linear or Nonlinear</text>
  </threadedComment>
  <threadedComment ref="O1" dT="2022-09-15T18:04:25.53" personId="{468E4C0B-6882-3A4E-BDE6-9F0450713004}" id="{1FA542BC-662F-6B49-8C0A-5A09FBCCB9D1}">
    <text>Homogeneous or Heterogeneous</text>
  </threadedComment>
  <threadedComment ref="P1" dT="2022-07-23T20:14:54.96" personId="{468E4C0B-6882-3A4E-BDE6-9F0450713004}" id="{BBB2A30E-D3F8-8348-9B9C-52ABAF8B2B2D}">
    <text>Number of EVs</text>
  </threadedComment>
  <threadedComment ref="P1" dT="2022-09-15T18:04:53.00" personId="{468E4C0B-6882-3A4E-BDE6-9F0450713004}" id="{76E5898E-E119-5840-B993-FC19A1F84636}" parentId="{BBB2A30E-D3F8-8348-9B9C-52ABAF8B2B2D}">
    <text>Fleet size, how many vehicles are considered</text>
  </threadedComment>
  <threadedComment ref="Q1" dT="2022-09-15T18:05:47.23" personId="{468E4C0B-6882-3A4E-BDE6-9F0450713004}" id="{1BC14BE4-681E-274B-9731-2CBB53133C16}">
    <text>Private, logistic or transportation</text>
  </threadedComment>
  <threadedComment ref="R1" dT="2022-09-15T18:48:27.71" personId="{468E4C0B-6882-3A4E-BDE6-9F0450713004}" id="{CB508461-5599-FD47-94BC-3ABBC263355E}">
    <text>Homogeneous or Heterogeneous (this is the charging pile)</text>
  </threadedComment>
  <threadedComment ref="T1" dT="2022-09-15T19:03:09.09" personId="{468E4C0B-6882-3A4E-BDE6-9F0450713004}" id="{30DBC78B-314C-5548-9B37-0E9573C58E93}">
    <text>Renewable energy sources</text>
  </threadedComment>
  <threadedComment ref="U1" dT="2022-09-15T19:16:35.97" personId="{468E4C0B-6882-3A4E-BDE6-9F0450713004}" id="{0710EAEA-76B8-F04B-A086-BBCA5C9C44F2}">
    <text>Centralized, Decentralized or Aggregator-assisted</text>
  </threadedComment>
  <threadedComment ref="X1" dT="2022-06-07T14:43:48.56" personId="{468E4C0B-6882-3A4E-BDE6-9F0450713004}" id="{585475E7-7183-7C43-87F9-ACB13F05543C}">
    <text>It refers to how energy is bought. Can be either one-day-ahead, intra-day</text>
  </threadedComment>
  <threadedComment ref="Y1" dT="2022-07-19T16:02:26.74" personId="{468E4C0B-6882-3A4E-BDE6-9F0450713004}" id="{88F49A90-61E8-1E41-934E-47C8710F6C32}">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4F634279-615E-C141-9BDE-B5713921CC30}">
    <text>Optimization or Simulation</text>
  </threadedComment>
  <threadedComment ref="AB1" dT="2022-09-15T19:23:30.61" personId="{468E4C0B-6882-3A4E-BDE6-9F0450713004}" id="{34F93D11-1F2A-5548-AE47-F2526C862815}">
    <text>EVSE or Power</text>
  </threadedComment>
  <threadedComment ref="AK1" dT="2022-07-14T03:44:26.27" personId="{468E4C0B-6882-3A4E-BDE6-9F0450713004}" id="{75B5C022-EBF7-5242-BA52-AC34F16B8CA8}">
    <text>- Public: Station or Parking
- Residential: Parking or Home
- Workplace: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J1" dT="2022-09-15T18:03:44.84" personId="{468E4C0B-6882-3A4E-BDE6-9F0450713004}" id="{716D769A-D0D5-A241-B0C0-4E45C2A05A76}">
    <text>Full or Partial</text>
  </threadedComment>
  <threadedComment ref="N1" dT="2022-09-15T18:04:02.98" personId="{468E4C0B-6882-3A4E-BDE6-9F0450713004}" id="{A92378EF-984E-2E4E-A803-D97B266AB795}">
    <text>Linear or Nonlinear</text>
  </threadedComment>
  <threadedComment ref="O1" dT="2022-09-15T18:04:25.53" personId="{468E4C0B-6882-3A4E-BDE6-9F0450713004}" id="{FA04F048-7F81-284F-AA4C-4384E390B63D}">
    <text>Homogeneous or Heterogeneous</text>
  </threadedComment>
  <threadedComment ref="P1" dT="2022-07-23T20:14:54.96" personId="{468E4C0B-6882-3A4E-BDE6-9F0450713004}" id="{B7CED3D5-494A-2845-9AB6-5B76A8AE8198}">
    <text>Number of EVs</text>
  </threadedComment>
  <threadedComment ref="P1" dT="2022-09-15T18:04:53.00" personId="{468E4C0B-6882-3A4E-BDE6-9F0450713004}" id="{5B4A0DB8-B52D-1646-B61F-F3ACB9292D3E}" parentId="{B7CED3D5-494A-2845-9AB6-5B76A8AE8198}">
    <text>Fleet size, how many vehicles are considered</text>
  </threadedComment>
  <threadedComment ref="Q1" dT="2022-09-15T18:05:47.23" personId="{468E4C0B-6882-3A4E-BDE6-9F0450713004}" id="{0EB0FC3A-FC91-224C-96BD-89AB28FDFEEC}">
    <text>Private, logistic or transportation</text>
  </threadedComment>
  <threadedComment ref="R1" dT="2022-09-15T18:48:27.71" personId="{468E4C0B-6882-3A4E-BDE6-9F0450713004}" id="{1DC75901-BFDF-0A41-B5B6-B17FB8C93392}">
    <text>Homogeneous or Heterogeneous (this is the charging pile)</text>
  </threadedComment>
  <threadedComment ref="T1" dT="2022-09-15T19:03:09.09" personId="{468E4C0B-6882-3A4E-BDE6-9F0450713004}" id="{1715A329-AFA4-8B43-8385-FF137ED0891D}">
    <text>Renewable energy sources</text>
  </threadedComment>
  <threadedComment ref="U1" dT="2022-09-15T19:16:35.97" personId="{468E4C0B-6882-3A4E-BDE6-9F0450713004}" id="{DCE9F4C5-9837-C249-9D96-3359E5987130}">
    <text>Centralized, Decentralized or Aggregator-assisted</text>
  </threadedComment>
  <threadedComment ref="X1" dT="2022-06-07T14:43:48.56" personId="{468E4C0B-6882-3A4E-BDE6-9F0450713004}" id="{7678B19F-65F8-1847-B7C9-4AC8357CA775}">
    <text>It refers to how energy is bought. Can be either one-day-ahead, intra-day</text>
  </threadedComment>
  <threadedComment ref="Y1" dT="2022-07-19T16:02:26.74" personId="{468E4C0B-6882-3A4E-BDE6-9F0450713004}" id="{B75F8B28-501A-4746-A427-6846F45B64E0}">
    <text>TCC or PCC
Preemptive: once start charging it can be stopped to receive power.
Non-preemptive: once start charging it cannot stop receive energy till satisfying either desired SoC or departure time.</text>
  </threadedComment>
  <threadedComment ref="Z1" dT="2022-09-15T19:23:11.52" personId="{468E4C0B-6882-3A4E-BDE6-9F0450713004}" id="{05A695A9-7C53-1E4D-AD74-BAA61EFA3DF9}">
    <text>Optimization or Simulation</text>
  </threadedComment>
  <threadedComment ref="AB1" dT="2022-09-15T19:23:30.61" personId="{468E4C0B-6882-3A4E-BDE6-9F0450713004}" id="{7A29552C-E0A0-0940-8B7E-F35918F531FB}">
    <text>EVSE or Power</text>
  </threadedComment>
  <threadedComment ref="AK1" dT="2022-07-14T03:44:26.27" personId="{468E4C0B-6882-3A4E-BDE6-9F0450713004}" id="{C42D0D86-107B-874E-8051-86FA347000F5}">
    <text>- Public: Station or Parking
- Residential: Parking or Home
- Workplace: Parking</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rtemis-ioe.eu/" TargetMode="External"/><Relationship Id="rId2" Type="http://schemas.openxmlformats.org/officeDocument/2006/relationships/hyperlink" Target="http://bit.ly/2l8499W" TargetMode="External"/><Relationship Id="rId1" Type="http://schemas.openxmlformats.org/officeDocument/2006/relationships/hyperlink" Target="https://electrek.co/2018/04/24/abb-electric-vehicle-charging-tech/" TargetMode="External"/><Relationship Id="rId6" Type="http://schemas.openxmlformats.org/officeDocument/2006/relationships/hyperlink" Target="https://www.worldenergy.org/publications/entry/world-energy-trilemma-index-2019" TargetMode="External"/><Relationship Id="rId5" Type="http://schemas.openxmlformats.org/officeDocument/2006/relationships/hyperlink" Target="https://www.burges-salmon.com/-/media/files/publications/open-access/harnessing-the-electric-vehicle-revolution-regen-market-insight-series.pdf" TargetMode="External"/><Relationship Id="rId4" Type="http://schemas.openxmlformats.org/officeDocument/2006/relationships/hyperlink" Target="https://www.greenbiz.com/article/why-building-owners-should-take-charge-ev-adop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7EFF-AE09-2146-A020-2EF2685D6D5C}">
  <dimension ref="A1:BY627"/>
  <sheetViews>
    <sheetView tabSelected="1" topLeftCell="D1" zoomScale="150" workbookViewId="0">
      <pane ySplit="1" topLeftCell="A436" activePane="bottomLeft" state="frozen"/>
      <selection pane="bottomLeft" activeCell="M442" sqref="M442"/>
    </sheetView>
  </sheetViews>
  <sheetFormatPr baseColWidth="10" defaultColWidth="8.83203125" defaultRowHeight="13" x14ac:dyDescent="0.15"/>
  <cols>
    <col min="1" max="1" width="8.83203125" style="32"/>
    <col min="2" max="2" width="18" style="32" customWidth="1"/>
    <col min="3" max="3" width="16.6640625" style="32" bestFit="1" customWidth="1"/>
    <col min="4" max="4" width="16.5" style="32" bestFit="1" customWidth="1"/>
    <col min="5" max="5" width="8.83203125" style="32"/>
    <col min="6" max="8" width="0" style="32" hidden="1" customWidth="1"/>
    <col min="9" max="9" width="8.83203125" style="32"/>
    <col min="10" max="11" width="0" style="32" hidden="1" customWidth="1"/>
    <col min="12" max="13" width="8.83203125" style="32"/>
    <col min="14" max="16" width="0" style="32" hidden="1" customWidth="1"/>
    <col min="17" max="17" width="8.83203125" style="32"/>
    <col min="18" max="22" width="0" style="32" hidden="1" customWidth="1"/>
    <col min="23" max="25" width="8.83203125" style="32"/>
    <col min="26" max="48" width="0" style="32" hidden="1" customWidth="1"/>
    <col min="49" max="50" width="8.83203125" style="32"/>
    <col min="51" max="59" width="0" style="32" hidden="1" customWidth="1"/>
    <col min="60" max="61" width="8.83203125" style="32"/>
    <col min="62" max="74" width="8.83203125" style="32" hidden="1" customWidth="1"/>
    <col min="75" max="75" width="29" style="32" hidden="1" customWidth="1"/>
    <col min="76" max="76" width="29" style="32" customWidth="1"/>
    <col min="77" max="77" width="8.83203125" style="32" customWidth="1"/>
    <col min="78" max="258" width="8.83203125" style="32"/>
    <col min="259" max="259" width="139.83203125" style="32" bestFit="1" customWidth="1"/>
    <col min="260" max="260" width="14.1640625" style="32" bestFit="1" customWidth="1"/>
    <col min="261" max="262" width="8.83203125" style="32"/>
    <col min="263" max="265" width="0" style="32" hidden="1" customWidth="1"/>
    <col min="266" max="266" width="8.83203125" style="32"/>
    <col min="267" max="268" width="0" style="32" hidden="1" customWidth="1"/>
    <col min="269" max="270" width="8.83203125" style="32"/>
    <col min="271" max="273" width="0" style="32" hidden="1" customWidth="1"/>
    <col min="274" max="274" width="8.83203125" style="32"/>
    <col min="275" max="279" width="0" style="32" hidden="1" customWidth="1"/>
    <col min="280" max="282" width="8.83203125" style="32"/>
    <col min="283" max="305" width="0" style="32" hidden="1" customWidth="1"/>
    <col min="306" max="307" width="8.83203125" style="32"/>
    <col min="308" max="316" width="0" style="32" hidden="1" customWidth="1"/>
    <col min="317" max="318" width="8.83203125" style="32"/>
    <col min="319" max="332" width="0" style="32" hidden="1" customWidth="1"/>
    <col min="333" max="514" width="8.83203125" style="32"/>
    <col min="515" max="515" width="139.83203125" style="32" bestFit="1" customWidth="1"/>
    <col min="516" max="516" width="14.1640625" style="32" bestFit="1" customWidth="1"/>
    <col min="517" max="518" width="8.83203125" style="32"/>
    <col min="519" max="521" width="0" style="32" hidden="1" customWidth="1"/>
    <col min="522" max="522" width="8.83203125" style="32"/>
    <col min="523" max="524" width="0" style="32" hidden="1" customWidth="1"/>
    <col min="525" max="526" width="8.83203125" style="32"/>
    <col min="527" max="529" width="0" style="32" hidden="1" customWidth="1"/>
    <col min="530" max="530" width="8.83203125" style="32"/>
    <col min="531" max="535" width="0" style="32" hidden="1" customWidth="1"/>
    <col min="536" max="538" width="8.83203125" style="32"/>
    <col min="539" max="561" width="0" style="32" hidden="1" customWidth="1"/>
    <col min="562" max="563" width="8.83203125" style="32"/>
    <col min="564" max="572" width="0" style="32" hidden="1" customWidth="1"/>
    <col min="573" max="574" width="8.83203125" style="32"/>
    <col min="575" max="588" width="0" style="32" hidden="1" customWidth="1"/>
    <col min="589" max="770" width="8.83203125" style="32"/>
    <col min="771" max="771" width="139.83203125" style="32" bestFit="1" customWidth="1"/>
    <col min="772" max="772" width="14.1640625" style="32" bestFit="1" customWidth="1"/>
    <col min="773" max="774" width="8.83203125" style="32"/>
    <col min="775" max="777" width="0" style="32" hidden="1" customWidth="1"/>
    <col min="778" max="778" width="8.83203125" style="32"/>
    <col min="779" max="780" width="0" style="32" hidden="1" customWidth="1"/>
    <col min="781" max="782" width="8.83203125" style="32"/>
    <col min="783" max="785" width="0" style="32" hidden="1" customWidth="1"/>
    <col min="786" max="786" width="8.83203125" style="32"/>
    <col min="787" max="791" width="0" style="32" hidden="1" customWidth="1"/>
    <col min="792" max="794" width="8.83203125" style="32"/>
    <col min="795" max="817" width="0" style="32" hidden="1" customWidth="1"/>
    <col min="818" max="819" width="8.83203125" style="32"/>
    <col min="820" max="828" width="0" style="32" hidden="1" customWidth="1"/>
    <col min="829" max="830" width="8.83203125" style="32"/>
    <col min="831" max="844" width="0" style="32" hidden="1" customWidth="1"/>
    <col min="845" max="1026" width="8.83203125" style="32"/>
    <col min="1027" max="1027" width="139.83203125" style="32" bestFit="1" customWidth="1"/>
    <col min="1028" max="1028" width="14.1640625" style="32" bestFit="1" customWidth="1"/>
    <col min="1029" max="1030" width="8.83203125" style="32"/>
    <col min="1031" max="1033" width="0" style="32" hidden="1" customWidth="1"/>
    <col min="1034" max="1034" width="8.83203125" style="32"/>
    <col min="1035" max="1036" width="0" style="32" hidden="1" customWidth="1"/>
    <col min="1037" max="1038" width="8.83203125" style="32"/>
    <col min="1039" max="1041" width="0" style="32" hidden="1" customWidth="1"/>
    <col min="1042" max="1042" width="8.83203125" style="32"/>
    <col min="1043" max="1047" width="0" style="32" hidden="1" customWidth="1"/>
    <col min="1048" max="1050" width="8.83203125" style="32"/>
    <col min="1051" max="1073" width="0" style="32" hidden="1" customWidth="1"/>
    <col min="1074" max="1075" width="8.83203125" style="32"/>
    <col min="1076" max="1084" width="0" style="32" hidden="1" customWidth="1"/>
    <col min="1085" max="1086" width="8.83203125" style="32"/>
    <col min="1087" max="1100" width="0" style="32" hidden="1" customWidth="1"/>
    <col min="1101" max="1282" width="8.83203125" style="32"/>
    <col min="1283" max="1283" width="139.83203125" style="32" bestFit="1" customWidth="1"/>
    <col min="1284" max="1284" width="14.1640625" style="32" bestFit="1" customWidth="1"/>
    <col min="1285" max="1286" width="8.83203125" style="32"/>
    <col min="1287" max="1289" width="0" style="32" hidden="1" customWidth="1"/>
    <col min="1290" max="1290" width="8.83203125" style="32"/>
    <col min="1291" max="1292" width="0" style="32" hidden="1" customWidth="1"/>
    <col min="1293" max="1294" width="8.83203125" style="32"/>
    <col min="1295" max="1297" width="0" style="32" hidden="1" customWidth="1"/>
    <col min="1298" max="1298" width="8.83203125" style="32"/>
    <col min="1299" max="1303" width="0" style="32" hidden="1" customWidth="1"/>
    <col min="1304" max="1306" width="8.83203125" style="32"/>
    <col min="1307" max="1329" width="0" style="32" hidden="1" customWidth="1"/>
    <col min="1330" max="1331" width="8.83203125" style="32"/>
    <col min="1332" max="1340" width="0" style="32" hidden="1" customWidth="1"/>
    <col min="1341" max="1342" width="8.83203125" style="32"/>
    <col min="1343" max="1356" width="0" style="32" hidden="1" customWidth="1"/>
    <col min="1357" max="1538" width="8.83203125" style="32"/>
    <col min="1539" max="1539" width="139.83203125" style="32" bestFit="1" customWidth="1"/>
    <col min="1540" max="1540" width="14.1640625" style="32" bestFit="1" customWidth="1"/>
    <col min="1541" max="1542" width="8.83203125" style="32"/>
    <col min="1543" max="1545" width="0" style="32" hidden="1" customWidth="1"/>
    <col min="1546" max="1546" width="8.83203125" style="32"/>
    <col min="1547" max="1548" width="0" style="32" hidden="1" customWidth="1"/>
    <col min="1549" max="1550" width="8.83203125" style="32"/>
    <col min="1551" max="1553" width="0" style="32" hidden="1" customWidth="1"/>
    <col min="1554" max="1554" width="8.83203125" style="32"/>
    <col min="1555" max="1559" width="0" style="32" hidden="1" customWidth="1"/>
    <col min="1560" max="1562" width="8.83203125" style="32"/>
    <col min="1563" max="1585" width="0" style="32" hidden="1" customWidth="1"/>
    <col min="1586" max="1587" width="8.83203125" style="32"/>
    <col min="1588" max="1596" width="0" style="32" hidden="1" customWidth="1"/>
    <col min="1597" max="1598" width="8.83203125" style="32"/>
    <col min="1599" max="1612" width="0" style="32" hidden="1" customWidth="1"/>
    <col min="1613" max="1794" width="8.83203125" style="32"/>
    <col min="1795" max="1795" width="139.83203125" style="32" bestFit="1" customWidth="1"/>
    <col min="1796" max="1796" width="14.1640625" style="32" bestFit="1" customWidth="1"/>
    <col min="1797" max="1798" width="8.83203125" style="32"/>
    <col min="1799" max="1801" width="0" style="32" hidden="1" customWidth="1"/>
    <col min="1802" max="1802" width="8.83203125" style="32"/>
    <col min="1803" max="1804" width="0" style="32" hidden="1" customWidth="1"/>
    <col min="1805" max="1806" width="8.83203125" style="32"/>
    <col min="1807" max="1809" width="0" style="32" hidden="1" customWidth="1"/>
    <col min="1810" max="1810" width="8.83203125" style="32"/>
    <col min="1811" max="1815" width="0" style="32" hidden="1" customWidth="1"/>
    <col min="1816" max="1818" width="8.83203125" style="32"/>
    <col min="1819" max="1841" width="0" style="32" hidden="1" customWidth="1"/>
    <col min="1842" max="1843" width="8.83203125" style="32"/>
    <col min="1844" max="1852" width="0" style="32" hidden="1" customWidth="1"/>
    <col min="1853" max="1854" width="8.83203125" style="32"/>
    <col min="1855" max="1868" width="0" style="32" hidden="1" customWidth="1"/>
    <col min="1869" max="2050" width="8.83203125" style="32"/>
    <col min="2051" max="2051" width="139.83203125" style="32" bestFit="1" customWidth="1"/>
    <col min="2052" max="2052" width="14.1640625" style="32" bestFit="1" customWidth="1"/>
    <col min="2053" max="2054" width="8.83203125" style="32"/>
    <col min="2055" max="2057" width="0" style="32" hidden="1" customWidth="1"/>
    <col min="2058" max="2058" width="8.83203125" style="32"/>
    <col min="2059" max="2060" width="0" style="32" hidden="1" customWidth="1"/>
    <col min="2061" max="2062" width="8.83203125" style="32"/>
    <col min="2063" max="2065" width="0" style="32" hidden="1" customWidth="1"/>
    <col min="2066" max="2066" width="8.83203125" style="32"/>
    <col min="2067" max="2071" width="0" style="32" hidden="1" customWidth="1"/>
    <col min="2072" max="2074" width="8.83203125" style="32"/>
    <col min="2075" max="2097" width="0" style="32" hidden="1" customWidth="1"/>
    <col min="2098" max="2099" width="8.83203125" style="32"/>
    <col min="2100" max="2108" width="0" style="32" hidden="1" customWidth="1"/>
    <col min="2109" max="2110" width="8.83203125" style="32"/>
    <col min="2111" max="2124" width="0" style="32" hidden="1" customWidth="1"/>
    <col min="2125" max="2306" width="8.83203125" style="32"/>
    <col min="2307" max="2307" width="139.83203125" style="32" bestFit="1" customWidth="1"/>
    <col min="2308" max="2308" width="14.1640625" style="32" bestFit="1" customWidth="1"/>
    <col min="2309" max="2310" width="8.83203125" style="32"/>
    <col min="2311" max="2313" width="0" style="32" hidden="1" customWidth="1"/>
    <col min="2314" max="2314" width="8.83203125" style="32"/>
    <col min="2315" max="2316" width="0" style="32" hidden="1" customWidth="1"/>
    <col min="2317" max="2318" width="8.83203125" style="32"/>
    <col min="2319" max="2321" width="0" style="32" hidden="1" customWidth="1"/>
    <col min="2322" max="2322" width="8.83203125" style="32"/>
    <col min="2323" max="2327" width="0" style="32" hidden="1" customWidth="1"/>
    <col min="2328" max="2330" width="8.83203125" style="32"/>
    <col min="2331" max="2353" width="0" style="32" hidden="1" customWidth="1"/>
    <col min="2354" max="2355" width="8.83203125" style="32"/>
    <col min="2356" max="2364" width="0" style="32" hidden="1" customWidth="1"/>
    <col min="2365" max="2366" width="8.83203125" style="32"/>
    <col min="2367" max="2380" width="0" style="32" hidden="1" customWidth="1"/>
    <col min="2381" max="2562" width="8.83203125" style="32"/>
    <col min="2563" max="2563" width="139.83203125" style="32" bestFit="1" customWidth="1"/>
    <col min="2564" max="2564" width="14.1640625" style="32" bestFit="1" customWidth="1"/>
    <col min="2565" max="2566" width="8.83203125" style="32"/>
    <col min="2567" max="2569" width="0" style="32" hidden="1" customWidth="1"/>
    <col min="2570" max="2570" width="8.83203125" style="32"/>
    <col min="2571" max="2572" width="0" style="32" hidden="1" customWidth="1"/>
    <col min="2573" max="2574" width="8.83203125" style="32"/>
    <col min="2575" max="2577" width="0" style="32" hidden="1" customWidth="1"/>
    <col min="2578" max="2578" width="8.83203125" style="32"/>
    <col min="2579" max="2583" width="0" style="32" hidden="1" customWidth="1"/>
    <col min="2584" max="2586" width="8.83203125" style="32"/>
    <col min="2587" max="2609" width="0" style="32" hidden="1" customWidth="1"/>
    <col min="2610" max="2611" width="8.83203125" style="32"/>
    <col min="2612" max="2620" width="0" style="32" hidden="1" customWidth="1"/>
    <col min="2621" max="2622" width="8.83203125" style="32"/>
    <col min="2623" max="2636" width="0" style="32" hidden="1" customWidth="1"/>
    <col min="2637" max="2818" width="8.83203125" style="32"/>
    <col min="2819" max="2819" width="139.83203125" style="32" bestFit="1" customWidth="1"/>
    <col min="2820" max="2820" width="14.1640625" style="32" bestFit="1" customWidth="1"/>
    <col min="2821" max="2822" width="8.83203125" style="32"/>
    <col min="2823" max="2825" width="0" style="32" hidden="1" customWidth="1"/>
    <col min="2826" max="2826" width="8.83203125" style="32"/>
    <col min="2827" max="2828" width="0" style="32" hidden="1" customWidth="1"/>
    <col min="2829" max="2830" width="8.83203125" style="32"/>
    <col min="2831" max="2833" width="0" style="32" hidden="1" customWidth="1"/>
    <col min="2834" max="2834" width="8.83203125" style="32"/>
    <col min="2835" max="2839" width="0" style="32" hidden="1" customWidth="1"/>
    <col min="2840" max="2842" width="8.83203125" style="32"/>
    <col min="2843" max="2865" width="0" style="32" hidden="1" customWidth="1"/>
    <col min="2866" max="2867" width="8.83203125" style="32"/>
    <col min="2868" max="2876" width="0" style="32" hidden="1" customWidth="1"/>
    <col min="2877" max="2878" width="8.83203125" style="32"/>
    <col min="2879" max="2892" width="0" style="32" hidden="1" customWidth="1"/>
    <col min="2893" max="3074" width="8.83203125" style="32"/>
    <col min="3075" max="3075" width="139.83203125" style="32" bestFit="1" customWidth="1"/>
    <col min="3076" max="3076" width="14.1640625" style="32" bestFit="1" customWidth="1"/>
    <col min="3077" max="3078" width="8.83203125" style="32"/>
    <col min="3079" max="3081" width="0" style="32" hidden="1" customWidth="1"/>
    <col min="3082" max="3082" width="8.83203125" style="32"/>
    <col min="3083" max="3084" width="0" style="32" hidden="1" customWidth="1"/>
    <col min="3085" max="3086" width="8.83203125" style="32"/>
    <col min="3087" max="3089" width="0" style="32" hidden="1" customWidth="1"/>
    <col min="3090" max="3090" width="8.83203125" style="32"/>
    <col min="3091" max="3095" width="0" style="32" hidden="1" customWidth="1"/>
    <col min="3096" max="3098" width="8.83203125" style="32"/>
    <col min="3099" max="3121" width="0" style="32" hidden="1" customWidth="1"/>
    <col min="3122" max="3123" width="8.83203125" style="32"/>
    <col min="3124" max="3132" width="0" style="32" hidden="1" customWidth="1"/>
    <col min="3133" max="3134" width="8.83203125" style="32"/>
    <col min="3135" max="3148" width="0" style="32" hidden="1" customWidth="1"/>
    <col min="3149" max="3330" width="8.83203125" style="32"/>
    <col min="3331" max="3331" width="139.83203125" style="32" bestFit="1" customWidth="1"/>
    <col min="3332" max="3332" width="14.1640625" style="32" bestFit="1" customWidth="1"/>
    <col min="3333" max="3334" width="8.83203125" style="32"/>
    <col min="3335" max="3337" width="0" style="32" hidden="1" customWidth="1"/>
    <col min="3338" max="3338" width="8.83203125" style="32"/>
    <col min="3339" max="3340" width="0" style="32" hidden="1" customWidth="1"/>
    <col min="3341" max="3342" width="8.83203125" style="32"/>
    <col min="3343" max="3345" width="0" style="32" hidden="1" customWidth="1"/>
    <col min="3346" max="3346" width="8.83203125" style="32"/>
    <col min="3347" max="3351" width="0" style="32" hidden="1" customWidth="1"/>
    <col min="3352" max="3354" width="8.83203125" style="32"/>
    <col min="3355" max="3377" width="0" style="32" hidden="1" customWidth="1"/>
    <col min="3378" max="3379" width="8.83203125" style="32"/>
    <col min="3380" max="3388" width="0" style="32" hidden="1" customWidth="1"/>
    <col min="3389" max="3390" width="8.83203125" style="32"/>
    <col min="3391" max="3404" width="0" style="32" hidden="1" customWidth="1"/>
    <col min="3405" max="3586" width="8.83203125" style="32"/>
    <col min="3587" max="3587" width="139.83203125" style="32" bestFit="1" customWidth="1"/>
    <col min="3588" max="3588" width="14.1640625" style="32" bestFit="1" customWidth="1"/>
    <col min="3589" max="3590" width="8.83203125" style="32"/>
    <col min="3591" max="3593" width="0" style="32" hidden="1" customWidth="1"/>
    <col min="3594" max="3594" width="8.83203125" style="32"/>
    <col min="3595" max="3596" width="0" style="32" hidden="1" customWidth="1"/>
    <col min="3597" max="3598" width="8.83203125" style="32"/>
    <col min="3599" max="3601" width="0" style="32" hidden="1" customWidth="1"/>
    <col min="3602" max="3602" width="8.83203125" style="32"/>
    <col min="3603" max="3607" width="0" style="32" hidden="1" customWidth="1"/>
    <col min="3608" max="3610" width="8.83203125" style="32"/>
    <col min="3611" max="3633" width="0" style="32" hidden="1" customWidth="1"/>
    <col min="3634" max="3635" width="8.83203125" style="32"/>
    <col min="3636" max="3644" width="0" style="32" hidden="1" customWidth="1"/>
    <col min="3645" max="3646" width="8.83203125" style="32"/>
    <col min="3647" max="3660" width="0" style="32" hidden="1" customWidth="1"/>
    <col min="3661" max="3842" width="8.83203125" style="32"/>
    <col min="3843" max="3843" width="139.83203125" style="32" bestFit="1" customWidth="1"/>
    <col min="3844" max="3844" width="14.1640625" style="32" bestFit="1" customWidth="1"/>
    <col min="3845" max="3846" width="8.83203125" style="32"/>
    <col min="3847" max="3849" width="0" style="32" hidden="1" customWidth="1"/>
    <col min="3850" max="3850" width="8.83203125" style="32"/>
    <col min="3851" max="3852" width="0" style="32" hidden="1" customWidth="1"/>
    <col min="3853" max="3854" width="8.83203125" style="32"/>
    <col min="3855" max="3857" width="0" style="32" hidden="1" customWidth="1"/>
    <col min="3858" max="3858" width="8.83203125" style="32"/>
    <col min="3859" max="3863" width="0" style="32" hidden="1" customWidth="1"/>
    <col min="3864" max="3866" width="8.83203125" style="32"/>
    <col min="3867" max="3889" width="0" style="32" hidden="1" customWidth="1"/>
    <col min="3890" max="3891" width="8.83203125" style="32"/>
    <col min="3892" max="3900" width="0" style="32" hidden="1" customWidth="1"/>
    <col min="3901" max="3902" width="8.83203125" style="32"/>
    <col min="3903" max="3916" width="0" style="32" hidden="1" customWidth="1"/>
    <col min="3917" max="4098" width="8.83203125" style="32"/>
    <col min="4099" max="4099" width="139.83203125" style="32" bestFit="1" customWidth="1"/>
    <col min="4100" max="4100" width="14.1640625" style="32" bestFit="1" customWidth="1"/>
    <col min="4101" max="4102" width="8.83203125" style="32"/>
    <col min="4103" max="4105" width="0" style="32" hidden="1" customWidth="1"/>
    <col min="4106" max="4106" width="8.83203125" style="32"/>
    <col min="4107" max="4108" width="0" style="32" hidden="1" customWidth="1"/>
    <col min="4109" max="4110" width="8.83203125" style="32"/>
    <col min="4111" max="4113" width="0" style="32" hidden="1" customWidth="1"/>
    <col min="4114" max="4114" width="8.83203125" style="32"/>
    <col min="4115" max="4119" width="0" style="32" hidden="1" customWidth="1"/>
    <col min="4120" max="4122" width="8.83203125" style="32"/>
    <col min="4123" max="4145" width="0" style="32" hidden="1" customWidth="1"/>
    <col min="4146" max="4147" width="8.83203125" style="32"/>
    <col min="4148" max="4156" width="0" style="32" hidden="1" customWidth="1"/>
    <col min="4157" max="4158" width="8.83203125" style="32"/>
    <col min="4159" max="4172" width="0" style="32" hidden="1" customWidth="1"/>
    <col min="4173" max="4354" width="8.83203125" style="32"/>
    <col min="4355" max="4355" width="139.83203125" style="32" bestFit="1" customWidth="1"/>
    <col min="4356" max="4356" width="14.1640625" style="32" bestFit="1" customWidth="1"/>
    <col min="4357" max="4358" width="8.83203125" style="32"/>
    <col min="4359" max="4361" width="0" style="32" hidden="1" customWidth="1"/>
    <col min="4362" max="4362" width="8.83203125" style="32"/>
    <col min="4363" max="4364" width="0" style="32" hidden="1" customWidth="1"/>
    <col min="4365" max="4366" width="8.83203125" style="32"/>
    <col min="4367" max="4369" width="0" style="32" hidden="1" customWidth="1"/>
    <col min="4370" max="4370" width="8.83203125" style="32"/>
    <col min="4371" max="4375" width="0" style="32" hidden="1" customWidth="1"/>
    <col min="4376" max="4378" width="8.83203125" style="32"/>
    <col min="4379" max="4401" width="0" style="32" hidden="1" customWidth="1"/>
    <col min="4402" max="4403" width="8.83203125" style="32"/>
    <col min="4404" max="4412" width="0" style="32" hidden="1" customWidth="1"/>
    <col min="4413" max="4414" width="8.83203125" style="32"/>
    <col min="4415" max="4428" width="0" style="32" hidden="1" customWidth="1"/>
    <col min="4429" max="4610" width="8.83203125" style="32"/>
    <col min="4611" max="4611" width="139.83203125" style="32" bestFit="1" customWidth="1"/>
    <col min="4612" max="4612" width="14.1640625" style="32" bestFit="1" customWidth="1"/>
    <col min="4613" max="4614" width="8.83203125" style="32"/>
    <col min="4615" max="4617" width="0" style="32" hidden="1" customWidth="1"/>
    <col min="4618" max="4618" width="8.83203125" style="32"/>
    <col min="4619" max="4620" width="0" style="32" hidden="1" customWidth="1"/>
    <col min="4621" max="4622" width="8.83203125" style="32"/>
    <col min="4623" max="4625" width="0" style="32" hidden="1" customWidth="1"/>
    <col min="4626" max="4626" width="8.83203125" style="32"/>
    <col min="4627" max="4631" width="0" style="32" hidden="1" customWidth="1"/>
    <col min="4632" max="4634" width="8.83203125" style="32"/>
    <col min="4635" max="4657" width="0" style="32" hidden="1" customWidth="1"/>
    <col min="4658" max="4659" width="8.83203125" style="32"/>
    <col min="4660" max="4668" width="0" style="32" hidden="1" customWidth="1"/>
    <col min="4669" max="4670" width="8.83203125" style="32"/>
    <col min="4671" max="4684" width="0" style="32" hidden="1" customWidth="1"/>
    <col min="4685" max="4866" width="8.83203125" style="32"/>
    <col min="4867" max="4867" width="139.83203125" style="32" bestFit="1" customWidth="1"/>
    <col min="4868" max="4868" width="14.1640625" style="32" bestFit="1" customWidth="1"/>
    <col min="4869" max="4870" width="8.83203125" style="32"/>
    <col min="4871" max="4873" width="0" style="32" hidden="1" customWidth="1"/>
    <col min="4874" max="4874" width="8.83203125" style="32"/>
    <col min="4875" max="4876" width="0" style="32" hidden="1" customWidth="1"/>
    <col min="4877" max="4878" width="8.83203125" style="32"/>
    <col min="4879" max="4881" width="0" style="32" hidden="1" customWidth="1"/>
    <col min="4882" max="4882" width="8.83203125" style="32"/>
    <col min="4883" max="4887" width="0" style="32" hidden="1" customWidth="1"/>
    <col min="4888" max="4890" width="8.83203125" style="32"/>
    <col min="4891" max="4913" width="0" style="32" hidden="1" customWidth="1"/>
    <col min="4914" max="4915" width="8.83203125" style="32"/>
    <col min="4916" max="4924" width="0" style="32" hidden="1" customWidth="1"/>
    <col min="4925" max="4926" width="8.83203125" style="32"/>
    <col min="4927" max="4940" width="0" style="32" hidden="1" customWidth="1"/>
    <col min="4941" max="5122" width="8.83203125" style="32"/>
    <col min="5123" max="5123" width="139.83203125" style="32" bestFit="1" customWidth="1"/>
    <col min="5124" max="5124" width="14.1640625" style="32" bestFit="1" customWidth="1"/>
    <col min="5125" max="5126" width="8.83203125" style="32"/>
    <col min="5127" max="5129" width="0" style="32" hidden="1" customWidth="1"/>
    <col min="5130" max="5130" width="8.83203125" style="32"/>
    <col min="5131" max="5132" width="0" style="32" hidden="1" customWidth="1"/>
    <col min="5133" max="5134" width="8.83203125" style="32"/>
    <col min="5135" max="5137" width="0" style="32" hidden="1" customWidth="1"/>
    <col min="5138" max="5138" width="8.83203125" style="32"/>
    <col min="5139" max="5143" width="0" style="32" hidden="1" customWidth="1"/>
    <col min="5144" max="5146" width="8.83203125" style="32"/>
    <col min="5147" max="5169" width="0" style="32" hidden="1" customWidth="1"/>
    <col min="5170" max="5171" width="8.83203125" style="32"/>
    <col min="5172" max="5180" width="0" style="32" hidden="1" customWidth="1"/>
    <col min="5181" max="5182" width="8.83203125" style="32"/>
    <col min="5183" max="5196" width="0" style="32" hidden="1" customWidth="1"/>
    <col min="5197" max="5378" width="8.83203125" style="32"/>
    <col min="5379" max="5379" width="139.83203125" style="32" bestFit="1" customWidth="1"/>
    <col min="5380" max="5380" width="14.1640625" style="32" bestFit="1" customWidth="1"/>
    <col min="5381" max="5382" width="8.83203125" style="32"/>
    <col min="5383" max="5385" width="0" style="32" hidden="1" customWidth="1"/>
    <col min="5386" max="5386" width="8.83203125" style="32"/>
    <col min="5387" max="5388" width="0" style="32" hidden="1" customWidth="1"/>
    <col min="5389" max="5390" width="8.83203125" style="32"/>
    <col min="5391" max="5393" width="0" style="32" hidden="1" customWidth="1"/>
    <col min="5394" max="5394" width="8.83203125" style="32"/>
    <col min="5395" max="5399" width="0" style="32" hidden="1" customWidth="1"/>
    <col min="5400" max="5402" width="8.83203125" style="32"/>
    <col min="5403" max="5425" width="0" style="32" hidden="1" customWidth="1"/>
    <col min="5426" max="5427" width="8.83203125" style="32"/>
    <col min="5428" max="5436" width="0" style="32" hidden="1" customWidth="1"/>
    <col min="5437" max="5438" width="8.83203125" style="32"/>
    <col min="5439" max="5452" width="0" style="32" hidden="1" customWidth="1"/>
    <col min="5453" max="5634" width="8.83203125" style="32"/>
    <col min="5635" max="5635" width="139.83203125" style="32" bestFit="1" customWidth="1"/>
    <col min="5636" max="5636" width="14.1640625" style="32" bestFit="1" customWidth="1"/>
    <col min="5637" max="5638" width="8.83203125" style="32"/>
    <col min="5639" max="5641" width="0" style="32" hidden="1" customWidth="1"/>
    <col min="5642" max="5642" width="8.83203125" style="32"/>
    <col min="5643" max="5644" width="0" style="32" hidden="1" customWidth="1"/>
    <col min="5645" max="5646" width="8.83203125" style="32"/>
    <col min="5647" max="5649" width="0" style="32" hidden="1" customWidth="1"/>
    <col min="5650" max="5650" width="8.83203125" style="32"/>
    <col min="5651" max="5655" width="0" style="32" hidden="1" customWidth="1"/>
    <col min="5656" max="5658" width="8.83203125" style="32"/>
    <col min="5659" max="5681" width="0" style="32" hidden="1" customWidth="1"/>
    <col min="5682" max="5683" width="8.83203125" style="32"/>
    <col min="5684" max="5692" width="0" style="32" hidden="1" customWidth="1"/>
    <col min="5693" max="5694" width="8.83203125" style="32"/>
    <col min="5695" max="5708" width="0" style="32" hidden="1" customWidth="1"/>
    <col min="5709" max="5890" width="8.83203125" style="32"/>
    <col min="5891" max="5891" width="139.83203125" style="32" bestFit="1" customWidth="1"/>
    <col min="5892" max="5892" width="14.1640625" style="32" bestFit="1" customWidth="1"/>
    <col min="5893" max="5894" width="8.83203125" style="32"/>
    <col min="5895" max="5897" width="0" style="32" hidden="1" customWidth="1"/>
    <col min="5898" max="5898" width="8.83203125" style="32"/>
    <col min="5899" max="5900" width="0" style="32" hidden="1" customWidth="1"/>
    <col min="5901" max="5902" width="8.83203125" style="32"/>
    <col min="5903" max="5905" width="0" style="32" hidden="1" customWidth="1"/>
    <col min="5906" max="5906" width="8.83203125" style="32"/>
    <col min="5907" max="5911" width="0" style="32" hidden="1" customWidth="1"/>
    <col min="5912" max="5914" width="8.83203125" style="32"/>
    <col min="5915" max="5937" width="0" style="32" hidden="1" customWidth="1"/>
    <col min="5938" max="5939" width="8.83203125" style="32"/>
    <col min="5940" max="5948" width="0" style="32" hidden="1" customWidth="1"/>
    <col min="5949" max="5950" width="8.83203125" style="32"/>
    <col min="5951" max="5964" width="0" style="32" hidden="1" customWidth="1"/>
    <col min="5965" max="6146" width="8.83203125" style="32"/>
    <col min="6147" max="6147" width="139.83203125" style="32" bestFit="1" customWidth="1"/>
    <col min="6148" max="6148" width="14.1640625" style="32" bestFit="1" customWidth="1"/>
    <col min="6149" max="6150" width="8.83203125" style="32"/>
    <col min="6151" max="6153" width="0" style="32" hidden="1" customWidth="1"/>
    <col min="6154" max="6154" width="8.83203125" style="32"/>
    <col min="6155" max="6156" width="0" style="32" hidden="1" customWidth="1"/>
    <col min="6157" max="6158" width="8.83203125" style="32"/>
    <col min="6159" max="6161" width="0" style="32" hidden="1" customWidth="1"/>
    <col min="6162" max="6162" width="8.83203125" style="32"/>
    <col min="6163" max="6167" width="0" style="32" hidden="1" customWidth="1"/>
    <col min="6168" max="6170" width="8.83203125" style="32"/>
    <col min="6171" max="6193" width="0" style="32" hidden="1" customWidth="1"/>
    <col min="6194" max="6195" width="8.83203125" style="32"/>
    <col min="6196" max="6204" width="0" style="32" hidden="1" customWidth="1"/>
    <col min="6205" max="6206" width="8.83203125" style="32"/>
    <col min="6207" max="6220" width="0" style="32" hidden="1" customWidth="1"/>
    <col min="6221" max="6402" width="8.83203125" style="32"/>
    <col min="6403" max="6403" width="139.83203125" style="32" bestFit="1" customWidth="1"/>
    <col min="6404" max="6404" width="14.1640625" style="32" bestFit="1" customWidth="1"/>
    <col min="6405" max="6406" width="8.83203125" style="32"/>
    <col min="6407" max="6409" width="0" style="32" hidden="1" customWidth="1"/>
    <col min="6410" max="6410" width="8.83203125" style="32"/>
    <col min="6411" max="6412" width="0" style="32" hidden="1" customWidth="1"/>
    <col min="6413" max="6414" width="8.83203125" style="32"/>
    <col min="6415" max="6417" width="0" style="32" hidden="1" customWidth="1"/>
    <col min="6418" max="6418" width="8.83203125" style="32"/>
    <col min="6419" max="6423" width="0" style="32" hidden="1" customWidth="1"/>
    <col min="6424" max="6426" width="8.83203125" style="32"/>
    <col min="6427" max="6449" width="0" style="32" hidden="1" customWidth="1"/>
    <col min="6450" max="6451" width="8.83203125" style="32"/>
    <col min="6452" max="6460" width="0" style="32" hidden="1" customWidth="1"/>
    <col min="6461" max="6462" width="8.83203125" style="32"/>
    <col min="6463" max="6476" width="0" style="32" hidden="1" customWidth="1"/>
    <col min="6477" max="6658" width="8.83203125" style="32"/>
    <col min="6659" max="6659" width="139.83203125" style="32" bestFit="1" customWidth="1"/>
    <col min="6660" max="6660" width="14.1640625" style="32" bestFit="1" customWidth="1"/>
    <col min="6661" max="6662" width="8.83203125" style="32"/>
    <col min="6663" max="6665" width="0" style="32" hidden="1" customWidth="1"/>
    <col min="6666" max="6666" width="8.83203125" style="32"/>
    <col min="6667" max="6668" width="0" style="32" hidden="1" customWidth="1"/>
    <col min="6669" max="6670" width="8.83203125" style="32"/>
    <col min="6671" max="6673" width="0" style="32" hidden="1" customWidth="1"/>
    <col min="6674" max="6674" width="8.83203125" style="32"/>
    <col min="6675" max="6679" width="0" style="32" hidden="1" customWidth="1"/>
    <col min="6680" max="6682" width="8.83203125" style="32"/>
    <col min="6683" max="6705" width="0" style="32" hidden="1" customWidth="1"/>
    <col min="6706" max="6707" width="8.83203125" style="32"/>
    <col min="6708" max="6716" width="0" style="32" hidden="1" customWidth="1"/>
    <col min="6717" max="6718" width="8.83203125" style="32"/>
    <col min="6719" max="6732" width="0" style="32" hidden="1" customWidth="1"/>
    <col min="6733" max="6914" width="8.83203125" style="32"/>
    <col min="6915" max="6915" width="139.83203125" style="32" bestFit="1" customWidth="1"/>
    <col min="6916" max="6916" width="14.1640625" style="32" bestFit="1" customWidth="1"/>
    <col min="6917" max="6918" width="8.83203125" style="32"/>
    <col min="6919" max="6921" width="0" style="32" hidden="1" customWidth="1"/>
    <col min="6922" max="6922" width="8.83203125" style="32"/>
    <col min="6923" max="6924" width="0" style="32" hidden="1" customWidth="1"/>
    <col min="6925" max="6926" width="8.83203125" style="32"/>
    <col min="6927" max="6929" width="0" style="32" hidden="1" customWidth="1"/>
    <col min="6930" max="6930" width="8.83203125" style="32"/>
    <col min="6931" max="6935" width="0" style="32" hidden="1" customWidth="1"/>
    <col min="6936" max="6938" width="8.83203125" style="32"/>
    <col min="6939" max="6961" width="0" style="32" hidden="1" customWidth="1"/>
    <col min="6962" max="6963" width="8.83203125" style="32"/>
    <col min="6964" max="6972" width="0" style="32" hidden="1" customWidth="1"/>
    <col min="6973" max="6974" width="8.83203125" style="32"/>
    <col min="6975" max="6988" width="0" style="32" hidden="1" customWidth="1"/>
    <col min="6989" max="7170" width="8.83203125" style="32"/>
    <col min="7171" max="7171" width="139.83203125" style="32" bestFit="1" customWidth="1"/>
    <col min="7172" max="7172" width="14.1640625" style="32" bestFit="1" customWidth="1"/>
    <col min="7173" max="7174" width="8.83203125" style="32"/>
    <col min="7175" max="7177" width="0" style="32" hidden="1" customWidth="1"/>
    <col min="7178" max="7178" width="8.83203125" style="32"/>
    <col min="7179" max="7180" width="0" style="32" hidden="1" customWidth="1"/>
    <col min="7181" max="7182" width="8.83203125" style="32"/>
    <col min="7183" max="7185" width="0" style="32" hidden="1" customWidth="1"/>
    <col min="7186" max="7186" width="8.83203125" style="32"/>
    <col min="7187" max="7191" width="0" style="32" hidden="1" customWidth="1"/>
    <col min="7192" max="7194" width="8.83203125" style="32"/>
    <col min="7195" max="7217" width="0" style="32" hidden="1" customWidth="1"/>
    <col min="7218" max="7219" width="8.83203125" style="32"/>
    <col min="7220" max="7228" width="0" style="32" hidden="1" customWidth="1"/>
    <col min="7229" max="7230" width="8.83203125" style="32"/>
    <col min="7231" max="7244" width="0" style="32" hidden="1" customWidth="1"/>
    <col min="7245" max="7426" width="8.83203125" style="32"/>
    <col min="7427" max="7427" width="139.83203125" style="32" bestFit="1" customWidth="1"/>
    <col min="7428" max="7428" width="14.1640625" style="32" bestFit="1" customWidth="1"/>
    <col min="7429" max="7430" width="8.83203125" style="32"/>
    <col min="7431" max="7433" width="0" style="32" hidden="1" customWidth="1"/>
    <col min="7434" max="7434" width="8.83203125" style="32"/>
    <col min="7435" max="7436" width="0" style="32" hidden="1" customWidth="1"/>
    <col min="7437" max="7438" width="8.83203125" style="32"/>
    <col min="7439" max="7441" width="0" style="32" hidden="1" customWidth="1"/>
    <col min="7442" max="7442" width="8.83203125" style="32"/>
    <col min="7443" max="7447" width="0" style="32" hidden="1" customWidth="1"/>
    <col min="7448" max="7450" width="8.83203125" style="32"/>
    <col min="7451" max="7473" width="0" style="32" hidden="1" customWidth="1"/>
    <col min="7474" max="7475" width="8.83203125" style="32"/>
    <col min="7476" max="7484" width="0" style="32" hidden="1" customWidth="1"/>
    <col min="7485" max="7486" width="8.83203125" style="32"/>
    <col min="7487" max="7500" width="0" style="32" hidden="1" customWidth="1"/>
    <col min="7501" max="7682" width="8.83203125" style="32"/>
    <col min="7683" max="7683" width="139.83203125" style="32" bestFit="1" customWidth="1"/>
    <col min="7684" max="7684" width="14.1640625" style="32" bestFit="1" customWidth="1"/>
    <col min="7685" max="7686" width="8.83203125" style="32"/>
    <col min="7687" max="7689" width="0" style="32" hidden="1" customWidth="1"/>
    <col min="7690" max="7690" width="8.83203125" style="32"/>
    <col min="7691" max="7692" width="0" style="32" hidden="1" customWidth="1"/>
    <col min="7693" max="7694" width="8.83203125" style="32"/>
    <col min="7695" max="7697" width="0" style="32" hidden="1" customWidth="1"/>
    <col min="7698" max="7698" width="8.83203125" style="32"/>
    <col min="7699" max="7703" width="0" style="32" hidden="1" customWidth="1"/>
    <col min="7704" max="7706" width="8.83203125" style="32"/>
    <col min="7707" max="7729" width="0" style="32" hidden="1" customWidth="1"/>
    <col min="7730" max="7731" width="8.83203125" style="32"/>
    <col min="7732" max="7740" width="0" style="32" hidden="1" customWidth="1"/>
    <col min="7741" max="7742" width="8.83203125" style="32"/>
    <col min="7743" max="7756" width="0" style="32" hidden="1" customWidth="1"/>
    <col min="7757" max="7938" width="8.83203125" style="32"/>
    <col min="7939" max="7939" width="139.83203125" style="32" bestFit="1" customWidth="1"/>
    <col min="7940" max="7940" width="14.1640625" style="32" bestFit="1" customWidth="1"/>
    <col min="7941" max="7942" width="8.83203125" style="32"/>
    <col min="7943" max="7945" width="0" style="32" hidden="1" customWidth="1"/>
    <col min="7946" max="7946" width="8.83203125" style="32"/>
    <col min="7947" max="7948" width="0" style="32" hidden="1" customWidth="1"/>
    <col min="7949" max="7950" width="8.83203125" style="32"/>
    <col min="7951" max="7953" width="0" style="32" hidden="1" customWidth="1"/>
    <col min="7954" max="7954" width="8.83203125" style="32"/>
    <col min="7955" max="7959" width="0" style="32" hidden="1" customWidth="1"/>
    <col min="7960" max="7962" width="8.83203125" style="32"/>
    <col min="7963" max="7985" width="0" style="32" hidden="1" customWidth="1"/>
    <col min="7986" max="7987" width="8.83203125" style="32"/>
    <col min="7988" max="7996" width="0" style="32" hidden="1" customWidth="1"/>
    <col min="7997" max="7998" width="8.83203125" style="32"/>
    <col min="7999" max="8012" width="0" style="32" hidden="1" customWidth="1"/>
    <col min="8013" max="8194" width="8.83203125" style="32"/>
    <col min="8195" max="8195" width="139.83203125" style="32" bestFit="1" customWidth="1"/>
    <col min="8196" max="8196" width="14.1640625" style="32" bestFit="1" customWidth="1"/>
    <col min="8197" max="8198" width="8.83203125" style="32"/>
    <col min="8199" max="8201" width="0" style="32" hidden="1" customWidth="1"/>
    <col min="8202" max="8202" width="8.83203125" style="32"/>
    <col min="8203" max="8204" width="0" style="32" hidden="1" customWidth="1"/>
    <col min="8205" max="8206" width="8.83203125" style="32"/>
    <col min="8207" max="8209" width="0" style="32" hidden="1" customWidth="1"/>
    <col min="8210" max="8210" width="8.83203125" style="32"/>
    <col min="8211" max="8215" width="0" style="32" hidden="1" customWidth="1"/>
    <col min="8216" max="8218" width="8.83203125" style="32"/>
    <col min="8219" max="8241" width="0" style="32" hidden="1" customWidth="1"/>
    <col min="8242" max="8243" width="8.83203125" style="32"/>
    <col min="8244" max="8252" width="0" style="32" hidden="1" customWidth="1"/>
    <col min="8253" max="8254" width="8.83203125" style="32"/>
    <col min="8255" max="8268" width="0" style="32" hidden="1" customWidth="1"/>
    <col min="8269" max="8450" width="8.83203125" style="32"/>
    <col min="8451" max="8451" width="139.83203125" style="32" bestFit="1" customWidth="1"/>
    <col min="8452" max="8452" width="14.1640625" style="32" bestFit="1" customWidth="1"/>
    <col min="8453" max="8454" width="8.83203125" style="32"/>
    <col min="8455" max="8457" width="0" style="32" hidden="1" customWidth="1"/>
    <col min="8458" max="8458" width="8.83203125" style="32"/>
    <col min="8459" max="8460" width="0" style="32" hidden="1" customWidth="1"/>
    <col min="8461" max="8462" width="8.83203125" style="32"/>
    <col min="8463" max="8465" width="0" style="32" hidden="1" customWidth="1"/>
    <col min="8466" max="8466" width="8.83203125" style="32"/>
    <col min="8467" max="8471" width="0" style="32" hidden="1" customWidth="1"/>
    <col min="8472" max="8474" width="8.83203125" style="32"/>
    <col min="8475" max="8497" width="0" style="32" hidden="1" customWidth="1"/>
    <col min="8498" max="8499" width="8.83203125" style="32"/>
    <col min="8500" max="8508" width="0" style="32" hidden="1" customWidth="1"/>
    <col min="8509" max="8510" width="8.83203125" style="32"/>
    <col min="8511" max="8524" width="0" style="32" hidden="1" customWidth="1"/>
    <col min="8525" max="8706" width="8.83203125" style="32"/>
    <col min="8707" max="8707" width="139.83203125" style="32" bestFit="1" customWidth="1"/>
    <col min="8708" max="8708" width="14.1640625" style="32" bestFit="1" customWidth="1"/>
    <col min="8709" max="8710" width="8.83203125" style="32"/>
    <col min="8711" max="8713" width="0" style="32" hidden="1" customWidth="1"/>
    <col min="8714" max="8714" width="8.83203125" style="32"/>
    <col min="8715" max="8716" width="0" style="32" hidden="1" customWidth="1"/>
    <col min="8717" max="8718" width="8.83203125" style="32"/>
    <col min="8719" max="8721" width="0" style="32" hidden="1" customWidth="1"/>
    <col min="8722" max="8722" width="8.83203125" style="32"/>
    <col min="8723" max="8727" width="0" style="32" hidden="1" customWidth="1"/>
    <col min="8728" max="8730" width="8.83203125" style="32"/>
    <col min="8731" max="8753" width="0" style="32" hidden="1" customWidth="1"/>
    <col min="8754" max="8755" width="8.83203125" style="32"/>
    <col min="8756" max="8764" width="0" style="32" hidden="1" customWidth="1"/>
    <col min="8765" max="8766" width="8.83203125" style="32"/>
    <col min="8767" max="8780" width="0" style="32" hidden="1" customWidth="1"/>
    <col min="8781" max="8962" width="8.83203125" style="32"/>
    <col min="8963" max="8963" width="139.83203125" style="32" bestFit="1" customWidth="1"/>
    <col min="8964" max="8964" width="14.1640625" style="32" bestFit="1" customWidth="1"/>
    <col min="8965" max="8966" width="8.83203125" style="32"/>
    <col min="8967" max="8969" width="0" style="32" hidden="1" customWidth="1"/>
    <col min="8970" max="8970" width="8.83203125" style="32"/>
    <col min="8971" max="8972" width="0" style="32" hidden="1" customWidth="1"/>
    <col min="8973" max="8974" width="8.83203125" style="32"/>
    <col min="8975" max="8977" width="0" style="32" hidden="1" customWidth="1"/>
    <col min="8978" max="8978" width="8.83203125" style="32"/>
    <col min="8979" max="8983" width="0" style="32" hidden="1" customWidth="1"/>
    <col min="8984" max="8986" width="8.83203125" style="32"/>
    <col min="8987" max="9009" width="0" style="32" hidden="1" customWidth="1"/>
    <col min="9010" max="9011" width="8.83203125" style="32"/>
    <col min="9012" max="9020" width="0" style="32" hidden="1" customWidth="1"/>
    <col min="9021" max="9022" width="8.83203125" style="32"/>
    <col min="9023" max="9036" width="0" style="32" hidden="1" customWidth="1"/>
    <col min="9037" max="9218" width="8.83203125" style="32"/>
    <col min="9219" max="9219" width="139.83203125" style="32" bestFit="1" customWidth="1"/>
    <col min="9220" max="9220" width="14.1640625" style="32" bestFit="1" customWidth="1"/>
    <col min="9221" max="9222" width="8.83203125" style="32"/>
    <col min="9223" max="9225" width="0" style="32" hidden="1" customWidth="1"/>
    <col min="9226" max="9226" width="8.83203125" style="32"/>
    <col min="9227" max="9228" width="0" style="32" hidden="1" customWidth="1"/>
    <col min="9229" max="9230" width="8.83203125" style="32"/>
    <col min="9231" max="9233" width="0" style="32" hidden="1" customWidth="1"/>
    <col min="9234" max="9234" width="8.83203125" style="32"/>
    <col min="9235" max="9239" width="0" style="32" hidden="1" customWidth="1"/>
    <col min="9240" max="9242" width="8.83203125" style="32"/>
    <col min="9243" max="9265" width="0" style="32" hidden="1" customWidth="1"/>
    <col min="9266" max="9267" width="8.83203125" style="32"/>
    <col min="9268" max="9276" width="0" style="32" hidden="1" customWidth="1"/>
    <col min="9277" max="9278" width="8.83203125" style="32"/>
    <col min="9279" max="9292" width="0" style="32" hidden="1" customWidth="1"/>
    <col min="9293" max="9474" width="8.83203125" style="32"/>
    <col min="9475" max="9475" width="139.83203125" style="32" bestFit="1" customWidth="1"/>
    <col min="9476" max="9476" width="14.1640625" style="32" bestFit="1" customWidth="1"/>
    <col min="9477" max="9478" width="8.83203125" style="32"/>
    <col min="9479" max="9481" width="0" style="32" hidden="1" customWidth="1"/>
    <col min="9482" max="9482" width="8.83203125" style="32"/>
    <col min="9483" max="9484" width="0" style="32" hidden="1" customWidth="1"/>
    <col min="9485" max="9486" width="8.83203125" style="32"/>
    <col min="9487" max="9489" width="0" style="32" hidden="1" customWidth="1"/>
    <col min="9490" max="9490" width="8.83203125" style="32"/>
    <col min="9491" max="9495" width="0" style="32" hidden="1" customWidth="1"/>
    <col min="9496" max="9498" width="8.83203125" style="32"/>
    <col min="9499" max="9521" width="0" style="32" hidden="1" customWidth="1"/>
    <col min="9522" max="9523" width="8.83203125" style="32"/>
    <col min="9524" max="9532" width="0" style="32" hidden="1" customWidth="1"/>
    <col min="9533" max="9534" width="8.83203125" style="32"/>
    <col min="9535" max="9548" width="0" style="32" hidden="1" customWidth="1"/>
    <col min="9549" max="9730" width="8.83203125" style="32"/>
    <col min="9731" max="9731" width="139.83203125" style="32" bestFit="1" customWidth="1"/>
    <col min="9732" max="9732" width="14.1640625" style="32" bestFit="1" customWidth="1"/>
    <col min="9733" max="9734" width="8.83203125" style="32"/>
    <col min="9735" max="9737" width="0" style="32" hidden="1" customWidth="1"/>
    <col min="9738" max="9738" width="8.83203125" style="32"/>
    <col min="9739" max="9740" width="0" style="32" hidden="1" customWidth="1"/>
    <col min="9741" max="9742" width="8.83203125" style="32"/>
    <col min="9743" max="9745" width="0" style="32" hidden="1" customWidth="1"/>
    <col min="9746" max="9746" width="8.83203125" style="32"/>
    <col min="9747" max="9751" width="0" style="32" hidden="1" customWidth="1"/>
    <col min="9752" max="9754" width="8.83203125" style="32"/>
    <col min="9755" max="9777" width="0" style="32" hidden="1" customWidth="1"/>
    <col min="9778" max="9779" width="8.83203125" style="32"/>
    <col min="9780" max="9788" width="0" style="32" hidden="1" customWidth="1"/>
    <col min="9789" max="9790" width="8.83203125" style="32"/>
    <col min="9791" max="9804" width="0" style="32" hidden="1" customWidth="1"/>
    <col min="9805" max="9986" width="8.83203125" style="32"/>
    <col min="9987" max="9987" width="139.83203125" style="32" bestFit="1" customWidth="1"/>
    <col min="9988" max="9988" width="14.1640625" style="32" bestFit="1" customWidth="1"/>
    <col min="9989" max="9990" width="8.83203125" style="32"/>
    <col min="9991" max="9993" width="0" style="32" hidden="1" customWidth="1"/>
    <col min="9994" max="9994" width="8.83203125" style="32"/>
    <col min="9995" max="9996" width="0" style="32" hidden="1" customWidth="1"/>
    <col min="9997" max="9998" width="8.83203125" style="32"/>
    <col min="9999" max="10001" width="0" style="32" hidden="1" customWidth="1"/>
    <col min="10002" max="10002" width="8.83203125" style="32"/>
    <col min="10003" max="10007" width="0" style="32" hidden="1" customWidth="1"/>
    <col min="10008" max="10010" width="8.83203125" style="32"/>
    <col min="10011" max="10033" width="0" style="32" hidden="1" customWidth="1"/>
    <col min="10034" max="10035" width="8.83203125" style="32"/>
    <col min="10036" max="10044" width="0" style="32" hidden="1" customWidth="1"/>
    <col min="10045" max="10046" width="8.83203125" style="32"/>
    <col min="10047" max="10060" width="0" style="32" hidden="1" customWidth="1"/>
    <col min="10061" max="10242" width="8.83203125" style="32"/>
    <col min="10243" max="10243" width="139.83203125" style="32" bestFit="1" customWidth="1"/>
    <col min="10244" max="10244" width="14.1640625" style="32" bestFit="1" customWidth="1"/>
    <col min="10245" max="10246" width="8.83203125" style="32"/>
    <col min="10247" max="10249" width="0" style="32" hidden="1" customWidth="1"/>
    <col min="10250" max="10250" width="8.83203125" style="32"/>
    <col min="10251" max="10252" width="0" style="32" hidden="1" customWidth="1"/>
    <col min="10253" max="10254" width="8.83203125" style="32"/>
    <col min="10255" max="10257" width="0" style="32" hidden="1" customWidth="1"/>
    <col min="10258" max="10258" width="8.83203125" style="32"/>
    <col min="10259" max="10263" width="0" style="32" hidden="1" customWidth="1"/>
    <col min="10264" max="10266" width="8.83203125" style="32"/>
    <col min="10267" max="10289" width="0" style="32" hidden="1" customWidth="1"/>
    <col min="10290" max="10291" width="8.83203125" style="32"/>
    <col min="10292" max="10300" width="0" style="32" hidden="1" customWidth="1"/>
    <col min="10301" max="10302" width="8.83203125" style="32"/>
    <col min="10303" max="10316" width="0" style="32" hidden="1" customWidth="1"/>
    <col min="10317" max="10498" width="8.83203125" style="32"/>
    <col min="10499" max="10499" width="139.83203125" style="32" bestFit="1" customWidth="1"/>
    <col min="10500" max="10500" width="14.1640625" style="32" bestFit="1" customWidth="1"/>
    <col min="10501" max="10502" width="8.83203125" style="32"/>
    <col min="10503" max="10505" width="0" style="32" hidden="1" customWidth="1"/>
    <col min="10506" max="10506" width="8.83203125" style="32"/>
    <col min="10507" max="10508" width="0" style="32" hidden="1" customWidth="1"/>
    <col min="10509" max="10510" width="8.83203125" style="32"/>
    <col min="10511" max="10513" width="0" style="32" hidden="1" customWidth="1"/>
    <col min="10514" max="10514" width="8.83203125" style="32"/>
    <col min="10515" max="10519" width="0" style="32" hidden="1" customWidth="1"/>
    <col min="10520" max="10522" width="8.83203125" style="32"/>
    <col min="10523" max="10545" width="0" style="32" hidden="1" customWidth="1"/>
    <col min="10546" max="10547" width="8.83203125" style="32"/>
    <col min="10548" max="10556" width="0" style="32" hidden="1" customWidth="1"/>
    <col min="10557" max="10558" width="8.83203125" style="32"/>
    <col min="10559" max="10572" width="0" style="32" hidden="1" customWidth="1"/>
    <col min="10573" max="10754" width="8.83203125" style="32"/>
    <col min="10755" max="10755" width="139.83203125" style="32" bestFit="1" customWidth="1"/>
    <col min="10756" max="10756" width="14.1640625" style="32" bestFit="1" customWidth="1"/>
    <col min="10757" max="10758" width="8.83203125" style="32"/>
    <col min="10759" max="10761" width="0" style="32" hidden="1" customWidth="1"/>
    <col min="10762" max="10762" width="8.83203125" style="32"/>
    <col min="10763" max="10764" width="0" style="32" hidden="1" customWidth="1"/>
    <col min="10765" max="10766" width="8.83203125" style="32"/>
    <col min="10767" max="10769" width="0" style="32" hidden="1" customWidth="1"/>
    <col min="10770" max="10770" width="8.83203125" style="32"/>
    <col min="10771" max="10775" width="0" style="32" hidden="1" customWidth="1"/>
    <col min="10776" max="10778" width="8.83203125" style="32"/>
    <col min="10779" max="10801" width="0" style="32" hidden="1" customWidth="1"/>
    <col min="10802" max="10803" width="8.83203125" style="32"/>
    <col min="10804" max="10812" width="0" style="32" hidden="1" customWidth="1"/>
    <col min="10813" max="10814" width="8.83203125" style="32"/>
    <col min="10815" max="10828" width="0" style="32" hidden="1" customWidth="1"/>
    <col min="10829" max="11010" width="8.83203125" style="32"/>
    <col min="11011" max="11011" width="139.83203125" style="32" bestFit="1" customWidth="1"/>
    <col min="11012" max="11012" width="14.1640625" style="32" bestFit="1" customWidth="1"/>
    <col min="11013" max="11014" width="8.83203125" style="32"/>
    <col min="11015" max="11017" width="0" style="32" hidden="1" customWidth="1"/>
    <col min="11018" max="11018" width="8.83203125" style="32"/>
    <col min="11019" max="11020" width="0" style="32" hidden="1" customWidth="1"/>
    <col min="11021" max="11022" width="8.83203125" style="32"/>
    <col min="11023" max="11025" width="0" style="32" hidden="1" customWidth="1"/>
    <col min="11026" max="11026" width="8.83203125" style="32"/>
    <col min="11027" max="11031" width="0" style="32" hidden="1" customWidth="1"/>
    <col min="11032" max="11034" width="8.83203125" style="32"/>
    <col min="11035" max="11057" width="0" style="32" hidden="1" customWidth="1"/>
    <col min="11058" max="11059" width="8.83203125" style="32"/>
    <col min="11060" max="11068" width="0" style="32" hidden="1" customWidth="1"/>
    <col min="11069" max="11070" width="8.83203125" style="32"/>
    <col min="11071" max="11084" width="0" style="32" hidden="1" customWidth="1"/>
    <col min="11085" max="11266" width="8.83203125" style="32"/>
    <col min="11267" max="11267" width="139.83203125" style="32" bestFit="1" customWidth="1"/>
    <col min="11268" max="11268" width="14.1640625" style="32" bestFit="1" customWidth="1"/>
    <col min="11269" max="11270" width="8.83203125" style="32"/>
    <col min="11271" max="11273" width="0" style="32" hidden="1" customWidth="1"/>
    <col min="11274" max="11274" width="8.83203125" style="32"/>
    <col min="11275" max="11276" width="0" style="32" hidden="1" customWidth="1"/>
    <col min="11277" max="11278" width="8.83203125" style="32"/>
    <col min="11279" max="11281" width="0" style="32" hidden="1" customWidth="1"/>
    <col min="11282" max="11282" width="8.83203125" style="32"/>
    <col min="11283" max="11287" width="0" style="32" hidden="1" customWidth="1"/>
    <col min="11288" max="11290" width="8.83203125" style="32"/>
    <col min="11291" max="11313" width="0" style="32" hidden="1" customWidth="1"/>
    <col min="11314" max="11315" width="8.83203125" style="32"/>
    <col min="11316" max="11324" width="0" style="32" hidden="1" customWidth="1"/>
    <col min="11325" max="11326" width="8.83203125" style="32"/>
    <col min="11327" max="11340" width="0" style="32" hidden="1" customWidth="1"/>
    <col min="11341" max="11522" width="8.83203125" style="32"/>
    <col min="11523" max="11523" width="139.83203125" style="32" bestFit="1" customWidth="1"/>
    <col min="11524" max="11524" width="14.1640625" style="32" bestFit="1" customWidth="1"/>
    <col min="11525" max="11526" width="8.83203125" style="32"/>
    <col min="11527" max="11529" width="0" style="32" hidden="1" customWidth="1"/>
    <col min="11530" max="11530" width="8.83203125" style="32"/>
    <col min="11531" max="11532" width="0" style="32" hidden="1" customWidth="1"/>
    <col min="11533" max="11534" width="8.83203125" style="32"/>
    <col min="11535" max="11537" width="0" style="32" hidden="1" customWidth="1"/>
    <col min="11538" max="11538" width="8.83203125" style="32"/>
    <col min="11539" max="11543" width="0" style="32" hidden="1" customWidth="1"/>
    <col min="11544" max="11546" width="8.83203125" style="32"/>
    <col min="11547" max="11569" width="0" style="32" hidden="1" customWidth="1"/>
    <col min="11570" max="11571" width="8.83203125" style="32"/>
    <col min="11572" max="11580" width="0" style="32" hidden="1" customWidth="1"/>
    <col min="11581" max="11582" width="8.83203125" style="32"/>
    <col min="11583" max="11596" width="0" style="32" hidden="1" customWidth="1"/>
    <col min="11597" max="11778" width="8.83203125" style="32"/>
    <col min="11779" max="11779" width="139.83203125" style="32" bestFit="1" customWidth="1"/>
    <col min="11780" max="11780" width="14.1640625" style="32" bestFit="1" customWidth="1"/>
    <col min="11781" max="11782" width="8.83203125" style="32"/>
    <col min="11783" max="11785" width="0" style="32" hidden="1" customWidth="1"/>
    <col min="11786" max="11786" width="8.83203125" style="32"/>
    <col min="11787" max="11788" width="0" style="32" hidden="1" customWidth="1"/>
    <col min="11789" max="11790" width="8.83203125" style="32"/>
    <col min="11791" max="11793" width="0" style="32" hidden="1" customWidth="1"/>
    <col min="11794" max="11794" width="8.83203125" style="32"/>
    <col min="11795" max="11799" width="0" style="32" hidden="1" customWidth="1"/>
    <col min="11800" max="11802" width="8.83203125" style="32"/>
    <col min="11803" max="11825" width="0" style="32" hidden="1" customWidth="1"/>
    <col min="11826" max="11827" width="8.83203125" style="32"/>
    <col min="11828" max="11836" width="0" style="32" hidden="1" customWidth="1"/>
    <col min="11837" max="11838" width="8.83203125" style="32"/>
    <col min="11839" max="11852" width="0" style="32" hidden="1" customWidth="1"/>
    <col min="11853" max="12034" width="8.83203125" style="32"/>
    <col min="12035" max="12035" width="139.83203125" style="32" bestFit="1" customWidth="1"/>
    <col min="12036" max="12036" width="14.1640625" style="32" bestFit="1" customWidth="1"/>
    <col min="12037" max="12038" width="8.83203125" style="32"/>
    <col min="12039" max="12041" width="0" style="32" hidden="1" customWidth="1"/>
    <col min="12042" max="12042" width="8.83203125" style="32"/>
    <col min="12043" max="12044" width="0" style="32" hidden="1" customWidth="1"/>
    <col min="12045" max="12046" width="8.83203125" style="32"/>
    <col min="12047" max="12049" width="0" style="32" hidden="1" customWidth="1"/>
    <col min="12050" max="12050" width="8.83203125" style="32"/>
    <col min="12051" max="12055" width="0" style="32" hidden="1" customWidth="1"/>
    <col min="12056" max="12058" width="8.83203125" style="32"/>
    <col min="12059" max="12081" width="0" style="32" hidden="1" customWidth="1"/>
    <col min="12082" max="12083" width="8.83203125" style="32"/>
    <col min="12084" max="12092" width="0" style="32" hidden="1" customWidth="1"/>
    <col min="12093" max="12094" width="8.83203125" style="32"/>
    <col min="12095" max="12108" width="0" style="32" hidden="1" customWidth="1"/>
    <col min="12109" max="12290" width="8.83203125" style="32"/>
    <col min="12291" max="12291" width="139.83203125" style="32" bestFit="1" customWidth="1"/>
    <col min="12292" max="12292" width="14.1640625" style="32" bestFit="1" customWidth="1"/>
    <col min="12293" max="12294" width="8.83203125" style="32"/>
    <col min="12295" max="12297" width="0" style="32" hidden="1" customWidth="1"/>
    <col min="12298" max="12298" width="8.83203125" style="32"/>
    <col min="12299" max="12300" width="0" style="32" hidden="1" customWidth="1"/>
    <col min="12301" max="12302" width="8.83203125" style="32"/>
    <col min="12303" max="12305" width="0" style="32" hidden="1" customWidth="1"/>
    <col min="12306" max="12306" width="8.83203125" style="32"/>
    <col min="12307" max="12311" width="0" style="32" hidden="1" customWidth="1"/>
    <col min="12312" max="12314" width="8.83203125" style="32"/>
    <col min="12315" max="12337" width="0" style="32" hidden="1" customWidth="1"/>
    <col min="12338" max="12339" width="8.83203125" style="32"/>
    <col min="12340" max="12348" width="0" style="32" hidden="1" customWidth="1"/>
    <col min="12349" max="12350" width="8.83203125" style="32"/>
    <col min="12351" max="12364" width="0" style="32" hidden="1" customWidth="1"/>
    <col min="12365" max="12546" width="8.83203125" style="32"/>
    <col min="12547" max="12547" width="139.83203125" style="32" bestFit="1" customWidth="1"/>
    <col min="12548" max="12548" width="14.1640625" style="32" bestFit="1" customWidth="1"/>
    <col min="12549" max="12550" width="8.83203125" style="32"/>
    <col min="12551" max="12553" width="0" style="32" hidden="1" customWidth="1"/>
    <col min="12554" max="12554" width="8.83203125" style="32"/>
    <col min="12555" max="12556" width="0" style="32" hidden="1" customWidth="1"/>
    <col min="12557" max="12558" width="8.83203125" style="32"/>
    <col min="12559" max="12561" width="0" style="32" hidden="1" customWidth="1"/>
    <col min="12562" max="12562" width="8.83203125" style="32"/>
    <col min="12563" max="12567" width="0" style="32" hidden="1" customWidth="1"/>
    <col min="12568" max="12570" width="8.83203125" style="32"/>
    <col min="12571" max="12593" width="0" style="32" hidden="1" customWidth="1"/>
    <col min="12594" max="12595" width="8.83203125" style="32"/>
    <col min="12596" max="12604" width="0" style="32" hidden="1" customWidth="1"/>
    <col min="12605" max="12606" width="8.83203125" style="32"/>
    <col min="12607" max="12620" width="0" style="32" hidden="1" customWidth="1"/>
    <col min="12621" max="12802" width="8.83203125" style="32"/>
    <col min="12803" max="12803" width="139.83203125" style="32" bestFit="1" customWidth="1"/>
    <col min="12804" max="12804" width="14.1640625" style="32" bestFit="1" customWidth="1"/>
    <col min="12805" max="12806" width="8.83203125" style="32"/>
    <col min="12807" max="12809" width="0" style="32" hidden="1" customWidth="1"/>
    <col min="12810" max="12810" width="8.83203125" style="32"/>
    <col min="12811" max="12812" width="0" style="32" hidden="1" customWidth="1"/>
    <col min="12813" max="12814" width="8.83203125" style="32"/>
    <col min="12815" max="12817" width="0" style="32" hidden="1" customWidth="1"/>
    <col min="12818" max="12818" width="8.83203125" style="32"/>
    <col min="12819" max="12823" width="0" style="32" hidden="1" customWidth="1"/>
    <col min="12824" max="12826" width="8.83203125" style="32"/>
    <col min="12827" max="12849" width="0" style="32" hidden="1" customWidth="1"/>
    <col min="12850" max="12851" width="8.83203125" style="32"/>
    <col min="12852" max="12860" width="0" style="32" hidden="1" customWidth="1"/>
    <col min="12861" max="12862" width="8.83203125" style="32"/>
    <col min="12863" max="12876" width="0" style="32" hidden="1" customWidth="1"/>
    <col min="12877" max="13058" width="8.83203125" style="32"/>
    <col min="13059" max="13059" width="139.83203125" style="32" bestFit="1" customWidth="1"/>
    <col min="13060" max="13060" width="14.1640625" style="32" bestFit="1" customWidth="1"/>
    <col min="13061" max="13062" width="8.83203125" style="32"/>
    <col min="13063" max="13065" width="0" style="32" hidden="1" customWidth="1"/>
    <col min="13066" max="13066" width="8.83203125" style="32"/>
    <col min="13067" max="13068" width="0" style="32" hidden="1" customWidth="1"/>
    <col min="13069" max="13070" width="8.83203125" style="32"/>
    <col min="13071" max="13073" width="0" style="32" hidden="1" customWidth="1"/>
    <col min="13074" max="13074" width="8.83203125" style="32"/>
    <col min="13075" max="13079" width="0" style="32" hidden="1" customWidth="1"/>
    <col min="13080" max="13082" width="8.83203125" style="32"/>
    <col min="13083" max="13105" width="0" style="32" hidden="1" customWidth="1"/>
    <col min="13106" max="13107" width="8.83203125" style="32"/>
    <col min="13108" max="13116" width="0" style="32" hidden="1" customWidth="1"/>
    <col min="13117" max="13118" width="8.83203125" style="32"/>
    <col min="13119" max="13132" width="0" style="32" hidden="1" customWidth="1"/>
    <col min="13133" max="13314" width="8.83203125" style="32"/>
    <col min="13315" max="13315" width="139.83203125" style="32" bestFit="1" customWidth="1"/>
    <col min="13316" max="13316" width="14.1640625" style="32" bestFit="1" customWidth="1"/>
    <col min="13317" max="13318" width="8.83203125" style="32"/>
    <col min="13319" max="13321" width="0" style="32" hidden="1" customWidth="1"/>
    <col min="13322" max="13322" width="8.83203125" style="32"/>
    <col min="13323" max="13324" width="0" style="32" hidden="1" customWidth="1"/>
    <col min="13325" max="13326" width="8.83203125" style="32"/>
    <col min="13327" max="13329" width="0" style="32" hidden="1" customWidth="1"/>
    <col min="13330" max="13330" width="8.83203125" style="32"/>
    <col min="13331" max="13335" width="0" style="32" hidden="1" customWidth="1"/>
    <col min="13336" max="13338" width="8.83203125" style="32"/>
    <col min="13339" max="13361" width="0" style="32" hidden="1" customWidth="1"/>
    <col min="13362" max="13363" width="8.83203125" style="32"/>
    <col min="13364" max="13372" width="0" style="32" hidden="1" customWidth="1"/>
    <col min="13373" max="13374" width="8.83203125" style="32"/>
    <col min="13375" max="13388" width="0" style="32" hidden="1" customWidth="1"/>
    <col min="13389" max="13570" width="8.83203125" style="32"/>
    <col min="13571" max="13571" width="139.83203125" style="32" bestFit="1" customWidth="1"/>
    <col min="13572" max="13572" width="14.1640625" style="32" bestFit="1" customWidth="1"/>
    <col min="13573" max="13574" width="8.83203125" style="32"/>
    <col min="13575" max="13577" width="0" style="32" hidden="1" customWidth="1"/>
    <col min="13578" max="13578" width="8.83203125" style="32"/>
    <col min="13579" max="13580" width="0" style="32" hidden="1" customWidth="1"/>
    <col min="13581" max="13582" width="8.83203125" style="32"/>
    <col min="13583" max="13585" width="0" style="32" hidden="1" customWidth="1"/>
    <col min="13586" max="13586" width="8.83203125" style="32"/>
    <col min="13587" max="13591" width="0" style="32" hidden="1" customWidth="1"/>
    <col min="13592" max="13594" width="8.83203125" style="32"/>
    <col min="13595" max="13617" width="0" style="32" hidden="1" customWidth="1"/>
    <col min="13618" max="13619" width="8.83203125" style="32"/>
    <col min="13620" max="13628" width="0" style="32" hidden="1" customWidth="1"/>
    <col min="13629" max="13630" width="8.83203125" style="32"/>
    <col min="13631" max="13644" width="0" style="32" hidden="1" customWidth="1"/>
    <col min="13645" max="13826" width="8.83203125" style="32"/>
    <col min="13827" max="13827" width="139.83203125" style="32" bestFit="1" customWidth="1"/>
    <col min="13828" max="13828" width="14.1640625" style="32" bestFit="1" customWidth="1"/>
    <col min="13829" max="13830" width="8.83203125" style="32"/>
    <col min="13831" max="13833" width="0" style="32" hidden="1" customWidth="1"/>
    <col min="13834" max="13834" width="8.83203125" style="32"/>
    <col min="13835" max="13836" width="0" style="32" hidden="1" customWidth="1"/>
    <col min="13837" max="13838" width="8.83203125" style="32"/>
    <col min="13839" max="13841" width="0" style="32" hidden="1" customWidth="1"/>
    <col min="13842" max="13842" width="8.83203125" style="32"/>
    <col min="13843" max="13847" width="0" style="32" hidden="1" customWidth="1"/>
    <col min="13848" max="13850" width="8.83203125" style="32"/>
    <col min="13851" max="13873" width="0" style="32" hidden="1" customWidth="1"/>
    <col min="13874" max="13875" width="8.83203125" style="32"/>
    <col min="13876" max="13884" width="0" style="32" hidden="1" customWidth="1"/>
    <col min="13885" max="13886" width="8.83203125" style="32"/>
    <col min="13887" max="13900" width="0" style="32" hidden="1" customWidth="1"/>
    <col min="13901" max="14082" width="8.83203125" style="32"/>
    <col min="14083" max="14083" width="139.83203125" style="32" bestFit="1" customWidth="1"/>
    <col min="14084" max="14084" width="14.1640625" style="32" bestFit="1" customWidth="1"/>
    <col min="14085" max="14086" width="8.83203125" style="32"/>
    <col min="14087" max="14089" width="0" style="32" hidden="1" customWidth="1"/>
    <col min="14090" max="14090" width="8.83203125" style="32"/>
    <col min="14091" max="14092" width="0" style="32" hidden="1" customWidth="1"/>
    <col min="14093" max="14094" width="8.83203125" style="32"/>
    <col min="14095" max="14097" width="0" style="32" hidden="1" customWidth="1"/>
    <col min="14098" max="14098" width="8.83203125" style="32"/>
    <col min="14099" max="14103" width="0" style="32" hidden="1" customWidth="1"/>
    <col min="14104" max="14106" width="8.83203125" style="32"/>
    <col min="14107" max="14129" width="0" style="32" hidden="1" customWidth="1"/>
    <col min="14130" max="14131" width="8.83203125" style="32"/>
    <col min="14132" max="14140" width="0" style="32" hidden="1" customWidth="1"/>
    <col min="14141" max="14142" width="8.83203125" style="32"/>
    <col min="14143" max="14156" width="0" style="32" hidden="1" customWidth="1"/>
    <col min="14157" max="14338" width="8.83203125" style="32"/>
    <col min="14339" max="14339" width="139.83203125" style="32" bestFit="1" customWidth="1"/>
    <col min="14340" max="14340" width="14.1640625" style="32" bestFit="1" customWidth="1"/>
    <col min="14341" max="14342" width="8.83203125" style="32"/>
    <col min="14343" max="14345" width="0" style="32" hidden="1" customWidth="1"/>
    <col min="14346" max="14346" width="8.83203125" style="32"/>
    <col min="14347" max="14348" width="0" style="32" hidden="1" customWidth="1"/>
    <col min="14349" max="14350" width="8.83203125" style="32"/>
    <col min="14351" max="14353" width="0" style="32" hidden="1" customWidth="1"/>
    <col min="14354" max="14354" width="8.83203125" style="32"/>
    <col min="14355" max="14359" width="0" style="32" hidden="1" customWidth="1"/>
    <col min="14360" max="14362" width="8.83203125" style="32"/>
    <col min="14363" max="14385" width="0" style="32" hidden="1" customWidth="1"/>
    <col min="14386" max="14387" width="8.83203125" style="32"/>
    <col min="14388" max="14396" width="0" style="32" hidden="1" customWidth="1"/>
    <col min="14397" max="14398" width="8.83203125" style="32"/>
    <col min="14399" max="14412" width="0" style="32" hidden="1" customWidth="1"/>
    <col min="14413" max="14594" width="8.83203125" style="32"/>
    <col min="14595" max="14595" width="139.83203125" style="32" bestFit="1" customWidth="1"/>
    <col min="14596" max="14596" width="14.1640625" style="32" bestFit="1" customWidth="1"/>
    <col min="14597" max="14598" width="8.83203125" style="32"/>
    <col min="14599" max="14601" width="0" style="32" hidden="1" customWidth="1"/>
    <col min="14602" max="14602" width="8.83203125" style="32"/>
    <col min="14603" max="14604" width="0" style="32" hidden="1" customWidth="1"/>
    <col min="14605" max="14606" width="8.83203125" style="32"/>
    <col min="14607" max="14609" width="0" style="32" hidden="1" customWidth="1"/>
    <col min="14610" max="14610" width="8.83203125" style="32"/>
    <col min="14611" max="14615" width="0" style="32" hidden="1" customWidth="1"/>
    <col min="14616" max="14618" width="8.83203125" style="32"/>
    <col min="14619" max="14641" width="0" style="32" hidden="1" customWidth="1"/>
    <col min="14642" max="14643" width="8.83203125" style="32"/>
    <col min="14644" max="14652" width="0" style="32" hidden="1" customWidth="1"/>
    <col min="14653" max="14654" width="8.83203125" style="32"/>
    <col min="14655" max="14668" width="0" style="32" hidden="1" customWidth="1"/>
    <col min="14669" max="14850" width="8.83203125" style="32"/>
    <col min="14851" max="14851" width="139.83203125" style="32" bestFit="1" customWidth="1"/>
    <col min="14852" max="14852" width="14.1640625" style="32" bestFit="1" customWidth="1"/>
    <col min="14853" max="14854" width="8.83203125" style="32"/>
    <col min="14855" max="14857" width="0" style="32" hidden="1" customWidth="1"/>
    <col min="14858" max="14858" width="8.83203125" style="32"/>
    <col min="14859" max="14860" width="0" style="32" hidden="1" customWidth="1"/>
    <col min="14861" max="14862" width="8.83203125" style="32"/>
    <col min="14863" max="14865" width="0" style="32" hidden="1" customWidth="1"/>
    <col min="14866" max="14866" width="8.83203125" style="32"/>
    <col min="14867" max="14871" width="0" style="32" hidden="1" customWidth="1"/>
    <col min="14872" max="14874" width="8.83203125" style="32"/>
    <col min="14875" max="14897" width="0" style="32" hidden="1" customWidth="1"/>
    <col min="14898" max="14899" width="8.83203125" style="32"/>
    <col min="14900" max="14908" width="0" style="32" hidden="1" customWidth="1"/>
    <col min="14909" max="14910" width="8.83203125" style="32"/>
    <col min="14911" max="14924" width="0" style="32" hidden="1" customWidth="1"/>
    <col min="14925" max="15106" width="8.83203125" style="32"/>
    <col min="15107" max="15107" width="139.83203125" style="32" bestFit="1" customWidth="1"/>
    <col min="15108" max="15108" width="14.1640625" style="32" bestFit="1" customWidth="1"/>
    <col min="15109" max="15110" width="8.83203125" style="32"/>
    <col min="15111" max="15113" width="0" style="32" hidden="1" customWidth="1"/>
    <col min="15114" max="15114" width="8.83203125" style="32"/>
    <col min="15115" max="15116" width="0" style="32" hidden="1" customWidth="1"/>
    <col min="15117" max="15118" width="8.83203125" style="32"/>
    <col min="15119" max="15121" width="0" style="32" hidden="1" customWidth="1"/>
    <col min="15122" max="15122" width="8.83203125" style="32"/>
    <col min="15123" max="15127" width="0" style="32" hidden="1" customWidth="1"/>
    <col min="15128" max="15130" width="8.83203125" style="32"/>
    <col min="15131" max="15153" width="0" style="32" hidden="1" customWidth="1"/>
    <col min="15154" max="15155" width="8.83203125" style="32"/>
    <col min="15156" max="15164" width="0" style="32" hidden="1" customWidth="1"/>
    <col min="15165" max="15166" width="8.83203125" style="32"/>
    <col min="15167" max="15180" width="0" style="32" hidden="1" customWidth="1"/>
    <col min="15181" max="15362" width="8.83203125" style="32"/>
    <col min="15363" max="15363" width="139.83203125" style="32" bestFit="1" customWidth="1"/>
    <col min="15364" max="15364" width="14.1640625" style="32" bestFit="1" customWidth="1"/>
    <col min="15365" max="15366" width="8.83203125" style="32"/>
    <col min="15367" max="15369" width="0" style="32" hidden="1" customWidth="1"/>
    <col min="15370" max="15370" width="8.83203125" style="32"/>
    <col min="15371" max="15372" width="0" style="32" hidden="1" customWidth="1"/>
    <col min="15373" max="15374" width="8.83203125" style="32"/>
    <col min="15375" max="15377" width="0" style="32" hidden="1" customWidth="1"/>
    <col min="15378" max="15378" width="8.83203125" style="32"/>
    <col min="15379" max="15383" width="0" style="32" hidden="1" customWidth="1"/>
    <col min="15384" max="15386" width="8.83203125" style="32"/>
    <col min="15387" max="15409" width="0" style="32" hidden="1" customWidth="1"/>
    <col min="15410" max="15411" width="8.83203125" style="32"/>
    <col min="15412" max="15420" width="0" style="32" hidden="1" customWidth="1"/>
    <col min="15421" max="15422" width="8.83203125" style="32"/>
    <col min="15423" max="15436" width="0" style="32" hidden="1" customWidth="1"/>
    <col min="15437" max="15618" width="8.83203125" style="32"/>
    <col min="15619" max="15619" width="139.83203125" style="32" bestFit="1" customWidth="1"/>
    <col min="15620" max="15620" width="14.1640625" style="32" bestFit="1" customWidth="1"/>
    <col min="15621" max="15622" width="8.83203125" style="32"/>
    <col min="15623" max="15625" width="0" style="32" hidden="1" customWidth="1"/>
    <col min="15626" max="15626" width="8.83203125" style="32"/>
    <col min="15627" max="15628" width="0" style="32" hidden="1" customWidth="1"/>
    <col min="15629" max="15630" width="8.83203125" style="32"/>
    <col min="15631" max="15633" width="0" style="32" hidden="1" customWidth="1"/>
    <col min="15634" max="15634" width="8.83203125" style="32"/>
    <col min="15635" max="15639" width="0" style="32" hidden="1" customWidth="1"/>
    <col min="15640" max="15642" width="8.83203125" style="32"/>
    <col min="15643" max="15665" width="0" style="32" hidden="1" customWidth="1"/>
    <col min="15666" max="15667" width="8.83203125" style="32"/>
    <col min="15668" max="15676" width="0" style="32" hidden="1" customWidth="1"/>
    <col min="15677" max="15678" width="8.83203125" style="32"/>
    <col min="15679" max="15692" width="0" style="32" hidden="1" customWidth="1"/>
    <col min="15693" max="15874" width="8.83203125" style="32"/>
    <col min="15875" max="15875" width="139.83203125" style="32" bestFit="1" customWidth="1"/>
    <col min="15876" max="15876" width="14.1640625" style="32" bestFit="1" customWidth="1"/>
    <col min="15877" max="15878" width="8.83203125" style="32"/>
    <col min="15879" max="15881" width="0" style="32" hidden="1" customWidth="1"/>
    <col min="15882" max="15882" width="8.83203125" style="32"/>
    <col min="15883" max="15884" width="0" style="32" hidden="1" customWidth="1"/>
    <col min="15885" max="15886" width="8.83203125" style="32"/>
    <col min="15887" max="15889" width="0" style="32" hidden="1" customWidth="1"/>
    <col min="15890" max="15890" width="8.83203125" style="32"/>
    <col min="15891" max="15895" width="0" style="32" hidden="1" customWidth="1"/>
    <col min="15896" max="15898" width="8.83203125" style="32"/>
    <col min="15899" max="15921" width="0" style="32" hidden="1" customWidth="1"/>
    <col min="15922" max="15923" width="8.83203125" style="32"/>
    <col min="15924" max="15932" width="0" style="32" hidden="1" customWidth="1"/>
    <col min="15933" max="15934" width="8.83203125" style="32"/>
    <col min="15935" max="15948" width="0" style="32" hidden="1" customWidth="1"/>
    <col min="15949" max="16130" width="8.83203125" style="32"/>
    <col min="16131" max="16131" width="139.83203125" style="32" bestFit="1" customWidth="1"/>
    <col min="16132" max="16132" width="14.1640625" style="32" bestFit="1" customWidth="1"/>
    <col min="16133" max="16134" width="8.83203125" style="32"/>
    <col min="16135" max="16137" width="0" style="32" hidden="1" customWidth="1"/>
    <col min="16138" max="16138" width="8.83203125" style="32"/>
    <col min="16139" max="16140" width="0" style="32" hidden="1" customWidth="1"/>
    <col min="16141" max="16142" width="8.83203125" style="32"/>
    <col min="16143" max="16145" width="0" style="32" hidden="1" customWidth="1"/>
    <col min="16146" max="16146" width="8.83203125" style="32"/>
    <col min="16147" max="16151" width="0" style="32" hidden="1" customWidth="1"/>
    <col min="16152" max="16154" width="8.83203125" style="32"/>
    <col min="16155" max="16177" width="0" style="32" hidden="1" customWidth="1"/>
    <col min="16178" max="16179" width="8.83203125" style="32"/>
    <col min="16180" max="16188" width="0" style="32" hidden="1" customWidth="1"/>
    <col min="16189" max="16190" width="8.83203125" style="32"/>
    <col min="16191" max="16204" width="0" style="32" hidden="1" customWidth="1"/>
    <col min="16205" max="16384" width="8.83203125" style="32"/>
  </cols>
  <sheetData>
    <row r="1" spans="1:77" x14ac:dyDescent="0.15">
      <c r="A1" s="32" t="s">
        <v>499</v>
      </c>
      <c r="B1" s="32" t="s">
        <v>1149</v>
      </c>
      <c r="C1" s="32" t="s">
        <v>1150</v>
      </c>
      <c r="D1" s="32" t="s">
        <v>1151</v>
      </c>
      <c r="E1" s="32" t="s">
        <v>2</v>
      </c>
      <c r="F1" s="32" t="s">
        <v>1152</v>
      </c>
      <c r="G1" s="32" t="s">
        <v>1153</v>
      </c>
      <c r="H1" s="32" t="s">
        <v>1154</v>
      </c>
      <c r="I1" s="32" t="s">
        <v>1155</v>
      </c>
      <c r="J1" s="32" t="s">
        <v>1156</v>
      </c>
      <c r="K1" s="32" t="s">
        <v>1157</v>
      </c>
      <c r="L1" s="32" t="s">
        <v>1158</v>
      </c>
      <c r="M1" s="32" t="s">
        <v>1159</v>
      </c>
      <c r="N1" s="32" t="s">
        <v>1160</v>
      </c>
      <c r="O1" s="32" t="s">
        <v>1161</v>
      </c>
      <c r="P1" s="32" t="s">
        <v>1162</v>
      </c>
      <c r="Q1" s="32" t="s">
        <v>1163</v>
      </c>
      <c r="R1" s="32" t="s">
        <v>1164</v>
      </c>
      <c r="S1" s="32" t="s">
        <v>1165</v>
      </c>
      <c r="T1" s="32" t="s">
        <v>1166</v>
      </c>
      <c r="U1" s="32" t="s">
        <v>1167</v>
      </c>
      <c r="V1" s="32" t="s">
        <v>1168</v>
      </c>
      <c r="W1" s="32" t="s">
        <v>1169</v>
      </c>
      <c r="X1" s="32" t="s">
        <v>1170</v>
      </c>
      <c r="Y1" s="32" t="s">
        <v>4</v>
      </c>
      <c r="Z1" s="32" t="s">
        <v>1171</v>
      </c>
      <c r="AA1" s="32" t="s">
        <v>1172</v>
      </c>
      <c r="AB1" s="32" t="s">
        <v>1173</v>
      </c>
      <c r="AC1" s="32" t="s">
        <v>1174</v>
      </c>
      <c r="AD1" s="32" t="s">
        <v>1175</v>
      </c>
      <c r="AE1" s="32" t="s">
        <v>1176</v>
      </c>
      <c r="AF1" s="32" t="s">
        <v>1177</v>
      </c>
      <c r="AG1" s="32" t="s">
        <v>1178</v>
      </c>
      <c r="AH1" s="32" t="s">
        <v>1179</v>
      </c>
      <c r="AI1" s="32" t="s">
        <v>1180</v>
      </c>
      <c r="AJ1" s="32" t="s">
        <v>1181</v>
      </c>
      <c r="AK1" s="32" t="s">
        <v>1182</v>
      </c>
      <c r="AL1" s="32" t="s">
        <v>1183</v>
      </c>
      <c r="AM1" s="32" t="s">
        <v>1184</v>
      </c>
      <c r="AN1" s="32" t="s">
        <v>1185</v>
      </c>
      <c r="AO1" s="32" t="s">
        <v>1186</v>
      </c>
      <c r="AP1" s="32" t="s">
        <v>1187</v>
      </c>
      <c r="AQ1" s="32" t="s">
        <v>1188</v>
      </c>
      <c r="AR1" s="32" t="s">
        <v>1189</v>
      </c>
      <c r="AS1" s="32" t="s">
        <v>1190</v>
      </c>
      <c r="AT1" s="32" t="s">
        <v>1191</v>
      </c>
      <c r="AU1" s="32" t="s">
        <v>1192</v>
      </c>
      <c r="AV1" s="32" t="s">
        <v>1193</v>
      </c>
      <c r="AW1" s="32" t="s">
        <v>1194</v>
      </c>
      <c r="AX1" s="32" t="s">
        <v>1195</v>
      </c>
      <c r="AY1" s="32" t="s">
        <v>1196</v>
      </c>
      <c r="AZ1" s="32" t="s">
        <v>1197</v>
      </c>
      <c r="BA1" s="32" t="s">
        <v>1198</v>
      </c>
      <c r="BB1" s="32" t="s">
        <v>1199</v>
      </c>
      <c r="BC1" s="32" t="s">
        <v>1200</v>
      </c>
      <c r="BD1" s="32" t="s">
        <v>1201</v>
      </c>
      <c r="BE1" s="32" t="s">
        <v>1202</v>
      </c>
      <c r="BF1" s="32" t="s">
        <v>1203</v>
      </c>
      <c r="BG1" s="32" t="s">
        <v>1204</v>
      </c>
      <c r="BH1" s="32" t="s">
        <v>1205</v>
      </c>
      <c r="BI1" s="32" t="s">
        <v>1206</v>
      </c>
      <c r="BJ1" s="32" t="s">
        <v>1207</v>
      </c>
      <c r="BK1" s="32" t="s">
        <v>1208</v>
      </c>
      <c r="BL1" s="32" t="s">
        <v>1209</v>
      </c>
      <c r="BM1" s="32" t="s">
        <v>1210</v>
      </c>
      <c r="BN1" s="32" t="s">
        <v>1211</v>
      </c>
      <c r="BO1" s="32" t="s">
        <v>1212</v>
      </c>
      <c r="BP1" s="32" t="s">
        <v>1213</v>
      </c>
      <c r="BQ1" s="32" t="s">
        <v>1214</v>
      </c>
      <c r="BR1" s="32" t="s">
        <v>1215</v>
      </c>
      <c r="BS1" s="32" t="s">
        <v>1216</v>
      </c>
      <c r="BT1" s="32" t="s">
        <v>1217</v>
      </c>
      <c r="BU1" s="32" t="s">
        <v>1218</v>
      </c>
      <c r="BV1" s="32" t="s">
        <v>1219</v>
      </c>
      <c r="BW1" s="32" t="s">
        <v>1220</v>
      </c>
      <c r="BY1" s="43" t="s">
        <v>5563</v>
      </c>
    </row>
    <row r="2" spans="1:77" x14ac:dyDescent="0.15">
      <c r="A2" s="33">
        <v>1</v>
      </c>
      <c r="B2" s="33" t="s">
        <v>1222</v>
      </c>
      <c r="C2" s="33" t="s">
        <v>1222</v>
      </c>
      <c r="D2" s="33" t="s">
        <v>1223</v>
      </c>
      <c r="E2" s="33" t="s">
        <v>1224</v>
      </c>
      <c r="F2" s="33" t="s">
        <v>1225</v>
      </c>
      <c r="G2" s="33" t="s">
        <v>1225</v>
      </c>
      <c r="H2" s="33" t="s">
        <v>1225</v>
      </c>
      <c r="I2" s="33" t="s">
        <v>105</v>
      </c>
      <c r="J2" s="33" t="s">
        <v>1225</v>
      </c>
      <c r="K2" s="33" t="s">
        <v>1225</v>
      </c>
      <c r="L2" s="33" t="s">
        <v>1226</v>
      </c>
      <c r="M2" s="33" t="s">
        <v>124</v>
      </c>
      <c r="N2" s="33" t="s">
        <v>1225</v>
      </c>
      <c r="O2" s="33" t="s">
        <v>1225</v>
      </c>
      <c r="P2" s="33" t="s">
        <v>1225</v>
      </c>
      <c r="Q2" s="33" t="s">
        <v>1227</v>
      </c>
      <c r="R2" s="33" t="s">
        <v>1225</v>
      </c>
      <c r="S2" s="33" t="s">
        <v>1225</v>
      </c>
      <c r="T2" s="33" t="s">
        <v>1225</v>
      </c>
      <c r="U2" s="33" t="s">
        <v>1225</v>
      </c>
      <c r="V2" s="33" t="s">
        <v>1225</v>
      </c>
      <c r="W2" s="33" t="s">
        <v>41</v>
      </c>
      <c r="X2" s="33" t="s">
        <v>1228</v>
      </c>
      <c r="Y2" s="33" t="s">
        <v>40</v>
      </c>
      <c r="Z2" s="33" t="s">
        <v>1225</v>
      </c>
      <c r="AA2" s="33" t="s">
        <v>1225</v>
      </c>
      <c r="AB2" s="33" t="s">
        <v>1225</v>
      </c>
      <c r="AC2" s="33" t="s">
        <v>1225</v>
      </c>
      <c r="AD2" s="33" t="s">
        <v>1225</v>
      </c>
      <c r="AE2" s="33" t="s">
        <v>1225</v>
      </c>
      <c r="AF2" s="33" t="s">
        <v>1225</v>
      </c>
      <c r="AG2" s="33" t="s">
        <v>1225</v>
      </c>
      <c r="AH2" s="33" t="s">
        <v>1225</v>
      </c>
      <c r="AI2" s="33" t="s">
        <v>1225</v>
      </c>
      <c r="AJ2" s="33" t="s">
        <v>1225</v>
      </c>
      <c r="AK2" s="33" t="s">
        <v>1225</v>
      </c>
      <c r="AL2" s="33" t="s">
        <v>1225</v>
      </c>
      <c r="AM2" s="33" t="s">
        <v>1225</v>
      </c>
      <c r="AN2" s="33" t="s">
        <v>1225</v>
      </c>
      <c r="AO2" s="33" t="s">
        <v>1225</v>
      </c>
      <c r="AP2" s="33" t="s">
        <v>1225</v>
      </c>
      <c r="AQ2" s="33" t="s">
        <v>1225</v>
      </c>
      <c r="AR2" s="33" t="s">
        <v>1225</v>
      </c>
      <c r="AS2" s="33" t="s">
        <v>1225</v>
      </c>
      <c r="AT2" s="33" t="s">
        <v>1225</v>
      </c>
      <c r="AU2" s="33" t="s">
        <v>1225</v>
      </c>
      <c r="AV2" s="33" t="s">
        <v>1225</v>
      </c>
      <c r="AW2" s="33" t="s">
        <v>1229</v>
      </c>
      <c r="AX2" s="33">
        <v>2015</v>
      </c>
      <c r="AY2" s="33">
        <v>6</v>
      </c>
      <c r="AZ2" s="33">
        <v>6</v>
      </c>
      <c r="BA2" s="33" t="s">
        <v>1225</v>
      </c>
      <c r="BB2" s="33" t="s">
        <v>1225</v>
      </c>
      <c r="BC2" s="33" t="s">
        <v>1225</v>
      </c>
      <c r="BD2" s="33" t="s">
        <v>1225</v>
      </c>
      <c r="BE2" s="33">
        <v>2942</v>
      </c>
      <c r="BF2" s="33">
        <v>2953</v>
      </c>
      <c r="BG2" s="33" t="s">
        <v>1225</v>
      </c>
      <c r="BH2" s="33" t="s">
        <v>1230</v>
      </c>
      <c r="BI2" s="33" t="str">
        <f>HYPERLINK("http://dx.doi.org/10.1109/TSG.2015.2403287","http://dx.doi.org/10.1109/TSG.2015.2403287")</f>
        <v>http://dx.doi.org/10.1109/TSG.2015.2403287</v>
      </c>
      <c r="BJ2" s="33" t="s">
        <v>1225</v>
      </c>
      <c r="BK2" s="33" t="s">
        <v>1225</v>
      </c>
      <c r="BL2" s="33" t="s">
        <v>1225</v>
      </c>
      <c r="BM2" s="33" t="s">
        <v>1225</v>
      </c>
      <c r="BN2" s="33" t="s">
        <v>1225</v>
      </c>
      <c r="BO2" s="33" t="s">
        <v>1225</v>
      </c>
      <c r="BP2" s="33" t="s">
        <v>1225</v>
      </c>
      <c r="BQ2" s="33" t="s">
        <v>1225</v>
      </c>
      <c r="BR2" s="33" t="s">
        <v>1225</v>
      </c>
      <c r="BS2" s="33" t="s">
        <v>1225</v>
      </c>
      <c r="BT2" s="33" t="s">
        <v>1225</v>
      </c>
      <c r="BU2" s="33" t="s">
        <v>1225</v>
      </c>
      <c r="BV2" s="33" t="s">
        <v>1225</v>
      </c>
      <c r="BW2" s="33" t="str">
        <f t="shared" ref="BW2:BW65" si="0">HYPERLINK("https%3A%2F%2Fwww.webofscience.com%2Fwos%2Fwoscc%2Ffull-record%2F","View Full Record in Web of Science")</f>
        <v>View Full Record in Web of Science</v>
      </c>
      <c r="BX2" s="33"/>
      <c r="BY2" s="41" t="str">
        <f>IF(Deletion!J2=TRUE,"Yes","No")</f>
        <v>Yes</v>
      </c>
    </row>
    <row r="3" spans="1:77" x14ac:dyDescent="0.15">
      <c r="A3" s="34">
        <v>2</v>
      </c>
      <c r="B3" s="35" t="s">
        <v>1231</v>
      </c>
      <c r="C3" s="35" t="s">
        <v>1232</v>
      </c>
      <c r="D3" s="34" t="s">
        <v>1223</v>
      </c>
      <c r="E3" s="34" t="s">
        <v>1233</v>
      </c>
      <c r="F3" s="34" t="s">
        <v>1225</v>
      </c>
      <c r="G3" s="34" t="s">
        <v>1225</v>
      </c>
      <c r="H3" s="34" t="s">
        <v>1225</v>
      </c>
      <c r="I3" s="34" t="s">
        <v>1234</v>
      </c>
      <c r="J3" s="34" t="s">
        <v>1225</v>
      </c>
      <c r="K3" s="34" t="s">
        <v>1225</v>
      </c>
      <c r="L3" s="34" t="s">
        <v>1235</v>
      </c>
      <c r="M3" s="34" t="s">
        <v>124</v>
      </c>
      <c r="N3" s="34" t="s">
        <v>1225</v>
      </c>
      <c r="O3" s="34" t="s">
        <v>1225</v>
      </c>
      <c r="P3" s="34" t="s">
        <v>1225</v>
      </c>
      <c r="Q3" s="34" t="s">
        <v>1227</v>
      </c>
      <c r="R3" s="34" t="s">
        <v>1225</v>
      </c>
      <c r="S3" s="34" t="s">
        <v>1225</v>
      </c>
      <c r="T3" s="34" t="s">
        <v>1225</v>
      </c>
      <c r="U3" s="34" t="s">
        <v>1225</v>
      </c>
      <c r="V3" s="34" t="s">
        <v>1225</v>
      </c>
      <c r="W3" s="34" t="s">
        <v>1236</v>
      </c>
      <c r="X3" s="34" t="s">
        <v>1237</v>
      </c>
      <c r="Y3" s="34" t="s">
        <v>1238</v>
      </c>
      <c r="Z3" s="34" t="s">
        <v>1225</v>
      </c>
      <c r="AA3" s="34" t="s">
        <v>1225</v>
      </c>
      <c r="AB3" s="34" t="s">
        <v>1225</v>
      </c>
      <c r="AC3" s="34" t="s">
        <v>1225</v>
      </c>
      <c r="AD3" s="34" t="s">
        <v>1225</v>
      </c>
      <c r="AE3" s="34" t="s">
        <v>1225</v>
      </c>
      <c r="AF3" s="34" t="s">
        <v>1225</v>
      </c>
      <c r="AG3" s="34" t="s">
        <v>1225</v>
      </c>
      <c r="AH3" s="34" t="s">
        <v>1225</v>
      </c>
      <c r="AI3" s="34" t="s">
        <v>1225</v>
      </c>
      <c r="AJ3" s="34" t="s">
        <v>1225</v>
      </c>
      <c r="AK3" s="34" t="s">
        <v>1225</v>
      </c>
      <c r="AL3" s="34" t="s">
        <v>1225</v>
      </c>
      <c r="AM3" s="34" t="s">
        <v>1225</v>
      </c>
      <c r="AN3" s="34" t="s">
        <v>1225</v>
      </c>
      <c r="AO3" s="34" t="s">
        <v>1225</v>
      </c>
      <c r="AP3" s="34" t="s">
        <v>1225</v>
      </c>
      <c r="AQ3" s="34" t="s">
        <v>1225</v>
      </c>
      <c r="AR3" s="34" t="s">
        <v>1225</v>
      </c>
      <c r="AS3" s="34" t="s">
        <v>1225</v>
      </c>
      <c r="AT3" s="34" t="s">
        <v>1225</v>
      </c>
      <c r="AU3" s="34" t="s">
        <v>1225</v>
      </c>
      <c r="AV3" s="34" t="s">
        <v>1225</v>
      </c>
      <c r="AW3" s="34" t="s">
        <v>1239</v>
      </c>
      <c r="AX3" s="34">
        <v>2014</v>
      </c>
      <c r="AY3" s="34">
        <v>5</v>
      </c>
      <c r="AZ3" s="34">
        <v>4</v>
      </c>
      <c r="BA3" s="34" t="s">
        <v>1225</v>
      </c>
      <c r="BB3" s="34" t="s">
        <v>1225</v>
      </c>
      <c r="BC3" s="34" t="s">
        <v>1225</v>
      </c>
      <c r="BD3" s="34" t="s">
        <v>1225</v>
      </c>
      <c r="BE3" s="34">
        <v>1815</v>
      </c>
      <c r="BF3" s="34">
        <v>1822</v>
      </c>
      <c r="BG3" s="34" t="s">
        <v>1225</v>
      </c>
      <c r="BH3" s="34" t="s">
        <v>1240</v>
      </c>
      <c r="BI3" s="34" t="str">
        <f>HYPERLINK("http://dx.doi.org/10.1109/TSG.2014.2307897","http://dx.doi.org/10.1109/TSG.2014.2307897")</f>
        <v>http://dx.doi.org/10.1109/TSG.2014.2307897</v>
      </c>
      <c r="BJ3" s="34" t="s">
        <v>1225</v>
      </c>
      <c r="BK3" s="34" t="s">
        <v>1225</v>
      </c>
      <c r="BL3" s="34" t="s">
        <v>1225</v>
      </c>
      <c r="BM3" s="34" t="s">
        <v>1225</v>
      </c>
      <c r="BN3" s="34" t="s">
        <v>1225</v>
      </c>
      <c r="BO3" s="34" t="s">
        <v>1225</v>
      </c>
      <c r="BP3" s="34" t="s">
        <v>1225</v>
      </c>
      <c r="BQ3" s="34" t="s">
        <v>1225</v>
      </c>
      <c r="BR3" s="34" t="s">
        <v>1225</v>
      </c>
      <c r="BS3" s="34" t="s">
        <v>1225</v>
      </c>
      <c r="BT3" s="34" t="s">
        <v>1225</v>
      </c>
      <c r="BU3" s="34" t="s">
        <v>1225</v>
      </c>
      <c r="BV3" s="34" t="s">
        <v>1225</v>
      </c>
      <c r="BW3" s="34" t="str">
        <f t="shared" si="0"/>
        <v>View Full Record in Web of Science</v>
      </c>
      <c r="BX3" s="34"/>
      <c r="BY3" s="41" t="str">
        <f>IF(Deletion!J3=TRUE,"Yes","No")</f>
        <v>Yes</v>
      </c>
    </row>
    <row r="4" spans="1:77" x14ac:dyDescent="0.15">
      <c r="A4" s="36">
        <f>A3+1</f>
        <v>3</v>
      </c>
      <c r="B4" s="36" t="s">
        <v>1241</v>
      </c>
      <c r="C4" s="36" t="s">
        <v>1241</v>
      </c>
      <c r="D4" s="36" t="s">
        <v>1223</v>
      </c>
      <c r="E4" s="36" t="s">
        <v>1242</v>
      </c>
      <c r="F4" s="36" t="s">
        <v>1225</v>
      </c>
      <c r="G4" s="36" t="s">
        <v>1225</v>
      </c>
      <c r="H4" s="36" t="s">
        <v>1225</v>
      </c>
      <c r="I4" s="36" t="s">
        <v>1243</v>
      </c>
      <c r="J4" s="36" t="s">
        <v>1225</v>
      </c>
      <c r="K4" s="36" t="s">
        <v>1225</v>
      </c>
      <c r="L4" s="36" t="s">
        <v>1244</v>
      </c>
      <c r="M4" s="36" t="s">
        <v>422</v>
      </c>
      <c r="N4" s="36" t="s">
        <v>1225</v>
      </c>
      <c r="O4" s="36" t="s">
        <v>1225</v>
      </c>
      <c r="P4" s="36" t="s">
        <v>1225</v>
      </c>
      <c r="Q4" s="36" t="s">
        <v>1227</v>
      </c>
      <c r="R4" s="36" t="s">
        <v>1225</v>
      </c>
      <c r="S4" s="36" t="s">
        <v>1225</v>
      </c>
      <c r="T4" s="36" t="s">
        <v>1225</v>
      </c>
      <c r="U4" s="36" t="s">
        <v>1225</v>
      </c>
      <c r="V4" s="36" t="s">
        <v>1225</v>
      </c>
      <c r="W4" s="36" t="s">
        <v>1245</v>
      </c>
      <c r="X4" s="36" t="s">
        <v>1246</v>
      </c>
      <c r="Y4" s="36" t="s">
        <v>1247</v>
      </c>
      <c r="Z4" s="36" t="s">
        <v>1225</v>
      </c>
      <c r="AA4" s="36" t="s">
        <v>1225</v>
      </c>
      <c r="AB4" s="36" t="s">
        <v>1225</v>
      </c>
      <c r="AC4" s="36" t="s">
        <v>1225</v>
      </c>
      <c r="AD4" s="36" t="s">
        <v>1225</v>
      </c>
      <c r="AE4" s="36" t="s">
        <v>1225</v>
      </c>
      <c r="AF4" s="36" t="s">
        <v>1225</v>
      </c>
      <c r="AG4" s="36" t="s">
        <v>1225</v>
      </c>
      <c r="AH4" s="36" t="s">
        <v>1225</v>
      </c>
      <c r="AI4" s="36" t="s">
        <v>1225</v>
      </c>
      <c r="AJ4" s="36" t="s">
        <v>1225</v>
      </c>
      <c r="AK4" s="36" t="s">
        <v>1225</v>
      </c>
      <c r="AL4" s="36" t="s">
        <v>1225</v>
      </c>
      <c r="AM4" s="36" t="s">
        <v>1225</v>
      </c>
      <c r="AN4" s="36" t="s">
        <v>1225</v>
      </c>
      <c r="AO4" s="36" t="s">
        <v>1225</v>
      </c>
      <c r="AP4" s="36" t="s">
        <v>1225</v>
      </c>
      <c r="AQ4" s="36" t="s">
        <v>1225</v>
      </c>
      <c r="AR4" s="36" t="s">
        <v>1225</v>
      </c>
      <c r="AS4" s="36" t="s">
        <v>1225</v>
      </c>
      <c r="AT4" s="36" t="s">
        <v>1225</v>
      </c>
      <c r="AU4" s="36" t="s">
        <v>1225</v>
      </c>
      <c r="AV4" s="36" t="s">
        <v>1225</v>
      </c>
      <c r="AW4" s="36" t="s">
        <v>1229</v>
      </c>
      <c r="AX4" s="36">
        <v>2021</v>
      </c>
      <c r="AY4" s="36">
        <v>14</v>
      </c>
      <c r="AZ4" s="36">
        <v>21</v>
      </c>
      <c r="BA4" s="36" t="s">
        <v>1225</v>
      </c>
      <c r="BB4" s="36" t="s">
        <v>1225</v>
      </c>
      <c r="BC4" s="36" t="s">
        <v>1225</v>
      </c>
      <c r="BD4" s="36" t="s">
        <v>1225</v>
      </c>
      <c r="BE4" s="36" t="s">
        <v>1225</v>
      </c>
      <c r="BF4" s="36" t="s">
        <v>1225</v>
      </c>
      <c r="BG4" s="36">
        <v>7144</v>
      </c>
      <c r="BH4" s="36" t="s">
        <v>1248</v>
      </c>
      <c r="BI4" s="36" t="str">
        <f>HYPERLINK("http://dx.doi.org/10.3390/en14217144","http://dx.doi.org/10.3390/en14217144")</f>
        <v>http://dx.doi.org/10.3390/en14217144</v>
      </c>
      <c r="BJ4" s="36" t="s">
        <v>1225</v>
      </c>
      <c r="BK4" s="36" t="s">
        <v>1225</v>
      </c>
      <c r="BL4" s="36" t="s">
        <v>1225</v>
      </c>
      <c r="BM4" s="36" t="s">
        <v>1225</v>
      </c>
      <c r="BN4" s="36" t="s">
        <v>1225</v>
      </c>
      <c r="BO4" s="36" t="s">
        <v>1225</v>
      </c>
      <c r="BP4" s="36" t="s">
        <v>1225</v>
      </c>
      <c r="BQ4" s="36" t="s">
        <v>1225</v>
      </c>
      <c r="BR4" s="36" t="s">
        <v>1225</v>
      </c>
      <c r="BS4" s="36" t="s">
        <v>1225</v>
      </c>
      <c r="BT4" s="36" t="s">
        <v>1225</v>
      </c>
      <c r="BU4" s="36" t="s">
        <v>1225</v>
      </c>
      <c r="BV4" s="36" t="s">
        <v>1225</v>
      </c>
      <c r="BW4" s="36" t="str">
        <f t="shared" si="0"/>
        <v>View Full Record in Web of Science</v>
      </c>
      <c r="BX4" s="36"/>
      <c r="BY4" s="41" t="str">
        <f>IF(Deletion!J4=TRUE,"Yes","No")</f>
        <v>Yes</v>
      </c>
    </row>
    <row r="5" spans="1:77" x14ac:dyDescent="0.15">
      <c r="A5" s="33">
        <f t="shared" ref="A5:A68" si="1">A4+1</f>
        <v>4</v>
      </c>
      <c r="B5" s="33" t="s">
        <v>1222</v>
      </c>
      <c r="C5" s="33" t="s">
        <v>1222</v>
      </c>
      <c r="D5" s="33" t="s">
        <v>1223</v>
      </c>
      <c r="E5" s="33" t="s">
        <v>1249</v>
      </c>
      <c r="F5" s="33" t="s">
        <v>1225</v>
      </c>
      <c r="G5" s="33" t="s">
        <v>1225</v>
      </c>
      <c r="H5" s="33" t="s">
        <v>1225</v>
      </c>
      <c r="I5" s="33" t="s">
        <v>107</v>
      </c>
      <c r="J5" s="33" t="s">
        <v>1225</v>
      </c>
      <c r="K5" s="33" t="s">
        <v>1225</v>
      </c>
      <c r="L5" s="33" t="s">
        <v>44</v>
      </c>
      <c r="M5" s="33" t="s">
        <v>502</v>
      </c>
      <c r="N5" s="33" t="s">
        <v>1225</v>
      </c>
      <c r="O5" s="33" t="s">
        <v>1225</v>
      </c>
      <c r="P5" s="33" t="s">
        <v>1225</v>
      </c>
      <c r="Q5" s="33" t="s">
        <v>1227</v>
      </c>
      <c r="R5" s="33" t="s">
        <v>1225</v>
      </c>
      <c r="S5" s="33" t="s">
        <v>1225</v>
      </c>
      <c r="T5" s="33" t="s">
        <v>1225</v>
      </c>
      <c r="U5" s="33" t="s">
        <v>1225</v>
      </c>
      <c r="V5" s="33" t="s">
        <v>1225</v>
      </c>
      <c r="W5" s="33" t="s">
        <v>46</v>
      </c>
      <c r="X5" s="33" t="s">
        <v>1225</v>
      </c>
      <c r="Y5" s="33" t="s">
        <v>1250</v>
      </c>
      <c r="Z5" s="33" t="s">
        <v>1225</v>
      </c>
      <c r="AA5" s="33" t="s">
        <v>1225</v>
      </c>
      <c r="AB5" s="33" t="s">
        <v>1225</v>
      </c>
      <c r="AC5" s="33" t="s">
        <v>1225</v>
      </c>
      <c r="AD5" s="33" t="s">
        <v>1225</v>
      </c>
      <c r="AE5" s="33" t="s">
        <v>1225</v>
      </c>
      <c r="AF5" s="33" t="s">
        <v>1225</v>
      </c>
      <c r="AG5" s="33" t="s">
        <v>1225</v>
      </c>
      <c r="AH5" s="33" t="s">
        <v>1225</v>
      </c>
      <c r="AI5" s="33" t="s">
        <v>1225</v>
      </c>
      <c r="AJ5" s="33" t="s">
        <v>1225</v>
      </c>
      <c r="AK5" s="33" t="s">
        <v>1225</v>
      </c>
      <c r="AL5" s="33" t="s">
        <v>1225</v>
      </c>
      <c r="AM5" s="33" t="s">
        <v>1225</v>
      </c>
      <c r="AN5" s="33" t="s">
        <v>1225</v>
      </c>
      <c r="AO5" s="33" t="s">
        <v>1225</v>
      </c>
      <c r="AP5" s="33" t="s">
        <v>1225</v>
      </c>
      <c r="AQ5" s="33" t="s">
        <v>1225</v>
      </c>
      <c r="AR5" s="33" t="s">
        <v>1225</v>
      </c>
      <c r="AS5" s="33" t="s">
        <v>1225</v>
      </c>
      <c r="AT5" s="33" t="s">
        <v>1225</v>
      </c>
      <c r="AU5" s="33" t="s">
        <v>1225</v>
      </c>
      <c r="AV5" s="33" t="s">
        <v>1225</v>
      </c>
      <c r="AW5" s="33" t="s">
        <v>1251</v>
      </c>
      <c r="AX5" s="33">
        <v>2020</v>
      </c>
      <c r="AY5" s="33">
        <v>213</v>
      </c>
      <c r="AZ5" s="33" t="s">
        <v>1225</v>
      </c>
      <c r="BA5" s="33" t="s">
        <v>1225</v>
      </c>
      <c r="BB5" s="33" t="s">
        <v>1225</v>
      </c>
      <c r="BC5" s="33" t="s">
        <v>1225</v>
      </c>
      <c r="BD5" s="33" t="s">
        <v>1225</v>
      </c>
      <c r="BE5" s="33" t="s">
        <v>1225</v>
      </c>
      <c r="BF5" s="33" t="s">
        <v>1225</v>
      </c>
      <c r="BG5" s="33">
        <v>118882</v>
      </c>
      <c r="BH5" s="33" t="s">
        <v>1252</v>
      </c>
      <c r="BI5" s="33" t="str">
        <f>HYPERLINK("http://dx.doi.org/10.1016/j.energy.2020.118882","http://dx.doi.org/10.1016/j.energy.2020.118882")</f>
        <v>http://dx.doi.org/10.1016/j.energy.2020.118882</v>
      </c>
      <c r="BJ5" s="33" t="s">
        <v>1225</v>
      </c>
      <c r="BK5" s="33" t="s">
        <v>1225</v>
      </c>
      <c r="BL5" s="33" t="s">
        <v>1225</v>
      </c>
      <c r="BM5" s="33" t="s">
        <v>1225</v>
      </c>
      <c r="BN5" s="33" t="s">
        <v>1225</v>
      </c>
      <c r="BO5" s="33" t="s">
        <v>1225</v>
      </c>
      <c r="BP5" s="33" t="s">
        <v>1225</v>
      </c>
      <c r="BQ5" s="33" t="s">
        <v>1225</v>
      </c>
      <c r="BR5" s="33" t="s">
        <v>1225</v>
      </c>
      <c r="BS5" s="33" t="s">
        <v>1225</v>
      </c>
      <c r="BT5" s="33" t="s">
        <v>1225</v>
      </c>
      <c r="BU5" s="33" t="s">
        <v>1225</v>
      </c>
      <c r="BV5" s="33" t="s">
        <v>1225</v>
      </c>
      <c r="BW5" s="33" t="str">
        <f t="shared" si="0"/>
        <v>View Full Record in Web of Science</v>
      </c>
      <c r="BX5" s="33"/>
      <c r="BY5" s="41" t="str">
        <f>IF(Deletion!J5=TRUE,"Yes","No")</f>
        <v>Yes</v>
      </c>
    </row>
    <row r="6" spans="1:77" x14ac:dyDescent="0.15">
      <c r="A6" s="33">
        <f t="shared" si="1"/>
        <v>5</v>
      </c>
      <c r="B6" s="33" t="s">
        <v>1222</v>
      </c>
      <c r="C6" s="33" t="s">
        <v>1222</v>
      </c>
      <c r="D6" s="33" t="s">
        <v>1223</v>
      </c>
      <c r="E6" s="33" t="s">
        <v>1253</v>
      </c>
      <c r="F6" s="33" t="s">
        <v>1225</v>
      </c>
      <c r="G6" s="33" t="s">
        <v>1225</v>
      </c>
      <c r="H6" s="33" t="s">
        <v>1225</v>
      </c>
      <c r="I6" s="33" t="s">
        <v>111</v>
      </c>
      <c r="J6" s="33" t="s">
        <v>1225</v>
      </c>
      <c r="K6" s="33" t="s">
        <v>1225</v>
      </c>
      <c r="L6" s="33" t="s">
        <v>88</v>
      </c>
      <c r="M6" s="33" t="s">
        <v>89</v>
      </c>
      <c r="N6" s="33" t="s">
        <v>1225</v>
      </c>
      <c r="O6" s="33" t="s">
        <v>1225</v>
      </c>
      <c r="P6" s="33" t="s">
        <v>1225</v>
      </c>
      <c r="Q6" s="33" t="s">
        <v>1227</v>
      </c>
      <c r="R6" s="33" t="s">
        <v>1225</v>
      </c>
      <c r="S6" s="33" t="s">
        <v>1225</v>
      </c>
      <c r="T6" s="33" t="s">
        <v>1225</v>
      </c>
      <c r="U6" s="33" t="s">
        <v>1225</v>
      </c>
      <c r="V6" s="33" t="s">
        <v>1225</v>
      </c>
      <c r="W6" s="33" t="s">
        <v>90</v>
      </c>
      <c r="X6" s="33" t="s">
        <v>1254</v>
      </c>
      <c r="Y6" s="33" t="s">
        <v>1255</v>
      </c>
      <c r="Z6" s="33" t="s">
        <v>1225</v>
      </c>
      <c r="AA6" s="33" t="s">
        <v>1225</v>
      </c>
      <c r="AB6" s="33" t="s">
        <v>1225</v>
      </c>
      <c r="AC6" s="33" t="s">
        <v>1225</v>
      </c>
      <c r="AD6" s="33" t="s">
        <v>1225</v>
      </c>
      <c r="AE6" s="33" t="s">
        <v>1225</v>
      </c>
      <c r="AF6" s="33" t="s">
        <v>1225</v>
      </c>
      <c r="AG6" s="33" t="s">
        <v>1225</v>
      </c>
      <c r="AH6" s="33" t="s">
        <v>1225</v>
      </c>
      <c r="AI6" s="33" t="s">
        <v>1225</v>
      </c>
      <c r="AJ6" s="33" t="s">
        <v>1225</v>
      </c>
      <c r="AK6" s="33" t="s">
        <v>1225</v>
      </c>
      <c r="AL6" s="33" t="s">
        <v>1225</v>
      </c>
      <c r="AM6" s="33" t="s">
        <v>1225</v>
      </c>
      <c r="AN6" s="33" t="s">
        <v>1225</v>
      </c>
      <c r="AO6" s="33" t="s">
        <v>1225</v>
      </c>
      <c r="AP6" s="33" t="s">
        <v>1225</v>
      </c>
      <c r="AQ6" s="33" t="s">
        <v>1225</v>
      </c>
      <c r="AR6" s="33" t="s">
        <v>1225</v>
      </c>
      <c r="AS6" s="33" t="s">
        <v>1225</v>
      </c>
      <c r="AT6" s="33" t="s">
        <v>1225</v>
      </c>
      <c r="AU6" s="33" t="s">
        <v>1225</v>
      </c>
      <c r="AV6" s="33" t="s">
        <v>1225</v>
      </c>
      <c r="AW6" s="33" t="s">
        <v>1256</v>
      </c>
      <c r="AX6" s="33">
        <v>2016</v>
      </c>
      <c r="AY6" s="33">
        <v>141</v>
      </c>
      <c r="AZ6" s="33" t="s">
        <v>1225</v>
      </c>
      <c r="BA6" s="33" t="s">
        <v>1225</v>
      </c>
      <c r="BB6" s="33" t="s">
        <v>1225</v>
      </c>
      <c r="BC6" s="33" t="s">
        <v>1225</v>
      </c>
      <c r="BD6" s="33" t="s">
        <v>1225</v>
      </c>
      <c r="BE6" s="33">
        <v>407</v>
      </c>
      <c r="BF6" s="33">
        <v>420</v>
      </c>
      <c r="BG6" s="33" t="s">
        <v>1225</v>
      </c>
      <c r="BH6" s="33" t="s">
        <v>1257</v>
      </c>
      <c r="BI6" s="33" t="str">
        <f>HYPERLINK("http://dx.doi.org/10.1016/j.epsr.2016.08.017","http://dx.doi.org/10.1016/j.epsr.2016.08.017")</f>
        <v>http://dx.doi.org/10.1016/j.epsr.2016.08.017</v>
      </c>
      <c r="BJ6" s="33" t="s">
        <v>1225</v>
      </c>
      <c r="BK6" s="33" t="s">
        <v>1225</v>
      </c>
      <c r="BL6" s="33" t="s">
        <v>1225</v>
      </c>
      <c r="BM6" s="33" t="s">
        <v>1225</v>
      </c>
      <c r="BN6" s="33" t="s">
        <v>1225</v>
      </c>
      <c r="BO6" s="33" t="s">
        <v>1225</v>
      </c>
      <c r="BP6" s="33" t="s">
        <v>1225</v>
      </c>
      <c r="BQ6" s="33" t="s">
        <v>1225</v>
      </c>
      <c r="BR6" s="33" t="s">
        <v>1225</v>
      </c>
      <c r="BS6" s="33" t="s">
        <v>1225</v>
      </c>
      <c r="BT6" s="33" t="s">
        <v>1225</v>
      </c>
      <c r="BU6" s="33" t="s">
        <v>1225</v>
      </c>
      <c r="BV6" s="33" t="s">
        <v>1225</v>
      </c>
      <c r="BW6" s="33" t="str">
        <f t="shared" si="0"/>
        <v>View Full Record in Web of Science</v>
      </c>
      <c r="BX6" s="33"/>
      <c r="BY6" s="41" t="str">
        <f>IF(Deletion!J6=TRUE,"Yes","No")</f>
        <v>Yes</v>
      </c>
    </row>
    <row r="7" spans="1:77" x14ac:dyDescent="0.15">
      <c r="A7" s="33">
        <f t="shared" si="1"/>
        <v>6</v>
      </c>
      <c r="B7" s="33" t="s">
        <v>1222</v>
      </c>
      <c r="C7" s="33" t="s">
        <v>1222</v>
      </c>
      <c r="D7" s="33" t="s">
        <v>1223</v>
      </c>
      <c r="E7" s="33" t="s">
        <v>1258</v>
      </c>
      <c r="F7" s="33" t="s">
        <v>1225</v>
      </c>
      <c r="G7" s="33" t="s">
        <v>1225</v>
      </c>
      <c r="H7" s="33" t="s">
        <v>1225</v>
      </c>
      <c r="I7" s="33" t="s">
        <v>110</v>
      </c>
      <c r="J7" s="33" t="s">
        <v>1225</v>
      </c>
      <c r="K7" s="33" t="s">
        <v>1225</v>
      </c>
      <c r="L7" s="33" t="s">
        <v>67</v>
      </c>
      <c r="M7" s="33" t="s">
        <v>68</v>
      </c>
      <c r="N7" s="33" t="s">
        <v>1225</v>
      </c>
      <c r="O7" s="33" t="s">
        <v>1225</v>
      </c>
      <c r="P7" s="33" t="s">
        <v>1225</v>
      </c>
      <c r="Q7" s="33" t="s">
        <v>1227</v>
      </c>
      <c r="R7" s="33" t="s">
        <v>1225</v>
      </c>
      <c r="S7" s="33" t="s">
        <v>1225</v>
      </c>
      <c r="T7" s="33" t="s">
        <v>1225</v>
      </c>
      <c r="U7" s="33" t="s">
        <v>1225</v>
      </c>
      <c r="V7" s="33" t="s">
        <v>1225</v>
      </c>
      <c r="W7" s="33" t="s">
        <v>70</v>
      </c>
      <c r="X7" s="33" t="s">
        <v>1259</v>
      </c>
      <c r="Y7" s="33" t="s">
        <v>69</v>
      </c>
      <c r="Z7" s="33" t="s">
        <v>1225</v>
      </c>
      <c r="AA7" s="33" t="s">
        <v>1225</v>
      </c>
      <c r="AB7" s="33" t="s">
        <v>1225</v>
      </c>
      <c r="AC7" s="33" t="s">
        <v>1225</v>
      </c>
      <c r="AD7" s="33" t="s">
        <v>1225</v>
      </c>
      <c r="AE7" s="33" t="s">
        <v>1225</v>
      </c>
      <c r="AF7" s="33" t="s">
        <v>1225</v>
      </c>
      <c r="AG7" s="33" t="s">
        <v>1225</v>
      </c>
      <c r="AH7" s="33" t="s">
        <v>1225</v>
      </c>
      <c r="AI7" s="33" t="s">
        <v>1225</v>
      </c>
      <c r="AJ7" s="33" t="s">
        <v>1225</v>
      </c>
      <c r="AK7" s="33" t="s">
        <v>1225</v>
      </c>
      <c r="AL7" s="33" t="s">
        <v>1225</v>
      </c>
      <c r="AM7" s="33" t="s">
        <v>1225</v>
      </c>
      <c r="AN7" s="33" t="s">
        <v>1225</v>
      </c>
      <c r="AO7" s="33" t="s">
        <v>1225</v>
      </c>
      <c r="AP7" s="33" t="s">
        <v>1225</v>
      </c>
      <c r="AQ7" s="33" t="s">
        <v>1225</v>
      </c>
      <c r="AR7" s="33" t="s">
        <v>1225</v>
      </c>
      <c r="AS7" s="33" t="s">
        <v>1225</v>
      </c>
      <c r="AT7" s="33" t="s">
        <v>1225</v>
      </c>
      <c r="AU7" s="33" t="s">
        <v>1225</v>
      </c>
      <c r="AV7" s="33" t="s">
        <v>1225</v>
      </c>
      <c r="AW7" s="33" t="s">
        <v>1225</v>
      </c>
      <c r="AX7" s="33">
        <v>2021</v>
      </c>
      <c r="AY7" s="33">
        <v>9</v>
      </c>
      <c r="AZ7" s="33" t="s">
        <v>1225</v>
      </c>
      <c r="BA7" s="33" t="s">
        <v>1225</v>
      </c>
      <c r="BB7" s="33" t="s">
        <v>1225</v>
      </c>
      <c r="BC7" s="33" t="s">
        <v>1225</v>
      </c>
      <c r="BD7" s="33" t="s">
        <v>1225</v>
      </c>
      <c r="BE7" s="33">
        <v>153666</v>
      </c>
      <c r="BF7" s="33">
        <v>153677</v>
      </c>
      <c r="BG7" s="33" t="s">
        <v>1225</v>
      </c>
      <c r="BH7" s="33" t="s">
        <v>1260</v>
      </c>
      <c r="BI7" s="33" t="str">
        <f>HYPERLINK("http://dx.doi.org/10.1109/ACCESS.2021.3128399","http://dx.doi.org/10.1109/ACCESS.2021.3128399")</f>
        <v>http://dx.doi.org/10.1109/ACCESS.2021.3128399</v>
      </c>
      <c r="BJ7" s="33" t="s">
        <v>1225</v>
      </c>
      <c r="BK7" s="33" t="s">
        <v>1225</v>
      </c>
      <c r="BL7" s="33" t="s">
        <v>1225</v>
      </c>
      <c r="BM7" s="33" t="s">
        <v>1225</v>
      </c>
      <c r="BN7" s="33" t="s">
        <v>1225</v>
      </c>
      <c r="BO7" s="33" t="s">
        <v>1225</v>
      </c>
      <c r="BP7" s="33" t="s">
        <v>1225</v>
      </c>
      <c r="BQ7" s="33" t="s">
        <v>1225</v>
      </c>
      <c r="BR7" s="33" t="s">
        <v>1225</v>
      </c>
      <c r="BS7" s="33" t="s">
        <v>1225</v>
      </c>
      <c r="BT7" s="33" t="s">
        <v>1225</v>
      </c>
      <c r="BU7" s="33" t="s">
        <v>1225</v>
      </c>
      <c r="BV7" s="33" t="s">
        <v>1225</v>
      </c>
      <c r="BW7" s="33" t="str">
        <f t="shared" si="0"/>
        <v>View Full Record in Web of Science</v>
      </c>
      <c r="BX7" s="33"/>
      <c r="BY7" s="41" t="str">
        <f>IF(Deletion!J7=TRUE,"Yes","No")</f>
        <v>Yes</v>
      </c>
    </row>
    <row r="8" spans="1:77" x14ac:dyDescent="0.15">
      <c r="A8" s="33">
        <f t="shared" si="1"/>
        <v>7</v>
      </c>
      <c r="B8" s="33" t="s">
        <v>1222</v>
      </c>
      <c r="C8" s="33" t="s">
        <v>1222</v>
      </c>
      <c r="D8" s="33" t="s">
        <v>1223</v>
      </c>
      <c r="E8" s="33" t="s">
        <v>1261</v>
      </c>
      <c r="F8" s="33" t="s">
        <v>1225</v>
      </c>
      <c r="G8" s="33" t="s">
        <v>1225</v>
      </c>
      <c r="H8" s="33" t="s">
        <v>1225</v>
      </c>
      <c r="I8" s="33" t="s">
        <v>109</v>
      </c>
      <c r="J8" s="33" t="s">
        <v>1225</v>
      </c>
      <c r="K8" s="33" t="s">
        <v>1225</v>
      </c>
      <c r="L8" s="33" t="s">
        <v>96</v>
      </c>
      <c r="M8" s="33" t="s">
        <v>97</v>
      </c>
      <c r="N8" s="33" t="s">
        <v>1225</v>
      </c>
      <c r="O8" s="33" t="s">
        <v>1225</v>
      </c>
      <c r="P8" s="33" t="s">
        <v>1225</v>
      </c>
      <c r="Q8" s="33" t="s">
        <v>1227</v>
      </c>
      <c r="R8" s="33" t="s">
        <v>1225</v>
      </c>
      <c r="S8" s="33" t="s">
        <v>1225</v>
      </c>
      <c r="T8" s="33" t="s">
        <v>1225</v>
      </c>
      <c r="U8" s="33" t="s">
        <v>1225</v>
      </c>
      <c r="V8" s="33" t="s">
        <v>1225</v>
      </c>
      <c r="W8" s="33" t="s">
        <v>99</v>
      </c>
      <c r="X8" s="33" t="s">
        <v>1262</v>
      </c>
      <c r="Y8" s="33" t="s">
        <v>98</v>
      </c>
      <c r="Z8" s="33" t="s">
        <v>1225</v>
      </c>
      <c r="AA8" s="33" t="s">
        <v>1225</v>
      </c>
      <c r="AB8" s="33" t="s">
        <v>1225</v>
      </c>
      <c r="AC8" s="33" t="s">
        <v>1225</v>
      </c>
      <c r="AD8" s="33" t="s">
        <v>1225</v>
      </c>
      <c r="AE8" s="33" t="s">
        <v>1225</v>
      </c>
      <c r="AF8" s="33" t="s">
        <v>1225</v>
      </c>
      <c r="AG8" s="33" t="s">
        <v>1225</v>
      </c>
      <c r="AH8" s="33" t="s">
        <v>1225</v>
      </c>
      <c r="AI8" s="33" t="s">
        <v>1225</v>
      </c>
      <c r="AJ8" s="33" t="s">
        <v>1225</v>
      </c>
      <c r="AK8" s="33" t="s">
        <v>1225</v>
      </c>
      <c r="AL8" s="33" t="s">
        <v>1225</v>
      </c>
      <c r="AM8" s="33" t="s">
        <v>1225</v>
      </c>
      <c r="AN8" s="33" t="s">
        <v>1225</v>
      </c>
      <c r="AO8" s="33" t="s">
        <v>1225</v>
      </c>
      <c r="AP8" s="33" t="s">
        <v>1225</v>
      </c>
      <c r="AQ8" s="33" t="s">
        <v>1225</v>
      </c>
      <c r="AR8" s="33" t="s">
        <v>1225</v>
      </c>
      <c r="AS8" s="33" t="s">
        <v>1225</v>
      </c>
      <c r="AT8" s="33" t="s">
        <v>1225</v>
      </c>
      <c r="AU8" s="33" t="s">
        <v>1225</v>
      </c>
      <c r="AV8" s="33" t="s">
        <v>1225</v>
      </c>
      <c r="AW8" s="33" t="s">
        <v>1263</v>
      </c>
      <c r="AX8" s="33">
        <v>2018</v>
      </c>
      <c r="AY8" s="33">
        <v>217</v>
      </c>
      <c r="AZ8" s="33" t="s">
        <v>1225</v>
      </c>
      <c r="BA8" s="33" t="s">
        <v>1225</v>
      </c>
      <c r="BB8" s="33" t="s">
        <v>1225</v>
      </c>
      <c r="BC8" s="33" t="s">
        <v>1225</v>
      </c>
      <c r="BD8" s="33" t="s">
        <v>1225</v>
      </c>
      <c r="BE8" s="33">
        <v>1</v>
      </c>
      <c r="BF8" s="33">
        <v>13</v>
      </c>
      <c r="BG8" s="33" t="s">
        <v>1225</v>
      </c>
      <c r="BH8" s="33" t="s">
        <v>1264</v>
      </c>
      <c r="BI8" s="33" t="str">
        <f>HYPERLINK("http://dx.doi.org/10.1016/j.apenergy.2018.02.084","http://dx.doi.org/10.1016/j.apenergy.2018.02.084")</f>
        <v>http://dx.doi.org/10.1016/j.apenergy.2018.02.084</v>
      </c>
      <c r="BJ8" s="33" t="s">
        <v>1225</v>
      </c>
      <c r="BK8" s="33" t="s">
        <v>1225</v>
      </c>
      <c r="BL8" s="33" t="s">
        <v>1225</v>
      </c>
      <c r="BM8" s="33" t="s">
        <v>1225</v>
      </c>
      <c r="BN8" s="33" t="s">
        <v>1225</v>
      </c>
      <c r="BO8" s="33" t="s">
        <v>1225</v>
      </c>
      <c r="BP8" s="33" t="s">
        <v>1225</v>
      </c>
      <c r="BQ8" s="33" t="s">
        <v>1225</v>
      </c>
      <c r="BR8" s="33" t="s">
        <v>1225</v>
      </c>
      <c r="BS8" s="33" t="s">
        <v>1225</v>
      </c>
      <c r="BT8" s="33" t="s">
        <v>1225</v>
      </c>
      <c r="BU8" s="33" t="s">
        <v>1225</v>
      </c>
      <c r="BV8" s="33" t="s">
        <v>1225</v>
      </c>
      <c r="BW8" s="33" t="str">
        <f t="shared" si="0"/>
        <v>View Full Record in Web of Science</v>
      </c>
      <c r="BX8" s="33"/>
      <c r="BY8" s="41" t="str">
        <f>IF(Deletion!J8=TRUE,"Yes","No")</f>
        <v>Yes</v>
      </c>
    </row>
    <row r="9" spans="1:77" x14ac:dyDescent="0.15">
      <c r="A9" s="33">
        <f t="shared" si="1"/>
        <v>8</v>
      </c>
      <c r="B9" s="33" t="s">
        <v>1222</v>
      </c>
      <c r="C9" s="33" t="s">
        <v>1222</v>
      </c>
      <c r="D9" s="33" t="s">
        <v>1223</v>
      </c>
      <c r="E9" s="33" t="s">
        <v>1265</v>
      </c>
      <c r="F9" s="33" t="s">
        <v>1225</v>
      </c>
      <c r="G9" s="33" t="s">
        <v>1225</v>
      </c>
      <c r="H9" s="33" t="s">
        <v>1225</v>
      </c>
      <c r="I9" s="33" t="s">
        <v>108</v>
      </c>
      <c r="J9" s="33" t="s">
        <v>1225</v>
      </c>
      <c r="K9" s="33" t="s">
        <v>1225</v>
      </c>
      <c r="L9" s="33" t="s">
        <v>55</v>
      </c>
      <c r="M9" s="33" t="s">
        <v>97</v>
      </c>
      <c r="N9" s="33" t="s">
        <v>1225</v>
      </c>
      <c r="O9" s="33" t="s">
        <v>1225</v>
      </c>
      <c r="P9" s="33" t="s">
        <v>1225</v>
      </c>
      <c r="Q9" s="33" t="s">
        <v>1227</v>
      </c>
      <c r="R9" s="33" t="s">
        <v>1225</v>
      </c>
      <c r="S9" s="33" t="s">
        <v>1225</v>
      </c>
      <c r="T9" s="33" t="s">
        <v>1225</v>
      </c>
      <c r="U9" s="33" t="s">
        <v>1225</v>
      </c>
      <c r="V9" s="33" t="s">
        <v>1225</v>
      </c>
      <c r="W9" s="33" t="s">
        <v>56</v>
      </c>
      <c r="X9" s="33" t="s">
        <v>1266</v>
      </c>
      <c r="Y9" s="33" t="s">
        <v>1267</v>
      </c>
      <c r="Z9" s="33" t="s">
        <v>1225</v>
      </c>
      <c r="AA9" s="33" t="s">
        <v>1225</v>
      </c>
      <c r="AB9" s="33" t="s">
        <v>1225</v>
      </c>
      <c r="AC9" s="33" t="s">
        <v>1225</v>
      </c>
      <c r="AD9" s="33" t="s">
        <v>1225</v>
      </c>
      <c r="AE9" s="33" t="s">
        <v>1225</v>
      </c>
      <c r="AF9" s="33" t="s">
        <v>1225</v>
      </c>
      <c r="AG9" s="33" t="s">
        <v>1225</v>
      </c>
      <c r="AH9" s="33" t="s">
        <v>1225</v>
      </c>
      <c r="AI9" s="33" t="s">
        <v>1225</v>
      </c>
      <c r="AJ9" s="33" t="s">
        <v>1225</v>
      </c>
      <c r="AK9" s="33" t="s">
        <v>1225</v>
      </c>
      <c r="AL9" s="33" t="s">
        <v>1225</v>
      </c>
      <c r="AM9" s="33" t="s">
        <v>1225</v>
      </c>
      <c r="AN9" s="33" t="s">
        <v>1225</v>
      </c>
      <c r="AO9" s="33" t="s">
        <v>1225</v>
      </c>
      <c r="AP9" s="33" t="s">
        <v>1225</v>
      </c>
      <c r="AQ9" s="33" t="s">
        <v>1225</v>
      </c>
      <c r="AR9" s="33" t="s">
        <v>1225</v>
      </c>
      <c r="AS9" s="33" t="s">
        <v>1225</v>
      </c>
      <c r="AT9" s="33" t="s">
        <v>1225</v>
      </c>
      <c r="AU9" s="33" t="s">
        <v>1225</v>
      </c>
      <c r="AV9" s="33" t="s">
        <v>1225</v>
      </c>
      <c r="AW9" s="33" t="s">
        <v>1268</v>
      </c>
      <c r="AX9" s="33">
        <v>2017</v>
      </c>
      <c r="AY9" s="33">
        <v>186</v>
      </c>
      <c r="AZ9" s="33" t="s">
        <v>1225</v>
      </c>
      <c r="BA9" s="33">
        <v>1</v>
      </c>
      <c r="BB9" s="33" t="s">
        <v>1225</v>
      </c>
      <c r="BC9" s="33" t="s">
        <v>1225</v>
      </c>
      <c r="BD9" s="33" t="s">
        <v>1225</v>
      </c>
      <c r="BE9" s="33">
        <v>46</v>
      </c>
      <c r="BF9" s="33">
        <v>55</v>
      </c>
      <c r="BG9" s="33" t="s">
        <v>1225</v>
      </c>
      <c r="BH9" s="33" t="s">
        <v>1269</v>
      </c>
      <c r="BI9" s="33" t="str">
        <f>HYPERLINK("http://dx.doi.org/10.1016/j.apenergy.2016.10.117","http://dx.doi.org/10.1016/j.apenergy.2016.10.117")</f>
        <v>http://dx.doi.org/10.1016/j.apenergy.2016.10.117</v>
      </c>
      <c r="BJ9" s="33" t="s">
        <v>1225</v>
      </c>
      <c r="BK9" s="33" t="s">
        <v>1225</v>
      </c>
      <c r="BL9" s="33" t="s">
        <v>1225</v>
      </c>
      <c r="BM9" s="33" t="s">
        <v>1225</v>
      </c>
      <c r="BN9" s="33" t="s">
        <v>1225</v>
      </c>
      <c r="BO9" s="33" t="s">
        <v>1225</v>
      </c>
      <c r="BP9" s="33" t="s">
        <v>1225</v>
      </c>
      <c r="BQ9" s="33" t="s">
        <v>1225</v>
      </c>
      <c r="BR9" s="33" t="s">
        <v>1225</v>
      </c>
      <c r="BS9" s="33" t="s">
        <v>1225</v>
      </c>
      <c r="BT9" s="33" t="s">
        <v>1225</v>
      </c>
      <c r="BU9" s="33" t="s">
        <v>1225</v>
      </c>
      <c r="BV9" s="33" t="s">
        <v>1225</v>
      </c>
      <c r="BW9" s="33" t="str">
        <f t="shared" si="0"/>
        <v>View Full Record in Web of Science</v>
      </c>
      <c r="BX9" s="33"/>
      <c r="BY9" s="41" t="str">
        <f>IF(Deletion!J9=TRUE,"Yes","No")</f>
        <v>Yes</v>
      </c>
    </row>
    <row r="10" spans="1:77" x14ac:dyDescent="0.15">
      <c r="A10" s="33">
        <f t="shared" si="1"/>
        <v>9</v>
      </c>
      <c r="B10" s="33" t="s">
        <v>1222</v>
      </c>
      <c r="C10" s="33" t="s">
        <v>1222</v>
      </c>
      <c r="D10" s="33" t="s">
        <v>1223</v>
      </c>
      <c r="E10" s="33" t="s">
        <v>1270</v>
      </c>
      <c r="F10" s="33" t="s">
        <v>1225</v>
      </c>
      <c r="G10" s="33" t="s">
        <v>1225</v>
      </c>
      <c r="H10" s="33" t="s">
        <v>1225</v>
      </c>
      <c r="I10" s="33" t="s">
        <v>612</v>
      </c>
      <c r="J10" s="33" t="s">
        <v>1225</v>
      </c>
      <c r="K10" s="33" t="s">
        <v>1225</v>
      </c>
      <c r="L10" s="33" t="s">
        <v>611</v>
      </c>
      <c r="M10" s="33" t="s">
        <v>422</v>
      </c>
      <c r="N10" s="33" t="s">
        <v>1225</v>
      </c>
      <c r="O10" s="33" t="s">
        <v>1225</v>
      </c>
      <c r="P10" s="33" t="s">
        <v>1225</v>
      </c>
      <c r="Q10" s="33" t="s">
        <v>1227</v>
      </c>
      <c r="R10" s="33" t="s">
        <v>1225</v>
      </c>
      <c r="S10" s="33" t="s">
        <v>1225</v>
      </c>
      <c r="T10" s="33" t="s">
        <v>1225</v>
      </c>
      <c r="U10" s="33" t="s">
        <v>1225</v>
      </c>
      <c r="V10" s="33" t="s">
        <v>1225</v>
      </c>
      <c r="W10" s="33" t="s">
        <v>614</v>
      </c>
      <c r="X10" s="33" t="s">
        <v>1271</v>
      </c>
      <c r="Y10" s="33" t="s">
        <v>613</v>
      </c>
      <c r="Z10" s="33" t="s">
        <v>1225</v>
      </c>
      <c r="AA10" s="33" t="s">
        <v>1225</v>
      </c>
      <c r="AB10" s="33" t="s">
        <v>1225</v>
      </c>
      <c r="AC10" s="33" t="s">
        <v>1225</v>
      </c>
      <c r="AD10" s="33" t="s">
        <v>1225</v>
      </c>
      <c r="AE10" s="33" t="s">
        <v>1225</v>
      </c>
      <c r="AF10" s="33" t="s">
        <v>1225</v>
      </c>
      <c r="AG10" s="33" t="s">
        <v>1225</v>
      </c>
      <c r="AH10" s="33" t="s">
        <v>1225</v>
      </c>
      <c r="AI10" s="33" t="s">
        <v>1225</v>
      </c>
      <c r="AJ10" s="33" t="s">
        <v>1225</v>
      </c>
      <c r="AK10" s="33" t="s">
        <v>1225</v>
      </c>
      <c r="AL10" s="33" t="s">
        <v>1225</v>
      </c>
      <c r="AM10" s="33" t="s">
        <v>1225</v>
      </c>
      <c r="AN10" s="33" t="s">
        <v>1225</v>
      </c>
      <c r="AO10" s="33" t="s">
        <v>1225</v>
      </c>
      <c r="AP10" s="33" t="s">
        <v>1225</v>
      </c>
      <c r="AQ10" s="33" t="s">
        <v>1225</v>
      </c>
      <c r="AR10" s="33" t="s">
        <v>1225</v>
      </c>
      <c r="AS10" s="33" t="s">
        <v>1225</v>
      </c>
      <c r="AT10" s="33" t="s">
        <v>1225</v>
      </c>
      <c r="AU10" s="33" t="s">
        <v>1225</v>
      </c>
      <c r="AV10" s="33" t="s">
        <v>1225</v>
      </c>
      <c r="AW10" s="33" t="s">
        <v>1272</v>
      </c>
      <c r="AX10" s="33">
        <v>2016</v>
      </c>
      <c r="AY10" s="33">
        <v>9</v>
      </c>
      <c r="AZ10" s="33">
        <v>3</v>
      </c>
      <c r="BA10" s="33" t="s">
        <v>1225</v>
      </c>
      <c r="BB10" s="33" t="s">
        <v>1225</v>
      </c>
      <c r="BC10" s="33" t="s">
        <v>1225</v>
      </c>
      <c r="BD10" s="33" t="s">
        <v>1225</v>
      </c>
      <c r="BE10" s="33" t="s">
        <v>1225</v>
      </c>
      <c r="BF10" s="33" t="s">
        <v>1225</v>
      </c>
      <c r="BG10" s="33" t="s">
        <v>1225</v>
      </c>
      <c r="BH10" s="33" t="s">
        <v>1273</v>
      </c>
      <c r="BI10" s="33" t="str">
        <f>HYPERLINK("http://dx.doi.org/10.3390/en9030186","http://dx.doi.org/10.3390/en9030186")</f>
        <v>http://dx.doi.org/10.3390/en9030186</v>
      </c>
      <c r="BJ10" s="33" t="s">
        <v>1225</v>
      </c>
      <c r="BK10" s="33" t="s">
        <v>1225</v>
      </c>
      <c r="BL10" s="33" t="s">
        <v>1225</v>
      </c>
      <c r="BM10" s="33" t="s">
        <v>1225</v>
      </c>
      <c r="BN10" s="33" t="s">
        <v>1225</v>
      </c>
      <c r="BO10" s="33" t="s">
        <v>1225</v>
      </c>
      <c r="BP10" s="33" t="s">
        <v>1225</v>
      </c>
      <c r="BQ10" s="33" t="s">
        <v>1225</v>
      </c>
      <c r="BR10" s="33" t="s">
        <v>1225</v>
      </c>
      <c r="BS10" s="33" t="s">
        <v>1225</v>
      </c>
      <c r="BT10" s="33" t="s">
        <v>1225</v>
      </c>
      <c r="BU10" s="33" t="s">
        <v>1225</v>
      </c>
      <c r="BV10" s="33" t="s">
        <v>1225</v>
      </c>
      <c r="BW10" s="33" t="str">
        <f t="shared" si="0"/>
        <v>View Full Record in Web of Science</v>
      </c>
      <c r="BX10" s="33"/>
      <c r="BY10" s="41" t="str">
        <f>IF(Deletion!J10=TRUE,"Yes","No")</f>
        <v>Yes</v>
      </c>
    </row>
    <row r="11" spans="1:77" x14ac:dyDescent="0.15">
      <c r="A11" s="33">
        <f t="shared" si="1"/>
        <v>10</v>
      </c>
      <c r="B11" s="33" t="s">
        <v>1222</v>
      </c>
      <c r="C11" s="33" t="s">
        <v>1222</v>
      </c>
      <c r="D11" s="33" t="s">
        <v>1223</v>
      </c>
      <c r="E11" s="33" t="s">
        <v>1274</v>
      </c>
      <c r="F11" s="33" t="s">
        <v>1225</v>
      </c>
      <c r="G11" s="33" t="s">
        <v>1225</v>
      </c>
      <c r="H11" s="33" t="s">
        <v>1225</v>
      </c>
      <c r="I11" s="33" t="s">
        <v>115</v>
      </c>
      <c r="J11" s="33" t="s">
        <v>1225</v>
      </c>
      <c r="K11" s="33" t="s">
        <v>1225</v>
      </c>
      <c r="L11" s="33" t="s">
        <v>113</v>
      </c>
      <c r="M11" s="33" t="s">
        <v>114</v>
      </c>
      <c r="N11" s="33" t="s">
        <v>1225</v>
      </c>
      <c r="O11" s="33" t="s">
        <v>1225</v>
      </c>
      <c r="P11" s="33" t="s">
        <v>1225</v>
      </c>
      <c r="Q11" s="33" t="s">
        <v>1227</v>
      </c>
      <c r="R11" s="33" t="s">
        <v>1225</v>
      </c>
      <c r="S11" s="33" t="s">
        <v>1225</v>
      </c>
      <c r="T11" s="33" t="s">
        <v>1225</v>
      </c>
      <c r="U11" s="33" t="s">
        <v>1225</v>
      </c>
      <c r="V11" s="33" t="s">
        <v>1225</v>
      </c>
      <c r="W11" s="33" t="s">
        <v>116</v>
      </c>
      <c r="X11" s="33" t="s">
        <v>1275</v>
      </c>
      <c r="Y11" s="33" t="s">
        <v>117</v>
      </c>
      <c r="Z11" s="33" t="s">
        <v>1225</v>
      </c>
      <c r="AA11" s="33" t="s">
        <v>1225</v>
      </c>
      <c r="AB11" s="33" t="s">
        <v>1225</v>
      </c>
      <c r="AC11" s="33" t="s">
        <v>1225</v>
      </c>
      <c r="AD11" s="33" t="s">
        <v>1225</v>
      </c>
      <c r="AE11" s="33" t="s">
        <v>1225</v>
      </c>
      <c r="AF11" s="33" t="s">
        <v>1225</v>
      </c>
      <c r="AG11" s="33" t="s">
        <v>1225</v>
      </c>
      <c r="AH11" s="33" t="s">
        <v>1225</v>
      </c>
      <c r="AI11" s="33" t="s">
        <v>1225</v>
      </c>
      <c r="AJ11" s="33" t="s">
        <v>1225</v>
      </c>
      <c r="AK11" s="33" t="s">
        <v>1225</v>
      </c>
      <c r="AL11" s="33" t="s">
        <v>1225</v>
      </c>
      <c r="AM11" s="33" t="s">
        <v>1225</v>
      </c>
      <c r="AN11" s="33" t="s">
        <v>1225</v>
      </c>
      <c r="AO11" s="33" t="s">
        <v>1225</v>
      </c>
      <c r="AP11" s="33" t="s">
        <v>1225</v>
      </c>
      <c r="AQ11" s="33" t="s">
        <v>1225</v>
      </c>
      <c r="AR11" s="33" t="s">
        <v>1225</v>
      </c>
      <c r="AS11" s="33" t="s">
        <v>1225</v>
      </c>
      <c r="AT11" s="33" t="s">
        <v>1225</v>
      </c>
      <c r="AU11" s="33" t="s">
        <v>1225</v>
      </c>
      <c r="AV11" s="33" t="s">
        <v>1225</v>
      </c>
      <c r="AW11" s="33" t="s">
        <v>1276</v>
      </c>
      <c r="AX11" s="33">
        <v>2021</v>
      </c>
      <c r="AY11" s="33">
        <v>22</v>
      </c>
      <c r="AZ11" s="33">
        <v>10</v>
      </c>
      <c r="BA11" s="33" t="s">
        <v>1225</v>
      </c>
      <c r="BB11" s="33" t="s">
        <v>1225</v>
      </c>
      <c r="BC11" s="33" t="s">
        <v>1225</v>
      </c>
      <c r="BD11" s="33" t="s">
        <v>1225</v>
      </c>
      <c r="BE11" s="33">
        <v>6646</v>
      </c>
      <c r="BF11" s="33">
        <v>6653</v>
      </c>
      <c r="BG11" s="33" t="s">
        <v>1225</v>
      </c>
      <c r="BH11" s="33" t="s">
        <v>1277</v>
      </c>
      <c r="BI11" s="33" t="str">
        <f>HYPERLINK("http://dx.doi.org/10.1109/TITS.2020.2988648","http://dx.doi.org/10.1109/TITS.2020.2988648")</f>
        <v>http://dx.doi.org/10.1109/TITS.2020.2988648</v>
      </c>
      <c r="BJ11" s="33" t="s">
        <v>1225</v>
      </c>
      <c r="BK11" s="33" t="s">
        <v>1225</v>
      </c>
      <c r="BL11" s="33" t="s">
        <v>1225</v>
      </c>
      <c r="BM11" s="33" t="s">
        <v>1225</v>
      </c>
      <c r="BN11" s="33" t="s">
        <v>1225</v>
      </c>
      <c r="BO11" s="33" t="s">
        <v>1225</v>
      </c>
      <c r="BP11" s="33" t="s">
        <v>1225</v>
      </c>
      <c r="BQ11" s="33" t="s">
        <v>1225</v>
      </c>
      <c r="BR11" s="33" t="s">
        <v>1225</v>
      </c>
      <c r="BS11" s="33" t="s">
        <v>1225</v>
      </c>
      <c r="BT11" s="33" t="s">
        <v>1225</v>
      </c>
      <c r="BU11" s="33" t="s">
        <v>1225</v>
      </c>
      <c r="BV11" s="33" t="s">
        <v>1225</v>
      </c>
      <c r="BW11" s="33" t="str">
        <f t="shared" si="0"/>
        <v>View Full Record in Web of Science</v>
      </c>
      <c r="BX11" s="33"/>
      <c r="BY11" s="41" t="str">
        <f>IF(Deletion!J11=TRUE,"Yes","No")</f>
        <v>Yes</v>
      </c>
    </row>
    <row r="12" spans="1:77" x14ac:dyDescent="0.15">
      <c r="A12" s="34">
        <f t="shared" si="1"/>
        <v>11</v>
      </c>
      <c r="B12" s="35" t="s">
        <v>1278</v>
      </c>
      <c r="C12" s="35" t="s">
        <v>1232</v>
      </c>
      <c r="D12" s="34" t="s">
        <v>1223</v>
      </c>
      <c r="E12" s="34" t="s">
        <v>1279</v>
      </c>
      <c r="F12" s="34" t="s">
        <v>1225</v>
      </c>
      <c r="G12" s="34" t="s">
        <v>1225</v>
      </c>
      <c r="H12" s="34" t="s">
        <v>1225</v>
      </c>
      <c r="I12" s="34" t="s">
        <v>1280</v>
      </c>
      <c r="J12" s="34" t="s">
        <v>1225</v>
      </c>
      <c r="K12" s="34" t="s">
        <v>1225</v>
      </c>
      <c r="L12" s="34" t="s">
        <v>1281</v>
      </c>
      <c r="M12" s="34" t="s">
        <v>849</v>
      </c>
      <c r="N12" s="34" t="s">
        <v>1225</v>
      </c>
      <c r="O12" s="34" t="s">
        <v>1225</v>
      </c>
      <c r="P12" s="34" t="s">
        <v>1225</v>
      </c>
      <c r="Q12" s="34" t="s">
        <v>1227</v>
      </c>
      <c r="R12" s="34" t="s">
        <v>1225</v>
      </c>
      <c r="S12" s="34" t="s">
        <v>1225</v>
      </c>
      <c r="T12" s="34" t="s">
        <v>1225</v>
      </c>
      <c r="U12" s="34" t="s">
        <v>1225</v>
      </c>
      <c r="V12" s="34" t="s">
        <v>1225</v>
      </c>
      <c r="W12" s="34" t="s">
        <v>1282</v>
      </c>
      <c r="X12" s="34" t="s">
        <v>1283</v>
      </c>
      <c r="Y12" s="34" t="s">
        <v>1284</v>
      </c>
      <c r="Z12" s="34" t="s">
        <v>1225</v>
      </c>
      <c r="AA12" s="34" t="s">
        <v>1225</v>
      </c>
      <c r="AB12" s="34" t="s">
        <v>1225</v>
      </c>
      <c r="AC12" s="34" t="s">
        <v>1225</v>
      </c>
      <c r="AD12" s="34" t="s">
        <v>1225</v>
      </c>
      <c r="AE12" s="34" t="s">
        <v>1225</v>
      </c>
      <c r="AF12" s="34" t="s">
        <v>1225</v>
      </c>
      <c r="AG12" s="34" t="s">
        <v>1225</v>
      </c>
      <c r="AH12" s="34" t="s">
        <v>1225</v>
      </c>
      <c r="AI12" s="34" t="s">
        <v>1225</v>
      </c>
      <c r="AJ12" s="34" t="s">
        <v>1225</v>
      </c>
      <c r="AK12" s="34" t="s">
        <v>1225</v>
      </c>
      <c r="AL12" s="34" t="s">
        <v>1225</v>
      </c>
      <c r="AM12" s="34" t="s">
        <v>1225</v>
      </c>
      <c r="AN12" s="34" t="s">
        <v>1225</v>
      </c>
      <c r="AO12" s="34" t="s">
        <v>1225</v>
      </c>
      <c r="AP12" s="34" t="s">
        <v>1225</v>
      </c>
      <c r="AQ12" s="34" t="s">
        <v>1225</v>
      </c>
      <c r="AR12" s="34" t="s">
        <v>1225</v>
      </c>
      <c r="AS12" s="34" t="s">
        <v>1225</v>
      </c>
      <c r="AT12" s="34" t="s">
        <v>1225</v>
      </c>
      <c r="AU12" s="34" t="s">
        <v>1225</v>
      </c>
      <c r="AV12" s="34" t="s">
        <v>1225</v>
      </c>
      <c r="AW12" s="34" t="s">
        <v>1285</v>
      </c>
      <c r="AX12" s="34">
        <v>2017</v>
      </c>
      <c r="AY12" s="34">
        <v>32</v>
      </c>
      <c r="AZ12" s="34">
        <v>3</v>
      </c>
      <c r="BA12" s="34" t="s">
        <v>1225</v>
      </c>
      <c r="BB12" s="34" t="s">
        <v>1225</v>
      </c>
      <c r="BC12" s="34" t="s">
        <v>1225</v>
      </c>
      <c r="BD12" s="34" t="s">
        <v>1225</v>
      </c>
      <c r="BE12" s="34">
        <v>1902</v>
      </c>
      <c r="BF12" s="34">
        <v>1912</v>
      </c>
      <c r="BG12" s="34" t="s">
        <v>1225</v>
      </c>
      <c r="BH12" s="34" t="s">
        <v>1286</v>
      </c>
      <c r="BI12" s="34" t="str">
        <f>HYPERLINK("http://dx.doi.org/10.1109/TPWRS.2016.2609933","http://dx.doi.org/10.1109/TPWRS.2016.2609933")</f>
        <v>http://dx.doi.org/10.1109/TPWRS.2016.2609933</v>
      </c>
      <c r="BJ12" s="34" t="s">
        <v>1225</v>
      </c>
      <c r="BK12" s="34" t="s">
        <v>1225</v>
      </c>
      <c r="BL12" s="34" t="s">
        <v>1225</v>
      </c>
      <c r="BM12" s="34" t="s">
        <v>1225</v>
      </c>
      <c r="BN12" s="34" t="s">
        <v>1225</v>
      </c>
      <c r="BO12" s="34" t="s">
        <v>1225</v>
      </c>
      <c r="BP12" s="34" t="s">
        <v>1225</v>
      </c>
      <c r="BQ12" s="34" t="s">
        <v>1225</v>
      </c>
      <c r="BR12" s="34" t="s">
        <v>1225</v>
      </c>
      <c r="BS12" s="34" t="s">
        <v>1225</v>
      </c>
      <c r="BT12" s="34" t="s">
        <v>1225</v>
      </c>
      <c r="BU12" s="34" t="s">
        <v>1225</v>
      </c>
      <c r="BV12" s="34" t="s">
        <v>1225</v>
      </c>
      <c r="BW12" s="34" t="str">
        <f t="shared" si="0"/>
        <v>View Full Record in Web of Science</v>
      </c>
      <c r="BX12" s="34"/>
      <c r="BY12" s="41" t="str">
        <f>IF(Deletion!J12=TRUE,"Yes","No")</f>
        <v>Yes</v>
      </c>
    </row>
    <row r="13" spans="1:77" x14ac:dyDescent="0.15">
      <c r="A13" s="34">
        <f t="shared" si="1"/>
        <v>12</v>
      </c>
      <c r="B13" s="35" t="s">
        <v>1287</v>
      </c>
      <c r="C13" s="35" t="s">
        <v>1232</v>
      </c>
      <c r="D13" s="34" t="s">
        <v>1223</v>
      </c>
      <c r="E13" s="34" t="s">
        <v>1288</v>
      </c>
      <c r="F13" s="34" t="s">
        <v>1225</v>
      </c>
      <c r="G13" s="34" t="s">
        <v>1225</v>
      </c>
      <c r="H13" s="34" t="s">
        <v>1225</v>
      </c>
      <c r="I13" s="34" t="s">
        <v>1289</v>
      </c>
      <c r="J13" s="34" t="s">
        <v>1225</v>
      </c>
      <c r="K13" s="34" t="s">
        <v>1225</v>
      </c>
      <c r="L13" s="34" t="s">
        <v>1290</v>
      </c>
      <c r="M13" s="34" t="s">
        <v>97</v>
      </c>
      <c r="N13" s="34" t="s">
        <v>1225</v>
      </c>
      <c r="O13" s="34" t="s">
        <v>1225</v>
      </c>
      <c r="P13" s="34" t="s">
        <v>1225</v>
      </c>
      <c r="Q13" s="34" t="s">
        <v>1227</v>
      </c>
      <c r="R13" s="34" t="s">
        <v>1225</v>
      </c>
      <c r="S13" s="34" t="s">
        <v>1225</v>
      </c>
      <c r="T13" s="34" t="s">
        <v>1225</v>
      </c>
      <c r="U13" s="34" t="s">
        <v>1225</v>
      </c>
      <c r="V13" s="34" t="s">
        <v>1225</v>
      </c>
      <c r="W13" s="34" t="s">
        <v>1291</v>
      </c>
      <c r="X13" s="34" t="s">
        <v>1292</v>
      </c>
      <c r="Y13" s="34" t="s">
        <v>1293</v>
      </c>
      <c r="Z13" s="34" t="s">
        <v>1225</v>
      </c>
      <c r="AA13" s="34" t="s">
        <v>1225</v>
      </c>
      <c r="AB13" s="34" t="s">
        <v>1225</v>
      </c>
      <c r="AC13" s="34" t="s">
        <v>1225</v>
      </c>
      <c r="AD13" s="34" t="s">
        <v>1225</v>
      </c>
      <c r="AE13" s="34" t="s">
        <v>1225</v>
      </c>
      <c r="AF13" s="34" t="s">
        <v>1225</v>
      </c>
      <c r="AG13" s="34" t="s">
        <v>1225</v>
      </c>
      <c r="AH13" s="34" t="s">
        <v>1225</v>
      </c>
      <c r="AI13" s="34" t="s">
        <v>1225</v>
      </c>
      <c r="AJ13" s="34" t="s">
        <v>1225</v>
      </c>
      <c r="AK13" s="34" t="s">
        <v>1225</v>
      </c>
      <c r="AL13" s="34" t="s">
        <v>1225</v>
      </c>
      <c r="AM13" s="34" t="s">
        <v>1225</v>
      </c>
      <c r="AN13" s="34" t="s">
        <v>1225</v>
      </c>
      <c r="AO13" s="34" t="s">
        <v>1225</v>
      </c>
      <c r="AP13" s="34" t="s">
        <v>1225</v>
      </c>
      <c r="AQ13" s="34" t="s">
        <v>1225</v>
      </c>
      <c r="AR13" s="34" t="s">
        <v>1225</v>
      </c>
      <c r="AS13" s="34" t="s">
        <v>1225</v>
      </c>
      <c r="AT13" s="34" t="s">
        <v>1225</v>
      </c>
      <c r="AU13" s="34" t="s">
        <v>1225</v>
      </c>
      <c r="AV13" s="34" t="s">
        <v>1225</v>
      </c>
      <c r="AW13" s="34" t="s">
        <v>1294</v>
      </c>
      <c r="AX13" s="34">
        <v>2020</v>
      </c>
      <c r="AY13" s="34">
        <v>262</v>
      </c>
      <c r="AZ13" s="34" t="s">
        <v>1225</v>
      </c>
      <c r="BA13" s="34" t="s">
        <v>1225</v>
      </c>
      <c r="BB13" s="34" t="s">
        <v>1225</v>
      </c>
      <c r="BC13" s="34" t="s">
        <v>1225</v>
      </c>
      <c r="BD13" s="34" t="s">
        <v>1225</v>
      </c>
      <c r="BE13" s="34" t="s">
        <v>1225</v>
      </c>
      <c r="BF13" s="34" t="s">
        <v>1225</v>
      </c>
      <c r="BG13" s="34">
        <v>114525</v>
      </c>
      <c r="BH13" s="34" t="s">
        <v>1295</v>
      </c>
      <c r="BI13" s="34" t="str">
        <f>HYPERLINK("http://dx.doi.org/10.1016/j.apenergy.2020.114525","http://dx.doi.org/10.1016/j.apenergy.2020.114525")</f>
        <v>http://dx.doi.org/10.1016/j.apenergy.2020.114525</v>
      </c>
      <c r="BJ13" s="34" t="s">
        <v>1225</v>
      </c>
      <c r="BK13" s="34" t="s">
        <v>1225</v>
      </c>
      <c r="BL13" s="34" t="s">
        <v>1225</v>
      </c>
      <c r="BM13" s="34" t="s">
        <v>1225</v>
      </c>
      <c r="BN13" s="34" t="s">
        <v>1225</v>
      </c>
      <c r="BO13" s="34" t="s">
        <v>1225</v>
      </c>
      <c r="BP13" s="34" t="s">
        <v>1225</v>
      </c>
      <c r="BQ13" s="34" t="s">
        <v>1225</v>
      </c>
      <c r="BR13" s="34" t="s">
        <v>1225</v>
      </c>
      <c r="BS13" s="34" t="s">
        <v>1225</v>
      </c>
      <c r="BT13" s="34" t="s">
        <v>1225</v>
      </c>
      <c r="BU13" s="34" t="s">
        <v>1225</v>
      </c>
      <c r="BV13" s="34" t="s">
        <v>1225</v>
      </c>
      <c r="BW13" s="34" t="str">
        <f t="shared" si="0"/>
        <v>View Full Record in Web of Science</v>
      </c>
      <c r="BX13" s="34"/>
      <c r="BY13" s="41" t="str">
        <f>IF(Deletion!J13=TRUE,"Yes","No")</f>
        <v>Yes</v>
      </c>
    </row>
    <row r="14" spans="1:77" x14ac:dyDescent="0.15">
      <c r="A14" s="33">
        <f t="shared" si="1"/>
        <v>13</v>
      </c>
      <c r="B14" s="33" t="s">
        <v>1222</v>
      </c>
      <c r="C14" s="33" t="s">
        <v>1222</v>
      </c>
      <c r="D14" s="33" t="s">
        <v>1223</v>
      </c>
      <c r="E14" s="33" t="s">
        <v>1296</v>
      </c>
      <c r="F14" s="33" t="s">
        <v>1225</v>
      </c>
      <c r="G14" s="33" t="s">
        <v>1225</v>
      </c>
      <c r="H14" s="33" t="s">
        <v>1225</v>
      </c>
      <c r="I14" s="33" t="s">
        <v>122</v>
      </c>
      <c r="J14" s="33" t="s">
        <v>1225</v>
      </c>
      <c r="K14" s="33" t="s">
        <v>1225</v>
      </c>
      <c r="L14" s="33" t="s">
        <v>123</v>
      </c>
      <c r="M14" s="33" t="s">
        <v>124</v>
      </c>
      <c r="N14" s="33" t="s">
        <v>1225</v>
      </c>
      <c r="O14" s="33" t="s">
        <v>1225</v>
      </c>
      <c r="P14" s="33" t="s">
        <v>1225</v>
      </c>
      <c r="Q14" s="33" t="s">
        <v>1227</v>
      </c>
      <c r="R14" s="33" t="s">
        <v>1225</v>
      </c>
      <c r="S14" s="33" t="s">
        <v>1225</v>
      </c>
      <c r="T14" s="33" t="s">
        <v>1225</v>
      </c>
      <c r="U14" s="33" t="s">
        <v>1225</v>
      </c>
      <c r="V14" s="33" t="s">
        <v>1225</v>
      </c>
      <c r="W14" s="33" t="s">
        <v>125</v>
      </c>
      <c r="X14" s="33" t="s">
        <v>1297</v>
      </c>
      <c r="Y14" s="33" t="s">
        <v>126</v>
      </c>
      <c r="Z14" s="33" t="s">
        <v>1225</v>
      </c>
      <c r="AA14" s="33" t="s">
        <v>1225</v>
      </c>
      <c r="AB14" s="33" t="s">
        <v>1225</v>
      </c>
      <c r="AC14" s="33" t="s">
        <v>1225</v>
      </c>
      <c r="AD14" s="33" t="s">
        <v>1225</v>
      </c>
      <c r="AE14" s="33" t="s">
        <v>1225</v>
      </c>
      <c r="AF14" s="33" t="s">
        <v>1225</v>
      </c>
      <c r="AG14" s="33" t="s">
        <v>1225</v>
      </c>
      <c r="AH14" s="33" t="s">
        <v>1225</v>
      </c>
      <c r="AI14" s="33" t="s">
        <v>1225</v>
      </c>
      <c r="AJ14" s="33" t="s">
        <v>1225</v>
      </c>
      <c r="AK14" s="33" t="s">
        <v>1225</v>
      </c>
      <c r="AL14" s="33" t="s">
        <v>1225</v>
      </c>
      <c r="AM14" s="33" t="s">
        <v>1225</v>
      </c>
      <c r="AN14" s="33" t="s">
        <v>1225</v>
      </c>
      <c r="AO14" s="33" t="s">
        <v>1225</v>
      </c>
      <c r="AP14" s="33" t="s">
        <v>1225</v>
      </c>
      <c r="AQ14" s="33" t="s">
        <v>1225</v>
      </c>
      <c r="AR14" s="33" t="s">
        <v>1225</v>
      </c>
      <c r="AS14" s="33" t="s">
        <v>1225</v>
      </c>
      <c r="AT14" s="33" t="s">
        <v>1225</v>
      </c>
      <c r="AU14" s="33" t="s">
        <v>1225</v>
      </c>
      <c r="AV14" s="33" t="s">
        <v>1225</v>
      </c>
      <c r="AW14" s="33" t="s">
        <v>1298</v>
      </c>
      <c r="AX14" s="33">
        <v>2015</v>
      </c>
      <c r="AY14" s="33">
        <v>6</v>
      </c>
      <c r="AZ14" s="33">
        <v>5</v>
      </c>
      <c r="BA14" s="33" t="s">
        <v>1225</v>
      </c>
      <c r="BB14" s="33" t="s">
        <v>1225</v>
      </c>
      <c r="BC14" s="33" t="s">
        <v>1225</v>
      </c>
      <c r="BD14" s="33" t="s">
        <v>1225</v>
      </c>
      <c r="BE14" s="33">
        <v>2211</v>
      </c>
      <c r="BF14" s="33">
        <v>2220</v>
      </c>
      <c r="BG14" s="33" t="s">
        <v>1225</v>
      </c>
      <c r="BH14" s="33" t="s">
        <v>1299</v>
      </c>
      <c r="BI14" s="33" t="str">
        <f>HYPERLINK("http://dx.doi.org/10.1109/TSG.2015.2396772","http://dx.doi.org/10.1109/TSG.2015.2396772")</f>
        <v>http://dx.doi.org/10.1109/TSG.2015.2396772</v>
      </c>
      <c r="BJ14" s="33" t="s">
        <v>1225</v>
      </c>
      <c r="BK14" s="33" t="s">
        <v>1225</v>
      </c>
      <c r="BL14" s="33" t="s">
        <v>1225</v>
      </c>
      <c r="BM14" s="33" t="s">
        <v>1225</v>
      </c>
      <c r="BN14" s="33" t="s">
        <v>1225</v>
      </c>
      <c r="BO14" s="33" t="s">
        <v>1225</v>
      </c>
      <c r="BP14" s="33" t="s">
        <v>1225</v>
      </c>
      <c r="BQ14" s="33" t="s">
        <v>1225</v>
      </c>
      <c r="BR14" s="33" t="s">
        <v>1225</v>
      </c>
      <c r="BS14" s="33" t="s">
        <v>1225</v>
      </c>
      <c r="BT14" s="33" t="s">
        <v>1225</v>
      </c>
      <c r="BU14" s="33" t="s">
        <v>1225</v>
      </c>
      <c r="BV14" s="33" t="s">
        <v>1225</v>
      </c>
      <c r="BW14" s="33" t="str">
        <f t="shared" si="0"/>
        <v>View Full Record in Web of Science</v>
      </c>
      <c r="BX14" s="33"/>
      <c r="BY14" s="41" t="str">
        <f>IF(Deletion!J14=TRUE,"Yes","No")</f>
        <v>Yes</v>
      </c>
    </row>
    <row r="15" spans="1:77" x14ac:dyDescent="0.15">
      <c r="A15" s="34">
        <f t="shared" si="1"/>
        <v>14</v>
      </c>
      <c r="B15" s="35" t="s">
        <v>1300</v>
      </c>
      <c r="C15" s="35" t="s">
        <v>4</v>
      </c>
      <c r="D15" s="34" t="s">
        <v>1223</v>
      </c>
      <c r="E15" s="34" t="s">
        <v>1301</v>
      </c>
      <c r="F15" s="34" t="s">
        <v>1225</v>
      </c>
      <c r="G15" s="34" t="s">
        <v>1225</v>
      </c>
      <c r="H15" s="34" t="s">
        <v>1225</v>
      </c>
      <c r="I15" s="34" t="s">
        <v>1302</v>
      </c>
      <c r="J15" s="34" t="s">
        <v>1225</v>
      </c>
      <c r="K15" s="34" t="s">
        <v>1225</v>
      </c>
      <c r="L15" s="34" t="s">
        <v>1303</v>
      </c>
      <c r="M15" s="34" t="s">
        <v>68</v>
      </c>
      <c r="N15" s="34" t="s">
        <v>1225</v>
      </c>
      <c r="O15" s="34" t="s">
        <v>1225</v>
      </c>
      <c r="P15" s="34" t="s">
        <v>1225</v>
      </c>
      <c r="Q15" s="34" t="s">
        <v>1227</v>
      </c>
      <c r="R15" s="34" t="s">
        <v>1225</v>
      </c>
      <c r="S15" s="34" t="s">
        <v>1225</v>
      </c>
      <c r="T15" s="34" t="s">
        <v>1225</v>
      </c>
      <c r="U15" s="34" t="s">
        <v>1225</v>
      </c>
      <c r="V15" s="34" t="s">
        <v>1225</v>
      </c>
      <c r="W15" s="34" t="s">
        <v>1304</v>
      </c>
      <c r="X15" s="34" t="s">
        <v>1305</v>
      </c>
      <c r="Y15" s="34" t="s">
        <v>1306</v>
      </c>
      <c r="Z15" s="34" t="s">
        <v>1225</v>
      </c>
      <c r="AA15" s="34" t="s">
        <v>1225</v>
      </c>
      <c r="AB15" s="34" t="s">
        <v>1225</v>
      </c>
      <c r="AC15" s="34" t="s">
        <v>1225</v>
      </c>
      <c r="AD15" s="34" t="s">
        <v>1225</v>
      </c>
      <c r="AE15" s="34" t="s">
        <v>1225</v>
      </c>
      <c r="AF15" s="34" t="s">
        <v>1225</v>
      </c>
      <c r="AG15" s="34" t="s">
        <v>1225</v>
      </c>
      <c r="AH15" s="34" t="s">
        <v>1225</v>
      </c>
      <c r="AI15" s="34" t="s">
        <v>1225</v>
      </c>
      <c r="AJ15" s="34" t="s">
        <v>1225</v>
      </c>
      <c r="AK15" s="34" t="s">
        <v>1225</v>
      </c>
      <c r="AL15" s="34" t="s">
        <v>1225</v>
      </c>
      <c r="AM15" s="34" t="s">
        <v>1225</v>
      </c>
      <c r="AN15" s="34" t="s">
        <v>1225</v>
      </c>
      <c r="AO15" s="34" t="s">
        <v>1225</v>
      </c>
      <c r="AP15" s="34" t="s">
        <v>1225</v>
      </c>
      <c r="AQ15" s="34" t="s">
        <v>1225</v>
      </c>
      <c r="AR15" s="34" t="s">
        <v>1225</v>
      </c>
      <c r="AS15" s="34" t="s">
        <v>1225</v>
      </c>
      <c r="AT15" s="34" t="s">
        <v>1225</v>
      </c>
      <c r="AU15" s="34" t="s">
        <v>1225</v>
      </c>
      <c r="AV15" s="34" t="s">
        <v>1225</v>
      </c>
      <c r="AW15" s="34" t="s">
        <v>1225</v>
      </c>
      <c r="AX15" s="34">
        <v>2020</v>
      </c>
      <c r="AY15" s="34">
        <v>8</v>
      </c>
      <c r="AZ15" s="34" t="s">
        <v>1225</v>
      </c>
      <c r="BA15" s="34" t="s">
        <v>1225</v>
      </c>
      <c r="BB15" s="34" t="s">
        <v>1225</v>
      </c>
      <c r="BC15" s="34" t="s">
        <v>1225</v>
      </c>
      <c r="BD15" s="34" t="s">
        <v>1225</v>
      </c>
      <c r="BE15" s="34">
        <v>179400</v>
      </c>
      <c r="BF15" s="34">
        <v>179414</v>
      </c>
      <c r="BG15" s="34" t="s">
        <v>1225</v>
      </c>
      <c r="BH15" s="34" t="s">
        <v>1307</v>
      </c>
      <c r="BI15" s="34" t="str">
        <f>HYPERLINK("http://dx.doi.org/10.1109/ACCESS.2020.3028097","http://dx.doi.org/10.1109/ACCESS.2020.3028097")</f>
        <v>http://dx.doi.org/10.1109/ACCESS.2020.3028097</v>
      </c>
      <c r="BJ15" s="34" t="s">
        <v>1225</v>
      </c>
      <c r="BK15" s="34" t="s">
        <v>1225</v>
      </c>
      <c r="BL15" s="34" t="s">
        <v>1225</v>
      </c>
      <c r="BM15" s="34" t="s">
        <v>1225</v>
      </c>
      <c r="BN15" s="34" t="s">
        <v>1225</v>
      </c>
      <c r="BO15" s="34" t="s">
        <v>1225</v>
      </c>
      <c r="BP15" s="34" t="s">
        <v>1225</v>
      </c>
      <c r="BQ15" s="34" t="s">
        <v>1225</v>
      </c>
      <c r="BR15" s="34" t="s">
        <v>1225</v>
      </c>
      <c r="BS15" s="34" t="s">
        <v>1225</v>
      </c>
      <c r="BT15" s="34" t="s">
        <v>1225</v>
      </c>
      <c r="BU15" s="34" t="s">
        <v>1225</v>
      </c>
      <c r="BV15" s="34" t="s">
        <v>1225</v>
      </c>
      <c r="BW15" s="34" t="str">
        <f t="shared" si="0"/>
        <v>View Full Record in Web of Science</v>
      </c>
      <c r="BX15" s="34"/>
      <c r="BY15" s="41" t="str">
        <f>IF(Deletion!J15=TRUE,"Yes","No")</f>
        <v>Yes</v>
      </c>
    </row>
    <row r="16" spans="1:77" x14ac:dyDescent="0.15">
      <c r="A16" s="33">
        <f t="shared" si="1"/>
        <v>15</v>
      </c>
      <c r="B16" s="33" t="s">
        <v>1222</v>
      </c>
      <c r="C16" s="33" t="s">
        <v>1222</v>
      </c>
      <c r="D16" s="33" t="s">
        <v>1223</v>
      </c>
      <c r="E16" s="33" t="s">
        <v>1308</v>
      </c>
      <c r="F16" s="33" t="s">
        <v>1225</v>
      </c>
      <c r="G16" s="33" t="s">
        <v>1225</v>
      </c>
      <c r="H16" s="33" t="s">
        <v>1225</v>
      </c>
      <c r="I16" s="33" t="s">
        <v>106</v>
      </c>
      <c r="J16" s="33" t="s">
        <v>1225</v>
      </c>
      <c r="K16" s="33" t="s">
        <v>1225</v>
      </c>
      <c r="L16" s="33" t="s">
        <v>72</v>
      </c>
      <c r="M16" s="33" t="s">
        <v>73</v>
      </c>
      <c r="N16" s="33" t="s">
        <v>1225</v>
      </c>
      <c r="O16" s="33" t="s">
        <v>1225</v>
      </c>
      <c r="P16" s="33" t="s">
        <v>1225</v>
      </c>
      <c r="Q16" s="33" t="s">
        <v>1227</v>
      </c>
      <c r="R16" s="33" t="s">
        <v>1225</v>
      </c>
      <c r="S16" s="33" t="s">
        <v>1225</v>
      </c>
      <c r="T16" s="33" t="s">
        <v>1225</v>
      </c>
      <c r="U16" s="33" t="s">
        <v>1225</v>
      </c>
      <c r="V16" s="33" t="s">
        <v>1225</v>
      </c>
      <c r="W16" s="33" t="s">
        <v>75</v>
      </c>
      <c r="X16" s="33" t="s">
        <v>1309</v>
      </c>
      <c r="Y16" s="33" t="s">
        <v>74</v>
      </c>
      <c r="Z16" s="33" t="s">
        <v>1225</v>
      </c>
      <c r="AA16" s="33" t="s">
        <v>1225</v>
      </c>
      <c r="AB16" s="33" t="s">
        <v>1225</v>
      </c>
      <c r="AC16" s="33" t="s">
        <v>1225</v>
      </c>
      <c r="AD16" s="33" t="s">
        <v>1225</v>
      </c>
      <c r="AE16" s="33" t="s">
        <v>1225</v>
      </c>
      <c r="AF16" s="33" t="s">
        <v>1225</v>
      </c>
      <c r="AG16" s="33" t="s">
        <v>1225</v>
      </c>
      <c r="AH16" s="33" t="s">
        <v>1225</v>
      </c>
      <c r="AI16" s="33" t="s">
        <v>1225</v>
      </c>
      <c r="AJ16" s="33" t="s">
        <v>1225</v>
      </c>
      <c r="AK16" s="33" t="s">
        <v>1225</v>
      </c>
      <c r="AL16" s="33" t="s">
        <v>1225</v>
      </c>
      <c r="AM16" s="33" t="s">
        <v>1225</v>
      </c>
      <c r="AN16" s="33" t="s">
        <v>1225</v>
      </c>
      <c r="AO16" s="33" t="s">
        <v>1225</v>
      </c>
      <c r="AP16" s="33" t="s">
        <v>1225</v>
      </c>
      <c r="AQ16" s="33" t="s">
        <v>1225</v>
      </c>
      <c r="AR16" s="33" t="s">
        <v>1225</v>
      </c>
      <c r="AS16" s="33" t="s">
        <v>1225</v>
      </c>
      <c r="AT16" s="33" t="s">
        <v>1225</v>
      </c>
      <c r="AU16" s="33" t="s">
        <v>1225</v>
      </c>
      <c r="AV16" s="33" t="s">
        <v>1225</v>
      </c>
      <c r="AW16" s="33" t="s">
        <v>1276</v>
      </c>
      <c r="AX16" s="33">
        <v>2015</v>
      </c>
      <c r="AY16" s="33">
        <v>1</v>
      </c>
      <c r="AZ16" s="33">
        <v>3</v>
      </c>
      <c r="BA16" s="33" t="s">
        <v>1225</v>
      </c>
      <c r="BB16" s="33" t="s">
        <v>1225</v>
      </c>
      <c r="BC16" s="33" t="s">
        <v>1225</v>
      </c>
      <c r="BD16" s="33" t="s">
        <v>1225</v>
      </c>
      <c r="BE16" s="33">
        <v>200</v>
      </c>
      <c r="BF16" s="33">
        <v>210</v>
      </c>
      <c r="BG16" s="33" t="s">
        <v>1225</v>
      </c>
      <c r="BH16" s="33" t="s">
        <v>1310</v>
      </c>
      <c r="BI16" s="33" t="str">
        <f>HYPERLINK("http://dx.doi.org/10.1109/TTE.2015.2465293","http://dx.doi.org/10.1109/TTE.2015.2465293")</f>
        <v>http://dx.doi.org/10.1109/TTE.2015.2465293</v>
      </c>
      <c r="BJ16" s="33" t="s">
        <v>1225</v>
      </c>
      <c r="BK16" s="33" t="s">
        <v>1225</v>
      </c>
      <c r="BL16" s="33" t="s">
        <v>1225</v>
      </c>
      <c r="BM16" s="33" t="s">
        <v>1225</v>
      </c>
      <c r="BN16" s="33" t="s">
        <v>1225</v>
      </c>
      <c r="BO16" s="33" t="s">
        <v>1225</v>
      </c>
      <c r="BP16" s="33" t="s">
        <v>1225</v>
      </c>
      <c r="BQ16" s="33" t="s">
        <v>1225</v>
      </c>
      <c r="BR16" s="33" t="s">
        <v>1225</v>
      </c>
      <c r="BS16" s="33" t="s">
        <v>1225</v>
      </c>
      <c r="BT16" s="33" t="s">
        <v>1225</v>
      </c>
      <c r="BU16" s="33" t="s">
        <v>1225</v>
      </c>
      <c r="BV16" s="33" t="s">
        <v>1225</v>
      </c>
      <c r="BW16" s="33" t="str">
        <f t="shared" si="0"/>
        <v>View Full Record in Web of Science</v>
      </c>
      <c r="BX16" s="33"/>
      <c r="BY16" s="41" t="str">
        <f>IF(Deletion!J16=TRUE,"Yes","No")</f>
        <v>Yes</v>
      </c>
    </row>
    <row r="17" spans="1:77" x14ac:dyDescent="0.15">
      <c r="A17" s="34">
        <f t="shared" si="1"/>
        <v>16</v>
      </c>
      <c r="B17" s="35" t="s">
        <v>1311</v>
      </c>
      <c r="C17" s="35" t="s">
        <v>1232</v>
      </c>
      <c r="D17" s="34" t="s">
        <v>1223</v>
      </c>
      <c r="E17" s="34" t="s">
        <v>1312</v>
      </c>
      <c r="F17" s="34" t="s">
        <v>1225</v>
      </c>
      <c r="G17" s="34" t="s">
        <v>1225</v>
      </c>
      <c r="H17" s="34" t="s">
        <v>1225</v>
      </c>
      <c r="I17" s="34" t="s">
        <v>1313</v>
      </c>
      <c r="J17" s="34" t="s">
        <v>1225</v>
      </c>
      <c r="K17" s="34" t="s">
        <v>1225</v>
      </c>
      <c r="L17" s="34" t="s">
        <v>1314</v>
      </c>
      <c r="M17" s="34" t="s">
        <v>124</v>
      </c>
      <c r="N17" s="34" t="s">
        <v>1225</v>
      </c>
      <c r="O17" s="34" t="s">
        <v>1225</v>
      </c>
      <c r="P17" s="34" t="s">
        <v>1225</v>
      </c>
      <c r="Q17" s="34" t="s">
        <v>1227</v>
      </c>
      <c r="R17" s="34" t="s">
        <v>1225</v>
      </c>
      <c r="S17" s="34" t="s">
        <v>1225</v>
      </c>
      <c r="T17" s="34" t="s">
        <v>1225</v>
      </c>
      <c r="U17" s="34" t="s">
        <v>1225</v>
      </c>
      <c r="V17" s="34" t="s">
        <v>1225</v>
      </c>
      <c r="W17" s="34" t="s">
        <v>1315</v>
      </c>
      <c r="X17" s="34" t="s">
        <v>1225</v>
      </c>
      <c r="Y17" s="34" t="s">
        <v>1316</v>
      </c>
      <c r="Z17" s="34" t="s">
        <v>1225</v>
      </c>
      <c r="AA17" s="34" t="s">
        <v>1225</v>
      </c>
      <c r="AB17" s="34" t="s">
        <v>1225</v>
      </c>
      <c r="AC17" s="34" t="s">
        <v>1225</v>
      </c>
      <c r="AD17" s="34" t="s">
        <v>1225</v>
      </c>
      <c r="AE17" s="34" t="s">
        <v>1225</v>
      </c>
      <c r="AF17" s="34" t="s">
        <v>1225</v>
      </c>
      <c r="AG17" s="34" t="s">
        <v>1225</v>
      </c>
      <c r="AH17" s="34" t="s">
        <v>1225</v>
      </c>
      <c r="AI17" s="34" t="s">
        <v>1225</v>
      </c>
      <c r="AJ17" s="34" t="s">
        <v>1225</v>
      </c>
      <c r="AK17" s="34" t="s">
        <v>1225</v>
      </c>
      <c r="AL17" s="34" t="s">
        <v>1225</v>
      </c>
      <c r="AM17" s="34" t="s">
        <v>1225</v>
      </c>
      <c r="AN17" s="34" t="s">
        <v>1225</v>
      </c>
      <c r="AO17" s="34" t="s">
        <v>1225</v>
      </c>
      <c r="AP17" s="34" t="s">
        <v>1225</v>
      </c>
      <c r="AQ17" s="34" t="s">
        <v>1225</v>
      </c>
      <c r="AR17" s="34" t="s">
        <v>1225</v>
      </c>
      <c r="AS17" s="34" t="s">
        <v>1225</v>
      </c>
      <c r="AT17" s="34" t="s">
        <v>1225</v>
      </c>
      <c r="AU17" s="34" t="s">
        <v>1225</v>
      </c>
      <c r="AV17" s="34" t="s">
        <v>1225</v>
      </c>
      <c r="AW17" s="34" t="s">
        <v>1317</v>
      </c>
      <c r="AX17" s="34">
        <v>2016</v>
      </c>
      <c r="AY17" s="34">
        <v>7</v>
      </c>
      <c r="AZ17" s="34">
        <v>1</v>
      </c>
      <c r="BA17" s="34" t="s">
        <v>1225</v>
      </c>
      <c r="BB17" s="34" t="s">
        <v>1225</v>
      </c>
      <c r="BC17" s="34" t="s">
        <v>1225</v>
      </c>
      <c r="BD17" s="34" t="s">
        <v>1225</v>
      </c>
      <c r="BE17" s="34">
        <v>428</v>
      </c>
      <c r="BF17" s="34">
        <v>438</v>
      </c>
      <c r="BG17" s="34" t="s">
        <v>1225</v>
      </c>
      <c r="BH17" s="34" t="s">
        <v>1318</v>
      </c>
      <c r="BI17" s="34" t="str">
        <f>HYPERLINK("http://dx.doi.org/10.1109/TSG.2014.2387436","http://dx.doi.org/10.1109/TSG.2014.2387436")</f>
        <v>http://dx.doi.org/10.1109/TSG.2014.2387436</v>
      </c>
      <c r="BJ17" s="34" t="s">
        <v>1225</v>
      </c>
      <c r="BK17" s="34" t="s">
        <v>1225</v>
      </c>
      <c r="BL17" s="34" t="s">
        <v>1225</v>
      </c>
      <c r="BM17" s="34" t="s">
        <v>1225</v>
      </c>
      <c r="BN17" s="34" t="s">
        <v>1225</v>
      </c>
      <c r="BO17" s="34" t="s">
        <v>1225</v>
      </c>
      <c r="BP17" s="34" t="s">
        <v>1225</v>
      </c>
      <c r="BQ17" s="34" t="s">
        <v>1225</v>
      </c>
      <c r="BR17" s="34" t="s">
        <v>1225</v>
      </c>
      <c r="BS17" s="34" t="s">
        <v>1225</v>
      </c>
      <c r="BT17" s="34" t="s">
        <v>1225</v>
      </c>
      <c r="BU17" s="34" t="s">
        <v>1225</v>
      </c>
      <c r="BV17" s="34" t="s">
        <v>1225</v>
      </c>
      <c r="BW17" s="34" t="str">
        <f t="shared" si="0"/>
        <v>View Full Record in Web of Science</v>
      </c>
      <c r="BX17" s="34"/>
      <c r="BY17" s="41" t="str">
        <f>IF(Deletion!J17=TRUE,"Yes","No")</f>
        <v>Yes</v>
      </c>
    </row>
    <row r="18" spans="1:77" x14ac:dyDescent="0.15">
      <c r="A18" s="34">
        <f t="shared" si="1"/>
        <v>17</v>
      </c>
      <c r="B18" s="34" t="s">
        <v>4</v>
      </c>
      <c r="C18" s="34" t="s">
        <v>4</v>
      </c>
      <c r="D18" s="34" t="s">
        <v>1223</v>
      </c>
      <c r="E18" s="34" t="s">
        <v>1319</v>
      </c>
      <c r="F18" s="34" t="s">
        <v>1225</v>
      </c>
      <c r="G18" s="34" t="s">
        <v>1225</v>
      </c>
      <c r="H18" s="34" t="s">
        <v>1225</v>
      </c>
      <c r="I18" s="34" t="s">
        <v>1320</v>
      </c>
      <c r="J18" s="34" t="s">
        <v>1225</v>
      </c>
      <c r="K18" s="34" t="s">
        <v>1225</v>
      </c>
      <c r="L18" s="34" t="s">
        <v>1321</v>
      </c>
      <c r="M18" s="34" t="s">
        <v>1322</v>
      </c>
      <c r="N18" s="34" t="s">
        <v>1225</v>
      </c>
      <c r="O18" s="34" t="s">
        <v>1225</v>
      </c>
      <c r="P18" s="34" t="s">
        <v>1225</v>
      </c>
      <c r="Q18" s="34" t="s">
        <v>1227</v>
      </c>
      <c r="R18" s="34" t="s">
        <v>1225</v>
      </c>
      <c r="S18" s="34" t="s">
        <v>1225</v>
      </c>
      <c r="T18" s="34" t="s">
        <v>1225</v>
      </c>
      <c r="U18" s="34" t="s">
        <v>1225</v>
      </c>
      <c r="V18" s="34" t="s">
        <v>1225</v>
      </c>
      <c r="W18" s="34" t="s">
        <v>1323</v>
      </c>
      <c r="X18" s="34" t="s">
        <v>1324</v>
      </c>
      <c r="Y18" s="34" t="s">
        <v>1325</v>
      </c>
      <c r="Z18" s="34" t="s">
        <v>1225</v>
      </c>
      <c r="AA18" s="34" t="s">
        <v>1225</v>
      </c>
      <c r="AB18" s="34" t="s">
        <v>1225</v>
      </c>
      <c r="AC18" s="34" t="s">
        <v>1225</v>
      </c>
      <c r="AD18" s="34" t="s">
        <v>1225</v>
      </c>
      <c r="AE18" s="34" t="s">
        <v>1225</v>
      </c>
      <c r="AF18" s="34" t="s">
        <v>1225</v>
      </c>
      <c r="AG18" s="34" t="s">
        <v>1225</v>
      </c>
      <c r="AH18" s="34" t="s">
        <v>1225</v>
      </c>
      <c r="AI18" s="34" t="s">
        <v>1225</v>
      </c>
      <c r="AJ18" s="34" t="s">
        <v>1225</v>
      </c>
      <c r="AK18" s="34" t="s">
        <v>1225</v>
      </c>
      <c r="AL18" s="34" t="s">
        <v>1225</v>
      </c>
      <c r="AM18" s="34" t="s">
        <v>1225</v>
      </c>
      <c r="AN18" s="34" t="s">
        <v>1225</v>
      </c>
      <c r="AO18" s="34" t="s">
        <v>1225</v>
      </c>
      <c r="AP18" s="34" t="s">
        <v>1225</v>
      </c>
      <c r="AQ18" s="34" t="s">
        <v>1225</v>
      </c>
      <c r="AR18" s="34" t="s">
        <v>1225</v>
      </c>
      <c r="AS18" s="34" t="s">
        <v>1225</v>
      </c>
      <c r="AT18" s="34" t="s">
        <v>1225</v>
      </c>
      <c r="AU18" s="34" t="s">
        <v>1225</v>
      </c>
      <c r="AV18" s="34" t="s">
        <v>1225</v>
      </c>
      <c r="AW18" s="34" t="s">
        <v>1285</v>
      </c>
      <c r="AX18" s="34">
        <v>2020</v>
      </c>
      <c r="AY18" s="34">
        <v>8</v>
      </c>
      <c r="AZ18" s="34">
        <v>3</v>
      </c>
      <c r="BA18" s="34" t="s">
        <v>1225</v>
      </c>
      <c r="BB18" s="34" t="s">
        <v>1225</v>
      </c>
      <c r="BC18" s="34" t="s">
        <v>1225</v>
      </c>
      <c r="BD18" s="34" t="s">
        <v>1225</v>
      </c>
      <c r="BE18" s="34">
        <v>573</v>
      </c>
      <c r="BF18" s="34">
        <v>581</v>
      </c>
      <c r="BG18" s="34" t="s">
        <v>1225</v>
      </c>
      <c r="BH18" s="34" t="s">
        <v>1326</v>
      </c>
      <c r="BI18" s="34" t="str">
        <f>HYPERLINK("http://dx.doi.org/10.35833/mpce.2019.000393","http://dx.doi.org/10.35833/mpce.2019.000393")</f>
        <v>http://dx.doi.org/10.35833/mpce.2019.000393</v>
      </c>
      <c r="BJ18" s="34" t="s">
        <v>1225</v>
      </c>
      <c r="BK18" s="34" t="s">
        <v>1225</v>
      </c>
      <c r="BL18" s="34" t="s">
        <v>1225</v>
      </c>
      <c r="BM18" s="34" t="s">
        <v>1225</v>
      </c>
      <c r="BN18" s="34" t="s">
        <v>1225</v>
      </c>
      <c r="BO18" s="34" t="s">
        <v>1225</v>
      </c>
      <c r="BP18" s="34" t="s">
        <v>1225</v>
      </c>
      <c r="BQ18" s="34" t="s">
        <v>1225</v>
      </c>
      <c r="BR18" s="34" t="s">
        <v>1225</v>
      </c>
      <c r="BS18" s="34" t="s">
        <v>1225</v>
      </c>
      <c r="BT18" s="34" t="s">
        <v>1225</v>
      </c>
      <c r="BU18" s="34" t="s">
        <v>1225</v>
      </c>
      <c r="BV18" s="34" t="s">
        <v>1225</v>
      </c>
      <c r="BW18" s="34" t="str">
        <f t="shared" si="0"/>
        <v>View Full Record in Web of Science</v>
      </c>
      <c r="BX18" s="34"/>
      <c r="BY18" s="41" t="str">
        <f>IF(Deletion!J18=TRUE,"Yes","No")</f>
        <v>No</v>
      </c>
    </row>
    <row r="19" spans="1:77" x14ac:dyDescent="0.15">
      <c r="A19" s="34">
        <f t="shared" si="1"/>
        <v>18</v>
      </c>
      <c r="B19" s="34" t="s">
        <v>1327</v>
      </c>
      <c r="C19" s="34" t="s">
        <v>4</v>
      </c>
      <c r="D19" s="34" t="s">
        <v>1223</v>
      </c>
      <c r="E19" s="34" t="s">
        <v>1328</v>
      </c>
      <c r="F19" s="34" t="s">
        <v>1225</v>
      </c>
      <c r="G19" s="34" t="s">
        <v>1225</v>
      </c>
      <c r="H19" s="34" t="s">
        <v>1225</v>
      </c>
      <c r="I19" s="34" t="s">
        <v>1329</v>
      </c>
      <c r="J19" s="34" t="s">
        <v>1225</v>
      </c>
      <c r="K19" s="34" t="s">
        <v>1225</v>
      </c>
      <c r="L19" s="34" t="s">
        <v>1330</v>
      </c>
      <c r="M19" s="34" t="s">
        <v>302</v>
      </c>
      <c r="N19" s="34" t="s">
        <v>1225</v>
      </c>
      <c r="O19" s="34" t="s">
        <v>1225</v>
      </c>
      <c r="P19" s="34" t="s">
        <v>1225</v>
      </c>
      <c r="Q19" s="34" t="s">
        <v>1227</v>
      </c>
      <c r="R19" s="34" t="s">
        <v>1225</v>
      </c>
      <c r="S19" s="34" t="s">
        <v>1225</v>
      </c>
      <c r="T19" s="34" t="s">
        <v>1225</v>
      </c>
      <c r="U19" s="34" t="s">
        <v>1225</v>
      </c>
      <c r="V19" s="34" t="s">
        <v>1225</v>
      </c>
      <c r="W19" s="34" t="s">
        <v>1331</v>
      </c>
      <c r="X19" s="34" t="s">
        <v>1225</v>
      </c>
      <c r="Y19" s="34" t="s">
        <v>1332</v>
      </c>
      <c r="Z19" s="34" t="s">
        <v>1225</v>
      </c>
      <c r="AA19" s="34" t="s">
        <v>1225</v>
      </c>
      <c r="AB19" s="34" t="s">
        <v>1225</v>
      </c>
      <c r="AC19" s="34" t="s">
        <v>1225</v>
      </c>
      <c r="AD19" s="34" t="s">
        <v>1225</v>
      </c>
      <c r="AE19" s="34" t="s">
        <v>1225</v>
      </c>
      <c r="AF19" s="34" t="s">
        <v>1225</v>
      </c>
      <c r="AG19" s="34" t="s">
        <v>1225</v>
      </c>
      <c r="AH19" s="34" t="s">
        <v>1225</v>
      </c>
      <c r="AI19" s="34" t="s">
        <v>1225</v>
      </c>
      <c r="AJ19" s="34" t="s">
        <v>1225</v>
      </c>
      <c r="AK19" s="34" t="s">
        <v>1225</v>
      </c>
      <c r="AL19" s="34" t="s">
        <v>1225</v>
      </c>
      <c r="AM19" s="34" t="s">
        <v>1225</v>
      </c>
      <c r="AN19" s="34" t="s">
        <v>1225</v>
      </c>
      <c r="AO19" s="34" t="s">
        <v>1225</v>
      </c>
      <c r="AP19" s="34" t="s">
        <v>1225</v>
      </c>
      <c r="AQ19" s="34" t="s">
        <v>1225</v>
      </c>
      <c r="AR19" s="34" t="s">
        <v>1225</v>
      </c>
      <c r="AS19" s="34" t="s">
        <v>1225</v>
      </c>
      <c r="AT19" s="34" t="s">
        <v>1225</v>
      </c>
      <c r="AU19" s="34" t="s">
        <v>1225</v>
      </c>
      <c r="AV19" s="34" t="s">
        <v>1225</v>
      </c>
      <c r="AW19" s="34" t="s">
        <v>1285</v>
      </c>
      <c r="AX19" s="34">
        <v>2022</v>
      </c>
      <c r="AY19" s="34">
        <v>22</v>
      </c>
      <c r="AZ19" s="34">
        <v>10</v>
      </c>
      <c r="BA19" s="34" t="s">
        <v>1225</v>
      </c>
      <c r="BB19" s="34" t="s">
        <v>1225</v>
      </c>
      <c r="BC19" s="34" t="s">
        <v>1225</v>
      </c>
      <c r="BD19" s="34" t="s">
        <v>1225</v>
      </c>
      <c r="BE19" s="34" t="s">
        <v>1225</v>
      </c>
      <c r="BF19" s="34" t="s">
        <v>1225</v>
      </c>
      <c r="BG19" s="34">
        <v>3718</v>
      </c>
      <c r="BH19" s="34" t="s">
        <v>1333</v>
      </c>
      <c r="BI19" s="34" t="str">
        <f>HYPERLINK("http://dx.doi.org/10.3390/s22103718","http://dx.doi.org/10.3390/s22103718")</f>
        <v>http://dx.doi.org/10.3390/s22103718</v>
      </c>
      <c r="BJ19" s="34" t="s">
        <v>1225</v>
      </c>
      <c r="BK19" s="34" t="s">
        <v>1225</v>
      </c>
      <c r="BL19" s="34" t="s">
        <v>1225</v>
      </c>
      <c r="BM19" s="34" t="s">
        <v>1225</v>
      </c>
      <c r="BN19" s="34" t="s">
        <v>1225</v>
      </c>
      <c r="BO19" s="34" t="s">
        <v>1225</v>
      </c>
      <c r="BP19" s="34" t="s">
        <v>1225</v>
      </c>
      <c r="BQ19" s="34" t="s">
        <v>1225</v>
      </c>
      <c r="BR19" s="34" t="s">
        <v>1225</v>
      </c>
      <c r="BS19" s="34" t="s">
        <v>1225</v>
      </c>
      <c r="BT19" s="34" t="s">
        <v>1225</v>
      </c>
      <c r="BU19" s="34" t="s">
        <v>1225</v>
      </c>
      <c r="BV19" s="34" t="s">
        <v>1225</v>
      </c>
      <c r="BW19" s="34" t="str">
        <f t="shared" si="0"/>
        <v>View Full Record in Web of Science</v>
      </c>
      <c r="BX19" s="34"/>
      <c r="BY19" s="41" t="str">
        <f>IF(Deletion!J19=TRUE,"Yes","No")</f>
        <v>Yes</v>
      </c>
    </row>
    <row r="20" spans="1:77" x14ac:dyDescent="0.15">
      <c r="A20" s="34">
        <f t="shared" si="1"/>
        <v>19</v>
      </c>
      <c r="B20" s="35" t="s">
        <v>1334</v>
      </c>
      <c r="C20" s="35" t="s">
        <v>4</v>
      </c>
      <c r="D20" s="34" t="s">
        <v>1223</v>
      </c>
      <c r="E20" s="34" t="s">
        <v>1335</v>
      </c>
      <c r="F20" s="34" t="s">
        <v>1225</v>
      </c>
      <c r="G20" s="34" t="s">
        <v>1225</v>
      </c>
      <c r="H20" s="34" t="s">
        <v>1225</v>
      </c>
      <c r="I20" s="34" t="s">
        <v>1336</v>
      </c>
      <c r="J20" s="34" t="s">
        <v>1225</v>
      </c>
      <c r="K20" s="34" t="s">
        <v>1225</v>
      </c>
      <c r="L20" s="34" t="s">
        <v>1337</v>
      </c>
      <c r="M20" s="34" t="s">
        <v>68</v>
      </c>
      <c r="N20" s="34" t="s">
        <v>1225</v>
      </c>
      <c r="O20" s="34" t="s">
        <v>1225</v>
      </c>
      <c r="P20" s="34" t="s">
        <v>1225</v>
      </c>
      <c r="Q20" s="34" t="s">
        <v>1227</v>
      </c>
      <c r="R20" s="34" t="s">
        <v>1225</v>
      </c>
      <c r="S20" s="34" t="s">
        <v>1225</v>
      </c>
      <c r="T20" s="34" t="s">
        <v>1225</v>
      </c>
      <c r="U20" s="34" t="s">
        <v>1225</v>
      </c>
      <c r="V20" s="34" t="s">
        <v>1225</v>
      </c>
      <c r="W20" s="34" t="s">
        <v>1338</v>
      </c>
      <c r="X20" s="34" t="s">
        <v>1339</v>
      </c>
      <c r="Y20" s="34" t="s">
        <v>1340</v>
      </c>
      <c r="Z20" s="34" t="s">
        <v>1225</v>
      </c>
      <c r="AA20" s="34" t="s">
        <v>1225</v>
      </c>
      <c r="AB20" s="34" t="s">
        <v>1225</v>
      </c>
      <c r="AC20" s="34" t="s">
        <v>1225</v>
      </c>
      <c r="AD20" s="34" t="s">
        <v>1225</v>
      </c>
      <c r="AE20" s="34" t="s">
        <v>1225</v>
      </c>
      <c r="AF20" s="34" t="s">
        <v>1225</v>
      </c>
      <c r="AG20" s="34" t="s">
        <v>1225</v>
      </c>
      <c r="AH20" s="34" t="s">
        <v>1225</v>
      </c>
      <c r="AI20" s="34" t="s">
        <v>1225</v>
      </c>
      <c r="AJ20" s="34" t="s">
        <v>1225</v>
      </c>
      <c r="AK20" s="34" t="s">
        <v>1225</v>
      </c>
      <c r="AL20" s="34" t="s">
        <v>1225</v>
      </c>
      <c r="AM20" s="34" t="s">
        <v>1225</v>
      </c>
      <c r="AN20" s="34" t="s">
        <v>1225</v>
      </c>
      <c r="AO20" s="34" t="s">
        <v>1225</v>
      </c>
      <c r="AP20" s="34" t="s">
        <v>1225</v>
      </c>
      <c r="AQ20" s="34" t="s">
        <v>1225</v>
      </c>
      <c r="AR20" s="34" t="s">
        <v>1225</v>
      </c>
      <c r="AS20" s="34" t="s">
        <v>1225</v>
      </c>
      <c r="AT20" s="34" t="s">
        <v>1225</v>
      </c>
      <c r="AU20" s="34" t="s">
        <v>1225</v>
      </c>
      <c r="AV20" s="34" t="s">
        <v>1225</v>
      </c>
      <c r="AW20" s="34" t="s">
        <v>1225</v>
      </c>
      <c r="AX20" s="34">
        <v>2020</v>
      </c>
      <c r="AY20" s="34">
        <v>8</v>
      </c>
      <c r="AZ20" s="34" t="s">
        <v>1225</v>
      </c>
      <c r="BA20" s="34" t="s">
        <v>1225</v>
      </c>
      <c r="BB20" s="34" t="s">
        <v>1225</v>
      </c>
      <c r="BC20" s="34" t="s">
        <v>1225</v>
      </c>
      <c r="BD20" s="34" t="s">
        <v>1225</v>
      </c>
      <c r="BE20" s="34">
        <v>214434</v>
      </c>
      <c r="BF20" s="34">
        <v>214453</v>
      </c>
      <c r="BG20" s="34" t="s">
        <v>1225</v>
      </c>
      <c r="BH20" s="34" t="s">
        <v>1341</v>
      </c>
      <c r="BI20" s="34" t="str">
        <f>HYPERLINK("http://dx.doi.org/10.1109/ACCESS.2020.3041074","http://dx.doi.org/10.1109/ACCESS.2020.3041074")</f>
        <v>http://dx.doi.org/10.1109/ACCESS.2020.3041074</v>
      </c>
      <c r="BJ20" s="34" t="s">
        <v>1225</v>
      </c>
      <c r="BK20" s="34" t="s">
        <v>1225</v>
      </c>
      <c r="BL20" s="34" t="s">
        <v>1225</v>
      </c>
      <c r="BM20" s="34" t="s">
        <v>1225</v>
      </c>
      <c r="BN20" s="34" t="s">
        <v>1225</v>
      </c>
      <c r="BO20" s="34" t="s">
        <v>1225</v>
      </c>
      <c r="BP20" s="34" t="s">
        <v>1225</v>
      </c>
      <c r="BQ20" s="34" t="s">
        <v>1225</v>
      </c>
      <c r="BR20" s="34" t="s">
        <v>1225</v>
      </c>
      <c r="BS20" s="34" t="s">
        <v>1225</v>
      </c>
      <c r="BT20" s="34" t="s">
        <v>1225</v>
      </c>
      <c r="BU20" s="34" t="s">
        <v>1225</v>
      </c>
      <c r="BV20" s="34" t="s">
        <v>1225</v>
      </c>
      <c r="BW20" s="34" t="str">
        <f t="shared" si="0"/>
        <v>View Full Record in Web of Science</v>
      </c>
      <c r="BX20" s="34"/>
      <c r="BY20" s="41" t="str">
        <f>IF(Deletion!J20=TRUE,"Yes","No")</f>
        <v>Yes</v>
      </c>
    </row>
    <row r="21" spans="1:77" x14ac:dyDescent="0.15">
      <c r="A21" s="34">
        <f t="shared" si="1"/>
        <v>20</v>
      </c>
      <c r="B21" s="35" t="s">
        <v>1278</v>
      </c>
      <c r="C21" s="35" t="s">
        <v>1232</v>
      </c>
      <c r="D21" s="34" t="s">
        <v>1223</v>
      </c>
      <c r="E21" s="34" t="s">
        <v>1342</v>
      </c>
      <c r="F21" s="34" t="s">
        <v>1225</v>
      </c>
      <c r="G21" s="34" t="s">
        <v>1225</v>
      </c>
      <c r="H21" s="34" t="s">
        <v>1225</v>
      </c>
      <c r="I21" s="34" t="s">
        <v>1343</v>
      </c>
      <c r="J21" s="34" t="s">
        <v>1225</v>
      </c>
      <c r="K21" s="34" t="s">
        <v>1225</v>
      </c>
      <c r="L21" s="34" t="s">
        <v>1344</v>
      </c>
      <c r="M21" s="34" t="s">
        <v>849</v>
      </c>
      <c r="N21" s="34" t="s">
        <v>1225</v>
      </c>
      <c r="O21" s="34" t="s">
        <v>1225</v>
      </c>
      <c r="P21" s="34" t="s">
        <v>1225</v>
      </c>
      <c r="Q21" s="34" t="s">
        <v>1227</v>
      </c>
      <c r="R21" s="34" t="s">
        <v>1225</v>
      </c>
      <c r="S21" s="34" t="s">
        <v>1225</v>
      </c>
      <c r="T21" s="34" t="s">
        <v>1225</v>
      </c>
      <c r="U21" s="34" t="s">
        <v>1225</v>
      </c>
      <c r="V21" s="34" t="s">
        <v>1225</v>
      </c>
      <c r="W21" s="34" t="s">
        <v>1345</v>
      </c>
      <c r="X21" s="34" t="s">
        <v>1346</v>
      </c>
      <c r="Y21" s="34" t="s">
        <v>1347</v>
      </c>
      <c r="Z21" s="34" t="s">
        <v>1225</v>
      </c>
      <c r="AA21" s="34" t="s">
        <v>1225</v>
      </c>
      <c r="AB21" s="34" t="s">
        <v>1225</v>
      </c>
      <c r="AC21" s="34" t="s">
        <v>1225</v>
      </c>
      <c r="AD21" s="34" t="s">
        <v>1225</v>
      </c>
      <c r="AE21" s="34" t="s">
        <v>1225</v>
      </c>
      <c r="AF21" s="34" t="s">
        <v>1225</v>
      </c>
      <c r="AG21" s="34" t="s">
        <v>1225</v>
      </c>
      <c r="AH21" s="34" t="s">
        <v>1225</v>
      </c>
      <c r="AI21" s="34" t="s">
        <v>1225</v>
      </c>
      <c r="AJ21" s="34" t="s">
        <v>1225</v>
      </c>
      <c r="AK21" s="34" t="s">
        <v>1225</v>
      </c>
      <c r="AL21" s="34" t="s">
        <v>1225</v>
      </c>
      <c r="AM21" s="34" t="s">
        <v>1225</v>
      </c>
      <c r="AN21" s="34" t="s">
        <v>1225</v>
      </c>
      <c r="AO21" s="34" t="s">
        <v>1225</v>
      </c>
      <c r="AP21" s="34" t="s">
        <v>1225</v>
      </c>
      <c r="AQ21" s="34" t="s">
        <v>1225</v>
      </c>
      <c r="AR21" s="34" t="s">
        <v>1225</v>
      </c>
      <c r="AS21" s="34" t="s">
        <v>1225</v>
      </c>
      <c r="AT21" s="34" t="s">
        <v>1225</v>
      </c>
      <c r="AU21" s="34" t="s">
        <v>1225</v>
      </c>
      <c r="AV21" s="34" t="s">
        <v>1225</v>
      </c>
      <c r="AW21" s="34" t="s">
        <v>1272</v>
      </c>
      <c r="AX21" s="34">
        <v>2019</v>
      </c>
      <c r="AY21" s="34">
        <v>34</v>
      </c>
      <c r="AZ21" s="34">
        <v>2</v>
      </c>
      <c r="BA21" s="34" t="s">
        <v>1225</v>
      </c>
      <c r="BB21" s="34" t="s">
        <v>1225</v>
      </c>
      <c r="BC21" s="34" t="s">
        <v>1225</v>
      </c>
      <c r="BD21" s="34" t="s">
        <v>1225</v>
      </c>
      <c r="BE21" s="34">
        <v>831</v>
      </c>
      <c r="BF21" s="34">
        <v>840</v>
      </c>
      <c r="BG21" s="34" t="s">
        <v>1225</v>
      </c>
      <c r="BH21" s="34" t="s">
        <v>1348</v>
      </c>
      <c r="BI21" s="34" t="str">
        <f>HYPERLINK("http://dx.doi.org/10.1109/TPWRS.2018.2872905","http://dx.doi.org/10.1109/TPWRS.2018.2872905")</f>
        <v>http://dx.doi.org/10.1109/TPWRS.2018.2872905</v>
      </c>
      <c r="BJ21" s="34" t="s">
        <v>1225</v>
      </c>
      <c r="BK21" s="34" t="s">
        <v>1225</v>
      </c>
      <c r="BL21" s="34" t="s">
        <v>1225</v>
      </c>
      <c r="BM21" s="34" t="s">
        <v>1225</v>
      </c>
      <c r="BN21" s="34" t="s">
        <v>1225</v>
      </c>
      <c r="BO21" s="34" t="s">
        <v>1225</v>
      </c>
      <c r="BP21" s="34" t="s">
        <v>1225</v>
      </c>
      <c r="BQ21" s="34" t="s">
        <v>1225</v>
      </c>
      <c r="BR21" s="34" t="s">
        <v>1225</v>
      </c>
      <c r="BS21" s="34" t="s">
        <v>1225</v>
      </c>
      <c r="BT21" s="34" t="s">
        <v>1225</v>
      </c>
      <c r="BU21" s="34" t="s">
        <v>1225</v>
      </c>
      <c r="BV21" s="34" t="s">
        <v>1225</v>
      </c>
      <c r="BW21" s="34" t="str">
        <f t="shared" si="0"/>
        <v>View Full Record in Web of Science</v>
      </c>
      <c r="BX21" s="34"/>
      <c r="BY21" s="41" t="str">
        <f>IF(Deletion!J21=TRUE,"Yes","No")</f>
        <v>Yes</v>
      </c>
    </row>
    <row r="22" spans="1:77" x14ac:dyDescent="0.15">
      <c r="A22" s="34">
        <f t="shared" si="1"/>
        <v>21</v>
      </c>
      <c r="B22" s="35" t="s">
        <v>1349</v>
      </c>
      <c r="C22" s="35" t="s">
        <v>1232</v>
      </c>
      <c r="D22" s="34" t="s">
        <v>1223</v>
      </c>
      <c r="E22" s="34" t="s">
        <v>1350</v>
      </c>
      <c r="F22" s="34" t="s">
        <v>1225</v>
      </c>
      <c r="G22" s="34" t="s">
        <v>1225</v>
      </c>
      <c r="H22" s="34" t="s">
        <v>1225</v>
      </c>
      <c r="I22" s="34" t="s">
        <v>1351</v>
      </c>
      <c r="J22" s="34" t="s">
        <v>1225</v>
      </c>
      <c r="K22" s="34" t="s">
        <v>1225</v>
      </c>
      <c r="L22" s="34" t="s">
        <v>1352</v>
      </c>
      <c r="M22" s="34" t="s">
        <v>1353</v>
      </c>
      <c r="N22" s="34" t="s">
        <v>1225</v>
      </c>
      <c r="O22" s="34" t="s">
        <v>1225</v>
      </c>
      <c r="P22" s="34" t="s">
        <v>1225</v>
      </c>
      <c r="Q22" s="34" t="s">
        <v>1227</v>
      </c>
      <c r="R22" s="34" t="s">
        <v>1225</v>
      </c>
      <c r="S22" s="34" t="s">
        <v>1225</v>
      </c>
      <c r="T22" s="34" t="s">
        <v>1225</v>
      </c>
      <c r="U22" s="34" t="s">
        <v>1225</v>
      </c>
      <c r="V22" s="34" t="s">
        <v>1225</v>
      </c>
      <c r="W22" s="34" t="s">
        <v>1354</v>
      </c>
      <c r="X22" s="34" t="s">
        <v>1225</v>
      </c>
      <c r="Y22" s="34" t="s">
        <v>1355</v>
      </c>
      <c r="Z22" s="34" t="s">
        <v>1225</v>
      </c>
      <c r="AA22" s="34" t="s">
        <v>1225</v>
      </c>
      <c r="AB22" s="34" t="s">
        <v>1225</v>
      </c>
      <c r="AC22" s="34" t="s">
        <v>1225</v>
      </c>
      <c r="AD22" s="34" t="s">
        <v>1225</v>
      </c>
      <c r="AE22" s="34" t="s">
        <v>1225</v>
      </c>
      <c r="AF22" s="34" t="s">
        <v>1225</v>
      </c>
      <c r="AG22" s="34" t="s">
        <v>1225</v>
      </c>
      <c r="AH22" s="34" t="s">
        <v>1225</v>
      </c>
      <c r="AI22" s="34" t="s">
        <v>1225</v>
      </c>
      <c r="AJ22" s="34" t="s">
        <v>1225</v>
      </c>
      <c r="AK22" s="34" t="s">
        <v>1225</v>
      </c>
      <c r="AL22" s="34" t="s">
        <v>1225</v>
      </c>
      <c r="AM22" s="34" t="s">
        <v>1225</v>
      </c>
      <c r="AN22" s="34" t="s">
        <v>1225</v>
      </c>
      <c r="AO22" s="34" t="s">
        <v>1225</v>
      </c>
      <c r="AP22" s="34" t="s">
        <v>1225</v>
      </c>
      <c r="AQ22" s="34" t="s">
        <v>1225</v>
      </c>
      <c r="AR22" s="34" t="s">
        <v>1225</v>
      </c>
      <c r="AS22" s="34" t="s">
        <v>1225</v>
      </c>
      <c r="AT22" s="34" t="s">
        <v>1225</v>
      </c>
      <c r="AU22" s="34" t="s">
        <v>1225</v>
      </c>
      <c r="AV22" s="34" t="s">
        <v>1225</v>
      </c>
      <c r="AW22" s="34" t="s">
        <v>1356</v>
      </c>
      <c r="AX22" s="34">
        <v>2019</v>
      </c>
      <c r="AY22" s="34">
        <v>1</v>
      </c>
      <c r="AZ22" s="34">
        <v>4</v>
      </c>
      <c r="BA22" s="34" t="s">
        <v>1225</v>
      </c>
      <c r="BB22" s="34" t="s">
        <v>1225</v>
      </c>
      <c r="BC22" s="34" t="s">
        <v>1225</v>
      </c>
      <c r="BD22" s="34" t="s">
        <v>1225</v>
      </c>
      <c r="BE22" s="34" t="s">
        <v>1225</v>
      </c>
      <c r="BF22" s="34" t="s">
        <v>1225</v>
      </c>
      <c r="BG22" s="34" t="s">
        <v>1357</v>
      </c>
      <c r="BH22" s="34" t="s">
        <v>1358</v>
      </c>
      <c r="BI22" s="34" t="str">
        <f>HYPERLINK("http://dx.doi.org/10.1002/est2.76","http://dx.doi.org/10.1002/est2.76")</f>
        <v>http://dx.doi.org/10.1002/est2.76</v>
      </c>
      <c r="BJ22" s="34" t="s">
        <v>1225</v>
      </c>
      <c r="BK22" s="34" t="s">
        <v>1225</v>
      </c>
      <c r="BL22" s="34" t="s">
        <v>1225</v>
      </c>
      <c r="BM22" s="34" t="s">
        <v>1225</v>
      </c>
      <c r="BN22" s="34" t="s">
        <v>1225</v>
      </c>
      <c r="BO22" s="34" t="s">
        <v>1225</v>
      </c>
      <c r="BP22" s="34" t="s">
        <v>1225</v>
      </c>
      <c r="BQ22" s="34" t="s">
        <v>1225</v>
      </c>
      <c r="BR22" s="34" t="s">
        <v>1225</v>
      </c>
      <c r="BS22" s="34" t="s">
        <v>1225</v>
      </c>
      <c r="BT22" s="34" t="s">
        <v>1225</v>
      </c>
      <c r="BU22" s="34" t="s">
        <v>1225</v>
      </c>
      <c r="BV22" s="34" t="s">
        <v>1225</v>
      </c>
      <c r="BW22" s="34" t="str">
        <f t="shared" si="0"/>
        <v>View Full Record in Web of Science</v>
      </c>
      <c r="BX22" s="34"/>
      <c r="BY22" s="41" t="str">
        <f>IF(Deletion!J22=TRUE,"Yes","No")</f>
        <v>No</v>
      </c>
    </row>
    <row r="23" spans="1:77" x14ac:dyDescent="0.15">
      <c r="A23" s="34">
        <f t="shared" si="1"/>
        <v>22</v>
      </c>
      <c r="B23" s="35" t="s">
        <v>1359</v>
      </c>
      <c r="C23" s="35" t="s">
        <v>1232</v>
      </c>
      <c r="D23" s="34" t="s">
        <v>1223</v>
      </c>
      <c r="E23" s="34" t="s">
        <v>1360</v>
      </c>
      <c r="F23" s="34" t="s">
        <v>1225</v>
      </c>
      <c r="G23" s="34" t="s">
        <v>1225</v>
      </c>
      <c r="H23" s="34" t="s">
        <v>1225</v>
      </c>
      <c r="I23" s="34" t="s">
        <v>1361</v>
      </c>
      <c r="J23" s="34" t="s">
        <v>1225</v>
      </c>
      <c r="K23" s="34" t="s">
        <v>1225</v>
      </c>
      <c r="L23" s="34" t="s">
        <v>1362</v>
      </c>
      <c r="M23" s="34" t="s">
        <v>1363</v>
      </c>
      <c r="N23" s="34" t="s">
        <v>1225</v>
      </c>
      <c r="O23" s="34" t="s">
        <v>1225</v>
      </c>
      <c r="P23" s="34" t="s">
        <v>1225</v>
      </c>
      <c r="Q23" s="34" t="s">
        <v>1227</v>
      </c>
      <c r="R23" s="34" t="s">
        <v>1225</v>
      </c>
      <c r="S23" s="34" t="s">
        <v>1225</v>
      </c>
      <c r="T23" s="34" t="s">
        <v>1225</v>
      </c>
      <c r="U23" s="34" t="s">
        <v>1225</v>
      </c>
      <c r="V23" s="34" t="s">
        <v>1225</v>
      </c>
      <c r="W23" s="34" t="s">
        <v>1364</v>
      </c>
      <c r="X23" s="34" t="s">
        <v>1365</v>
      </c>
      <c r="Y23" s="34" t="s">
        <v>1366</v>
      </c>
      <c r="Z23" s="34" t="s">
        <v>1225</v>
      </c>
      <c r="AA23" s="34" t="s">
        <v>1225</v>
      </c>
      <c r="AB23" s="34" t="s">
        <v>1225</v>
      </c>
      <c r="AC23" s="34" t="s">
        <v>1225</v>
      </c>
      <c r="AD23" s="34" t="s">
        <v>1225</v>
      </c>
      <c r="AE23" s="34" t="s">
        <v>1225</v>
      </c>
      <c r="AF23" s="34" t="s">
        <v>1225</v>
      </c>
      <c r="AG23" s="34" t="s">
        <v>1225</v>
      </c>
      <c r="AH23" s="34" t="s">
        <v>1225</v>
      </c>
      <c r="AI23" s="34" t="s">
        <v>1225</v>
      </c>
      <c r="AJ23" s="34" t="s">
        <v>1225</v>
      </c>
      <c r="AK23" s="34" t="s">
        <v>1225</v>
      </c>
      <c r="AL23" s="34" t="s">
        <v>1225</v>
      </c>
      <c r="AM23" s="34" t="s">
        <v>1225</v>
      </c>
      <c r="AN23" s="34" t="s">
        <v>1225</v>
      </c>
      <c r="AO23" s="34" t="s">
        <v>1225</v>
      </c>
      <c r="AP23" s="34" t="s">
        <v>1225</v>
      </c>
      <c r="AQ23" s="34" t="s">
        <v>1225</v>
      </c>
      <c r="AR23" s="34" t="s">
        <v>1225</v>
      </c>
      <c r="AS23" s="34" t="s">
        <v>1225</v>
      </c>
      <c r="AT23" s="34" t="s">
        <v>1225</v>
      </c>
      <c r="AU23" s="34" t="s">
        <v>1225</v>
      </c>
      <c r="AV23" s="34" t="s">
        <v>1225</v>
      </c>
      <c r="AW23" s="34" t="s">
        <v>1285</v>
      </c>
      <c r="AX23" s="34">
        <v>2019</v>
      </c>
      <c r="AY23" s="34">
        <v>125</v>
      </c>
      <c r="AZ23" s="34" t="s">
        <v>1225</v>
      </c>
      <c r="BA23" s="34" t="s">
        <v>1225</v>
      </c>
      <c r="BB23" s="34" t="s">
        <v>1225</v>
      </c>
      <c r="BC23" s="34" t="s">
        <v>1225</v>
      </c>
      <c r="BD23" s="34" t="s">
        <v>1225</v>
      </c>
      <c r="BE23" s="34">
        <v>160</v>
      </c>
      <c r="BF23" s="34">
        <v>180</v>
      </c>
      <c r="BG23" s="34" t="s">
        <v>1225</v>
      </c>
      <c r="BH23" s="34" t="s">
        <v>1367</v>
      </c>
      <c r="BI23" s="34" t="str">
        <f>HYPERLINK("http://dx.doi.org/10.1016/j.tre.2019.03.010","http://dx.doi.org/10.1016/j.tre.2019.03.010")</f>
        <v>http://dx.doi.org/10.1016/j.tre.2019.03.010</v>
      </c>
      <c r="BJ23" s="34" t="s">
        <v>1225</v>
      </c>
      <c r="BK23" s="34" t="s">
        <v>1225</v>
      </c>
      <c r="BL23" s="34" t="s">
        <v>1225</v>
      </c>
      <c r="BM23" s="34" t="s">
        <v>1225</v>
      </c>
      <c r="BN23" s="34" t="s">
        <v>1225</v>
      </c>
      <c r="BO23" s="34" t="s">
        <v>1225</v>
      </c>
      <c r="BP23" s="34" t="s">
        <v>1225</v>
      </c>
      <c r="BQ23" s="34" t="s">
        <v>1225</v>
      </c>
      <c r="BR23" s="34" t="s">
        <v>1225</v>
      </c>
      <c r="BS23" s="34" t="s">
        <v>1225</v>
      </c>
      <c r="BT23" s="34" t="s">
        <v>1225</v>
      </c>
      <c r="BU23" s="34" t="s">
        <v>1225</v>
      </c>
      <c r="BV23" s="34" t="s">
        <v>1225</v>
      </c>
      <c r="BW23" s="34" t="str">
        <f t="shared" si="0"/>
        <v>View Full Record in Web of Science</v>
      </c>
      <c r="BX23" s="34"/>
      <c r="BY23" s="41" t="str">
        <f>IF(Deletion!J23=TRUE,"Yes","No")</f>
        <v>No</v>
      </c>
    </row>
    <row r="24" spans="1:77" x14ac:dyDescent="0.15">
      <c r="A24" s="34">
        <f t="shared" si="1"/>
        <v>23</v>
      </c>
      <c r="B24" s="35" t="s">
        <v>1368</v>
      </c>
      <c r="C24" s="35" t="s">
        <v>1232</v>
      </c>
      <c r="D24" s="34" t="s">
        <v>1223</v>
      </c>
      <c r="E24" s="34" t="s">
        <v>1369</v>
      </c>
      <c r="F24" s="34" t="s">
        <v>1225</v>
      </c>
      <c r="G24" s="34" t="s">
        <v>1225</v>
      </c>
      <c r="H24" s="34" t="s">
        <v>1225</v>
      </c>
      <c r="I24" s="34" t="s">
        <v>1370</v>
      </c>
      <c r="J24" s="34" t="s">
        <v>1225</v>
      </c>
      <c r="K24" s="34" t="s">
        <v>1225</v>
      </c>
      <c r="L24" s="34" t="s">
        <v>1371</v>
      </c>
      <c r="M24" s="34" t="s">
        <v>1372</v>
      </c>
      <c r="N24" s="34" t="s">
        <v>1225</v>
      </c>
      <c r="O24" s="34" t="s">
        <v>1225</v>
      </c>
      <c r="P24" s="34" t="s">
        <v>1225</v>
      </c>
      <c r="Q24" s="34" t="s">
        <v>1227</v>
      </c>
      <c r="R24" s="34" t="s">
        <v>1225</v>
      </c>
      <c r="S24" s="34" t="s">
        <v>1225</v>
      </c>
      <c r="T24" s="34" t="s">
        <v>1225</v>
      </c>
      <c r="U24" s="34" t="s">
        <v>1225</v>
      </c>
      <c r="V24" s="34" t="s">
        <v>1225</v>
      </c>
      <c r="W24" s="34" t="s">
        <v>1373</v>
      </c>
      <c r="X24" s="34" t="s">
        <v>1374</v>
      </c>
      <c r="Y24" s="34" t="s">
        <v>1375</v>
      </c>
      <c r="Z24" s="34" t="s">
        <v>1225</v>
      </c>
      <c r="AA24" s="34" t="s">
        <v>1225</v>
      </c>
      <c r="AB24" s="34" t="s">
        <v>1225</v>
      </c>
      <c r="AC24" s="34" t="s">
        <v>1225</v>
      </c>
      <c r="AD24" s="34" t="s">
        <v>1225</v>
      </c>
      <c r="AE24" s="34" t="s">
        <v>1225</v>
      </c>
      <c r="AF24" s="34" t="s">
        <v>1225</v>
      </c>
      <c r="AG24" s="34" t="s">
        <v>1225</v>
      </c>
      <c r="AH24" s="34" t="s">
        <v>1225</v>
      </c>
      <c r="AI24" s="34" t="s">
        <v>1225</v>
      </c>
      <c r="AJ24" s="34" t="s">
        <v>1225</v>
      </c>
      <c r="AK24" s="34" t="s">
        <v>1225</v>
      </c>
      <c r="AL24" s="34" t="s">
        <v>1225</v>
      </c>
      <c r="AM24" s="34" t="s">
        <v>1225</v>
      </c>
      <c r="AN24" s="34" t="s">
        <v>1225</v>
      </c>
      <c r="AO24" s="34" t="s">
        <v>1225</v>
      </c>
      <c r="AP24" s="34" t="s">
        <v>1225</v>
      </c>
      <c r="AQ24" s="34" t="s">
        <v>1225</v>
      </c>
      <c r="AR24" s="34" t="s">
        <v>1225</v>
      </c>
      <c r="AS24" s="34" t="s">
        <v>1225</v>
      </c>
      <c r="AT24" s="34" t="s">
        <v>1225</v>
      </c>
      <c r="AU24" s="34" t="s">
        <v>1225</v>
      </c>
      <c r="AV24" s="34" t="s">
        <v>1225</v>
      </c>
      <c r="AW24" s="34" t="s">
        <v>1256</v>
      </c>
      <c r="AX24" s="34">
        <v>2021</v>
      </c>
      <c r="AY24" s="34">
        <v>10</v>
      </c>
      <c r="AZ24" s="34">
        <v>23</v>
      </c>
      <c r="BA24" s="34" t="s">
        <v>1225</v>
      </c>
      <c r="BB24" s="34" t="s">
        <v>1225</v>
      </c>
      <c r="BC24" s="34" t="s">
        <v>1225</v>
      </c>
      <c r="BD24" s="34" t="s">
        <v>1225</v>
      </c>
      <c r="BE24" s="34" t="s">
        <v>1225</v>
      </c>
      <c r="BF24" s="34" t="s">
        <v>1225</v>
      </c>
      <c r="BG24" s="34">
        <v>2887</v>
      </c>
      <c r="BH24" s="34" t="s">
        <v>1376</v>
      </c>
      <c r="BI24" s="34" t="str">
        <f>HYPERLINK("http://dx.doi.org/10.3390/electronics10232887","http://dx.doi.org/10.3390/electronics10232887")</f>
        <v>http://dx.doi.org/10.3390/electronics10232887</v>
      </c>
      <c r="BJ24" s="34" t="s">
        <v>1225</v>
      </c>
      <c r="BK24" s="34" t="s">
        <v>1225</v>
      </c>
      <c r="BL24" s="34" t="s">
        <v>1225</v>
      </c>
      <c r="BM24" s="34" t="s">
        <v>1225</v>
      </c>
      <c r="BN24" s="34" t="s">
        <v>1225</v>
      </c>
      <c r="BO24" s="34" t="s">
        <v>1225</v>
      </c>
      <c r="BP24" s="34" t="s">
        <v>1225</v>
      </c>
      <c r="BQ24" s="34" t="s">
        <v>1225</v>
      </c>
      <c r="BR24" s="34" t="s">
        <v>1225</v>
      </c>
      <c r="BS24" s="34" t="s">
        <v>1225</v>
      </c>
      <c r="BT24" s="34" t="s">
        <v>1225</v>
      </c>
      <c r="BU24" s="34" t="s">
        <v>1225</v>
      </c>
      <c r="BV24" s="34" t="s">
        <v>1225</v>
      </c>
      <c r="BW24" s="34" t="str">
        <f t="shared" si="0"/>
        <v>View Full Record in Web of Science</v>
      </c>
      <c r="BX24" s="34"/>
      <c r="BY24" s="41" t="str">
        <f>IF(Deletion!J24=TRUE,"Yes","No")</f>
        <v>Yes</v>
      </c>
    </row>
    <row r="25" spans="1:77" x14ac:dyDescent="0.15">
      <c r="A25" s="34">
        <f t="shared" si="1"/>
        <v>24</v>
      </c>
      <c r="B25" s="35" t="s">
        <v>1377</v>
      </c>
      <c r="C25" s="35" t="s">
        <v>1232</v>
      </c>
      <c r="D25" s="34" t="s">
        <v>1223</v>
      </c>
      <c r="E25" s="34" t="s">
        <v>1378</v>
      </c>
      <c r="F25" s="34" t="s">
        <v>1225</v>
      </c>
      <c r="G25" s="34" t="s">
        <v>1225</v>
      </c>
      <c r="H25" s="34" t="s">
        <v>1225</v>
      </c>
      <c r="I25" s="34" t="s">
        <v>1379</v>
      </c>
      <c r="J25" s="34" t="s">
        <v>1225</v>
      </c>
      <c r="K25" s="34" t="s">
        <v>1225</v>
      </c>
      <c r="L25" s="34" t="s">
        <v>1380</v>
      </c>
      <c r="M25" s="34" t="s">
        <v>422</v>
      </c>
      <c r="N25" s="34" t="s">
        <v>1225</v>
      </c>
      <c r="O25" s="34" t="s">
        <v>1225</v>
      </c>
      <c r="P25" s="34" t="s">
        <v>1225</v>
      </c>
      <c r="Q25" s="34" t="s">
        <v>1227</v>
      </c>
      <c r="R25" s="34" t="s">
        <v>1225</v>
      </c>
      <c r="S25" s="34" t="s">
        <v>1225</v>
      </c>
      <c r="T25" s="34" t="s">
        <v>1225</v>
      </c>
      <c r="U25" s="34" t="s">
        <v>1225</v>
      </c>
      <c r="V25" s="34" t="s">
        <v>1225</v>
      </c>
      <c r="W25" s="34" t="s">
        <v>1381</v>
      </c>
      <c r="X25" s="34" t="s">
        <v>1382</v>
      </c>
      <c r="Y25" s="34" t="s">
        <v>1383</v>
      </c>
      <c r="Z25" s="34" t="s">
        <v>1225</v>
      </c>
      <c r="AA25" s="34" t="s">
        <v>1225</v>
      </c>
      <c r="AB25" s="34" t="s">
        <v>1225</v>
      </c>
      <c r="AC25" s="34" t="s">
        <v>1225</v>
      </c>
      <c r="AD25" s="34" t="s">
        <v>1225</v>
      </c>
      <c r="AE25" s="34" t="s">
        <v>1225</v>
      </c>
      <c r="AF25" s="34" t="s">
        <v>1225</v>
      </c>
      <c r="AG25" s="34" t="s">
        <v>1225</v>
      </c>
      <c r="AH25" s="34" t="s">
        <v>1225</v>
      </c>
      <c r="AI25" s="34" t="s">
        <v>1225</v>
      </c>
      <c r="AJ25" s="34" t="s">
        <v>1225</v>
      </c>
      <c r="AK25" s="34" t="s">
        <v>1225</v>
      </c>
      <c r="AL25" s="34" t="s">
        <v>1225</v>
      </c>
      <c r="AM25" s="34" t="s">
        <v>1225</v>
      </c>
      <c r="AN25" s="34" t="s">
        <v>1225</v>
      </c>
      <c r="AO25" s="34" t="s">
        <v>1225</v>
      </c>
      <c r="AP25" s="34" t="s">
        <v>1225</v>
      </c>
      <c r="AQ25" s="34" t="s">
        <v>1225</v>
      </c>
      <c r="AR25" s="34" t="s">
        <v>1225</v>
      </c>
      <c r="AS25" s="34" t="s">
        <v>1225</v>
      </c>
      <c r="AT25" s="34" t="s">
        <v>1225</v>
      </c>
      <c r="AU25" s="34" t="s">
        <v>1225</v>
      </c>
      <c r="AV25" s="34" t="s">
        <v>1225</v>
      </c>
      <c r="AW25" s="34" t="s">
        <v>1384</v>
      </c>
      <c r="AX25" s="34">
        <v>2019</v>
      </c>
      <c r="AY25" s="34">
        <v>12</v>
      </c>
      <c r="AZ25" s="34">
        <v>12</v>
      </c>
      <c r="BA25" s="34" t="s">
        <v>1225</v>
      </c>
      <c r="BB25" s="34" t="s">
        <v>1225</v>
      </c>
      <c r="BC25" s="34" t="s">
        <v>1225</v>
      </c>
      <c r="BD25" s="34" t="s">
        <v>1225</v>
      </c>
      <c r="BE25" s="34" t="s">
        <v>1225</v>
      </c>
      <c r="BF25" s="34" t="s">
        <v>1225</v>
      </c>
      <c r="BG25" s="34">
        <v>2402</v>
      </c>
      <c r="BH25" s="34" t="s">
        <v>1385</v>
      </c>
      <c r="BI25" s="34" t="str">
        <f>HYPERLINK("http://dx.doi.org/10.3390/en12122402","http://dx.doi.org/10.3390/en12122402")</f>
        <v>http://dx.doi.org/10.3390/en12122402</v>
      </c>
      <c r="BJ25" s="34" t="s">
        <v>1225</v>
      </c>
      <c r="BK25" s="34" t="s">
        <v>1225</v>
      </c>
      <c r="BL25" s="34" t="s">
        <v>1225</v>
      </c>
      <c r="BM25" s="34" t="s">
        <v>1225</v>
      </c>
      <c r="BN25" s="34" t="s">
        <v>1225</v>
      </c>
      <c r="BO25" s="34" t="s">
        <v>1225</v>
      </c>
      <c r="BP25" s="34" t="s">
        <v>1225</v>
      </c>
      <c r="BQ25" s="34" t="s">
        <v>1225</v>
      </c>
      <c r="BR25" s="34" t="s">
        <v>1225</v>
      </c>
      <c r="BS25" s="34" t="s">
        <v>1225</v>
      </c>
      <c r="BT25" s="34" t="s">
        <v>1225</v>
      </c>
      <c r="BU25" s="34" t="s">
        <v>1225</v>
      </c>
      <c r="BV25" s="34" t="s">
        <v>1225</v>
      </c>
      <c r="BW25" s="34" t="str">
        <f t="shared" si="0"/>
        <v>View Full Record in Web of Science</v>
      </c>
      <c r="BX25" s="34"/>
      <c r="BY25" s="41" t="str">
        <f>IF(Deletion!J25=TRUE,"Yes","No")</f>
        <v>Yes</v>
      </c>
    </row>
    <row r="26" spans="1:77" x14ac:dyDescent="0.15">
      <c r="A26" s="34">
        <f t="shared" si="1"/>
        <v>25</v>
      </c>
      <c r="B26" s="37" t="s">
        <v>1386</v>
      </c>
      <c r="C26" s="37" t="s">
        <v>1232</v>
      </c>
      <c r="D26" s="34" t="s">
        <v>1223</v>
      </c>
      <c r="E26" s="34" t="s">
        <v>1387</v>
      </c>
      <c r="F26" s="34" t="s">
        <v>1225</v>
      </c>
      <c r="G26" s="34" t="s">
        <v>1225</v>
      </c>
      <c r="H26" s="34" t="s">
        <v>1225</v>
      </c>
      <c r="I26" s="34" t="s">
        <v>1388</v>
      </c>
      <c r="J26" s="34" t="s">
        <v>1225</v>
      </c>
      <c r="K26" s="34" t="s">
        <v>1225</v>
      </c>
      <c r="L26" s="34" t="s">
        <v>1389</v>
      </c>
      <c r="M26" s="34" t="s">
        <v>1390</v>
      </c>
      <c r="N26" s="34" t="s">
        <v>1225</v>
      </c>
      <c r="O26" s="34" t="s">
        <v>1225</v>
      </c>
      <c r="P26" s="34" t="s">
        <v>1225</v>
      </c>
      <c r="Q26" s="34" t="s">
        <v>1227</v>
      </c>
      <c r="R26" s="34" t="s">
        <v>1225</v>
      </c>
      <c r="S26" s="34" t="s">
        <v>1225</v>
      </c>
      <c r="T26" s="34" t="s">
        <v>1225</v>
      </c>
      <c r="U26" s="34" t="s">
        <v>1225</v>
      </c>
      <c r="V26" s="34" t="s">
        <v>1225</v>
      </c>
      <c r="W26" s="34" t="s">
        <v>1391</v>
      </c>
      <c r="X26" s="34" t="s">
        <v>1225</v>
      </c>
      <c r="Y26" s="34" t="s">
        <v>1392</v>
      </c>
      <c r="Z26" s="34" t="s">
        <v>1225</v>
      </c>
      <c r="AA26" s="34" t="s">
        <v>1225</v>
      </c>
      <c r="AB26" s="34" t="s">
        <v>1225</v>
      </c>
      <c r="AC26" s="34" t="s">
        <v>1225</v>
      </c>
      <c r="AD26" s="34" t="s">
        <v>1225</v>
      </c>
      <c r="AE26" s="34" t="s">
        <v>1225</v>
      </c>
      <c r="AF26" s="34" t="s">
        <v>1225</v>
      </c>
      <c r="AG26" s="34" t="s">
        <v>1225</v>
      </c>
      <c r="AH26" s="34" t="s">
        <v>1225</v>
      </c>
      <c r="AI26" s="34" t="s">
        <v>1225</v>
      </c>
      <c r="AJ26" s="34" t="s">
        <v>1225</v>
      </c>
      <c r="AK26" s="34" t="s">
        <v>1225</v>
      </c>
      <c r="AL26" s="34" t="s">
        <v>1225</v>
      </c>
      <c r="AM26" s="34" t="s">
        <v>1225</v>
      </c>
      <c r="AN26" s="34" t="s">
        <v>1225</v>
      </c>
      <c r="AO26" s="34" t="s">
        <v>1225</v>
      </c>
      <c r="AP26" s="34" t="s">
        <v>1225</v>
      </c>
      <c r="AQ26" s="34" t="s">
        <v>1225</v>
      </c>
      <c r="AR26" s="34" t="s">
        <v>1225</v>
      </c>
      <c r="AS26" s="34" t="s">
        <v>1225</v>
      </c>
      <c r="AT26" s="34" t="s">
        <v>1225</v>
      </c>
      <c r="AU26" s="34" t="s">
        <v>1225</v>
      </c>
      <c r="AV26" s="34" t="s">
        <v>1225</v>
      </c>
      <c r="AW26" s="34" t="s">
        <v>1393</v>
      </c>
      <c r="AX26" s="34">
        <v>2021</v>
      </c>
      <c r="AY26" s="34">
        <v>73</v>
      </c>
      <c r="AZ26" s="34" t="s">
        <v>1225</v>
      </c>
      <c r="BA26" s="34" t="s">
        <v>1225</v>
      </c>
      <c r="BB26" s="34" t="s">
        <v>1225</v>
      </c>
      <c r="BC26" s="34" t="s">
        <v>1225</v>
      </c>
      <c r="BD26" s="34" t="s">
        <v>1225</v>
      </c>
      <c r="BE26" s="34" t="s">
        <v>1225</v>
      </c>
      <c r="BF26" s="34" t="s">
        <v>1225</v>
      </c>
      <c r="BG26" s="34">
        <v>101391</v>
      </c>
      <c r="BH26" s="34" t="s">
        <v>1394</v>
      </c>
      <c r="BI26" s="34" t="str">
        <f>HYPERLINK("http://dx.doi.org/10.1016/j.pmcj.2021.101391","http://dx.doi.org/10.1016/j.pmcj.2021.101391")</f>
        <v>http://dx.doi.org/10.1016/j.pmcj.2021.101391</v>
      </c>
      <c r="BJ26" s="34" t="s">
        <v>1225</v>
      </c>
      <c r="BK26" s="34" t="s">
        <v>1395</v>
      </c>
      <c r="BL26" s="34" t="s">
        <v>1225</v>
      </c>
      <c r="BM26" s="34" t="s">
        <v>1225</v>
      </c>
      <c r="BN26" s="34" t="s">
        <v>1225</v>
      </c>
      <c r="BO26" s="34" t="s">
        <v>1225</v>
      </c>
      <c r="BP26" s="34" t="s">
        <v>1225</v>
      </c>
      <c r="BQ26" s="34" t="s">
        <v>1225</v>
      </c>
      <c r="BR26" s="34" t="s">
        <v>1225</v>
      </c>
      <c r="BS26" s="34" t="s">
        <v>1225</v>
      </c>
      <c r="BT26" s="34" t="s">
        <v>1225</v>
      </c>
      <c r="BU26" s="34" t="s">
        <v>1225</v>
      </c>
      <c r="BV26" s="34" t="s">
        <v>1225</v>
      </c>
      <c r="BW26" s="34" t="str">
        <f t="shared" si="0"/>
        <v>View Full Record in Web of Science</v>
      </c>
      <c r="BX26" s="34"/>
      <c r="BY26" s="41" t="str">
        <f>IF(Deletion!J26=TRUE,"Yes","No")</f>
        <v>No</v>
      </c>
    </row>
    <row r="27" spans="1:77" x14ac:dyDescent="0.15">
      <c r="A27" s="33">
        <f t="shared" si="1"/>
        <v>26</v>
      </c>
      <c r="B27" s="33" t="s">
        <v>1222</v>
      </c>
      <c r="C27" s="33" t="s">
        <v>1222</v>
      </c>
      <c r="D27" s="33" t="s">
        <v>1223</v>
      </c>
      <c r="E27" s="33" t="s">
        <v>1396</v>
      </c>
      <c r="F27" s="33" t="s">
        <v>1225</v>
      </c>
      <c r="G27" s="33" t="s">
        <v>1225</v>
      </c>
      <c r="H27" s="33" t="s">
        <v>1225</v>
      </c>
      <c r="I27" s="33" t="s">
        <v>217</v>
      </c>
      <c r="J27" s="33" t="s">
        <v>1225</v>
      </c>
      <c r="K27" s="33" t="s">
        <v>1225</v>
      </c>
      <c r="L27" s="33" t="s">
        <v>215</v>
      </c>
      <c r="M27" s="33" t="s">
        <v>216</v>
      </c>
      <c r="N27" s="33" t="s">
        <v>1225</v>
      </c>
      <c r="O27" s="33" t="s">
        <v>1225</v>
      </c>
      <c r="P27" s="33" t="s">
        <v>1225</v>
      </c>
      <c r="Q27" s="33" t="s">
        <v>1227</v>
      </c>
      <c r="R27" s="33" t="s">
        <v>1225</v>
      </c>
      <c r="S27" s="33" t="s">
        <v>1225</v>
      </c>
      <c r="T27" s="33" t="s">
        <v>1225</v>
      </c>
      <c r="U27" s="33" t="s">
        <v>1225</v>
      </c>
      <c r="V27" s="33" t="s">
        <v>1225</v>
      </c>
      <c r="W27" s="33" t="s">
        <v>218</v>
      </c>
      <c r="X27" s="33" t="s">
        <v>1397</v>
      </c>
      <c r="Y27" s="33" t="s">
        <v>1398</v>
      </c>
      <c r="Z27" s="33" t="s">
        <v>1225</v>
      </c>
      <c r="AA27" s="33" t="s">
        <v>1225</v>
      </c>
      <c r="AB27" s="33" t="s">
        <v>1225</v>
      </c>
      <c r="AC27" s="33" t="s">
        <v>1225</v>
      </c>
      <c r="AD27" s="33" t="s">
        <v>1225</v>
      </c>
      <c r="AE27" s="33" t="s">
        <v>1225</v>
      </c>
      <c r="AF27" s="33" t="s">
        <v>1225</v>
      </c>
      <c r="AG27" s="33" t="s">
        <v>1225</v>
      </c>
      <c r="AH27" s="33" t="s">
        <v>1225</v>
      </c>
      <c r="AI27" s="33" t="s">
        <v>1225</v>
      </c>
      <c r="AJ27" s="33" t="s">
        <v>1225</v>
      </c>
      <c r="AK27" s="33" t="s">
        <v>1225</v>
      </c>
      <c r="AL27" s="33" t="s">
        <v>1225</v>
      </c>
      <c r="AM27" s="33" t="s">
        <v>1225</v>
      </c>
      <c r="AN27" s="33" t="s">
        <v>1225</v>
      </c>
      <c r="AO27" s="33" t="s">
        <v>1225</v>
      </c>
      <c r="AP27" s="33" t="s">
        <v>1225</v>
      </c>
      <c r="AQ27" s="33" t="s">
        <v>1225</v>
      </c>
      <c r="AR27" s="33" t="s">
        <v>1225</v>
      </c>
      <c r="AS27" s="33" t="s">
        <v>1225</v>
      </c>
      <c r="AT27" s="33" t="s">
        <v>1225</v>
      </c>
      <c r="AU27" s="33" t="s">
        <v>1225</v>
      </c>
      <c r="AV27" s="33" t="s">
        <v>1225</v>
      </c>
      <c r="AW27" s="33" t="s">
        <v>1399</v>
      </c>
      <c r="AX27" s="33">
        <v>2020</v>
      </c>
      <c r="AY27" s="33">
        <v>223</v>
      </c>
      <c r="AZ27" s="33" t="s">
        <v>1225</v>
      </c>
      <c r="BA27" s="33" t="s">
        <v>1225</v>
      </c>
      <c r="BB27" s="33" t="s">
        <v>1225</v>
      </c>
      <c r="BC27" s="33" t="s">
        <v>1225</v>
      </c>
      <c r="BD27" s="33" t="s">
        <v>1225</v>
      </c>
      <c r="BE27" s="33" t="s">
        <v>1225</v>
      </c>
      <c r="BF27" s="33" t="s">
        <v>1225</v>
      </c>
      <c r="BG27" s="33">
        <v>110155</v>
      </c>
      <c r="BH27" s="33" t="s">
        <v>1400</v>
      </c>
      <c r="BI27" s="33" t="str">
        <f>HYPERLINK("http://dx.doi.org/10.1016/j.enbuild.2020.110155","http://dx.doi.org/10.1016/j.enbuild.2020.110155")</f>
        <v>http://dx.doi.org/10.1016/j.enbuild.2020.110155</v>
      </c>
      <c r="BJ27" s="33" t="s">
        <v>1225</v>
      </c>
      <c r="BK27" s="33" t="s">
        <v>1225</v>
      </c>
      <c r="BL27" s="33" t="s">
        <v>1225</v>
      </c>
      <c r="BM27" s="33" t="s">
        <v>1225</v>
      </c>
      <c r="BN27" s="33" t="s">
        <v>1225</v>
      </c>
      <c r="BO27" s="33" t="s">
        <v>1225</v>
      </c>
      <c r="BP27" s="33" t="s">
        <v>1225</v>
      </c>
      <c r="BQ27" s="33" t="s">
        <v>1225</v>
      </c>
      <c r="BR27" s="33" t="s">
        <v>1225</v>
      </c>
      <c r="BS27" s="33" t="s">
        <v>1225</v>
      </c>
      <c r="BT27" s="33" t="s">
        <v>1225</v>
      </c>
      <c r="BU27" s="33" t="s">
        <v>1225</v>
      </c>
      <c r="BV27" s="33" t="s">
        <v>1225</v>
      </c>
      <c r="BW27" s="33" t="str">
        <f t="shared" si="0"/>
        <v>View Full Record in Web of Science</v>
      </c>
      <c r="BX27" s="33"/>
      <c r="BY27" s="41" t="str">
        <f>IF(Deletion!J27=TRUE,"Yes","No")</f>
        <v>No</v>
      </c>
    </row>
    <row r="28" spans="1:77" x14ac:dyDescent="0.15">
      <c r="A28" s="33">
        <f t="shared" si="1"/>
        <v>27</v>
      </c>
      <c r="B28" s="33" t="s">
        <v>1222</v>
      </c>
      <c r="C28" s="33" t="s">
        <v>1222</v>
      </c>
      <c r="D28" s="33" t="s">
        <v>1223</v>
      </c>
      <c r="E28" s="33" t="s">
        <v>1401</v>
      </c>
      <c r="F28" s="33" t="s">
        <v>1225</v>
      </c>
      <c r="G28" s="33" t="s">
        <v>1225</v>
      </c>
      <c r="H28" s="33" t="s">
        <v>1225</v>
      </c>
      <c r="I28" s="33" t="s">
        <v>202</v>
      </c>
      <c r="J28" s="33" t="s">
        <v>1225</v>
      </c>
      <c r="K28" s="33" t="s">
        <v>1225</v>
      </c>
      <c r="L28" s="33" t="s">
        <v>201</v>
      </c>
      <c r="M28" s="33" t="s">
        <v>97</v>
      </c>
      <c r="N28" s="33" t="s">
        <v>1225</v>
      </c>
      <c r="O28" s="33" t="s">
        <v>1225</v>
      </c>
      <c r="P28" s="33" t="s">
        <v>1225</v>
      </c>
      <c r="Q28" s="33" t="s">
        <v>1227</v>
      </c>
      <c r="R28" s="33" t="s">
        <v>1225</v>
      </c>
      <c r="S28" s="33" t="s">
        <v>1225</v>
      </c>
      <c r="T28" s="33" t="s">
        <v>1225</v>
      </c>
      <c r="U28" s="33" t="s">
        <v>1225</v>
      </c>
      <c r="V28" s="33" t="s">
        <v>1225</v>
      </c>
      <c r="W28" s="33" t="s">
        <v>203</v>
      </c>
      <c r="X28" s="33" t="s">
        <v>1402</v>
      </c>
      <c r="Y28" s="33" t="s">
        <v>1403</v>
      </c>
      <c r="Z28" s="33" t="s">
        <v>1225</v>
      </c>
      <c r="AA28" s="33" t="s">
        <v>1225</v>
      </c>
      <c r="AB28" s="33" t="s">
        <v>1225</v>
      </c>
      <c r="AC28" s="33" t="s">
        <v>1225</v>
      </c>
      <c r="AD28" s="33" t="s">
        <v>1225</v>
      </c>
      <c r="AE28" s="33" t="s">
        <v>1225</v>
      </c>
      <c r="AF28" s="33" t="s">
        <v>1225</v>
      </c>
      <c r="AG28" s="33" t="s">
        <v>1225</v>
      </c>
      <c r="AH28" s="33" t="s">
        <v>1225</v>
      </c>
      <c r="AI28" s="33" t="s">
        <v>1225</v>
      </c>
      <c r="AJ28" s="33" t="s">
        <v>1225</v>
      </c>
      <c r="AK28" s="33" t="s">
        <v>1225</v>
      </c>
      <c r="AL28" s="33" t="s">
        <v>1225</v>
      </c>
      <c r="AM28" s="33" t="s">
        <v>1225</v>
      </c>
      <c r="AN28" s="33" t="s">
        <v>1225</v>
      </c>
      <c r="AO28" s="33" t="s">
        <v>1225</v>
      </c>
      <c r="AP28" s="33" t="s">
        <v>1225</v>
      </c>
      <c r="AQ28" s="33" t="s">
        <v>1225</v>
      </c>
      <c r="AR28" s="33" t="s">
        <v>1225</v>
      </c>
      <c r="AS28" s="33" t="s">
        <v>1225</v>
      </c>
      <c r="AT28" s="33" t="s">
        <v>1225</v>
      </c>
      <c r="AU28" s="33" t="s">
        <v>1225</v>
      </c>
      <c r="AV28" s="33" t="s">
        <v>1225</v>
      </c>
      <c r="AW28" s="33" t="s">
        <v>1404</v>
      </c>
      <c r="AX28" s="33">
        <v>2015</v>
      </c>
      <c r="AY28" s="33">
        <v>137</v>
      </c>
      <c r="AZ28" s="33" t="s">
        <v>1225</v>
      </c>
      <c r="BA28" s="33" t="s">
        <v>1225</v>
      </c>
      <c r="BB28" s="33" t="s">
        <v>1225</v>
      </c>
      <c r="BC28" s="33" t="s">
        <v>1225</v>
      </c>
      <c r="BD28" s="33" t="s">
        <v>1225</v>
      </c>
      <c r="BE28" s="33">
        <v>88</v>
      </c>
      <c r="BF28" s="33">
        <v>96</v>
      </c>
      <c r="BG28" s="33" t="s">
        <v>1225</v>
      </c>
      <c r="BH28" s="33" t="s">
        <v>1405</v>
      </c>
      <c r="BI28" s="33" t="str">
        <f>HYPERLINK("http://dx.doi.org/10.1016/j.apenergy.2014.09.091","http://dx.doi.org/10.1016/j.apenergy.2014.09.091")</f>
        <v>http://dx.doi.org/10.1016/j.apenergy.2014.09.091</v>
      </c>
      <c r="BJ28" s="33" t="s">
        <v>1225</v>
      </c>
      <c r="BK28" s="33" t="s">
        <v>1225</v>
      </c>
      <c r="BL28" s="33" t="s">
        <v>1225</v>
      </c>
      <c r="BM28" s="33" t="s">
        <v>1225</v>
      </c>
      <c r="BN28" s="33" t="s">
        <v>1225</v>
      </c>
      <c r="BO28" s="33" t="s">
        <v>1225</v>
      </c>
      <c r="BP28" s="33" t="s">
        <v>1225</v>
      </c>
      <c r="BQ28" s="33" t="s">
        <v>1225</v>
      </c>
      <c r="BR28" s="33" t="s">
        <v>1225</v>
      </c>
      <c r="BS28" s="33" t="s">
        <v>1225</v>
      </c>
      <c r="BT28" s="33" t="s">
        <v>1225</v>
      </c>
      <c r="BU28" s="33" t="s">
        <v>1225</v>
      </c>
      <c r="BV28" s="33" t="s">
        <v>1225</v>
      </c>
      <c r="BW28" s="33" t="str">
        <f t="shared" si="0"/>
        <v>View Full Record in Web of Science</v>
      </c>
      <c r="BX28" s="33"/>
      <c r="BY28" s="41" t="str">
        <f>IF(Deletion!J28=TRUE,"Yes","No")</f>
        <v>Yes</v>
      </c>
    </row>
    <row r="29" spans="1:77" x14ac:dyDescent="0.15">
      <c r="A29" s="33">
        <f t="shared" si="1"/>
        <v>28</v>
      </c>
      <c r="B29" s="33" t="s">
        <v>1222</v>
      </c>
      <c r="C29" s="33" t="s">
        <v>1222</v>
      </c>
      <c r="D29" s="33" t="s">
        <v>1223</v>
      </c>
      <c r="E29" s="33" t="s">
        <v>1406</v>
      </c>
      <c r="F29" s="33" t="s">
        <v>1225</v>
      </c>
      <c r="G29" s="33" t="s">
        <v>1225</v>
      </c>
      <c r="H29" s="33" t="s">
        <v>1225</v>
      </c>
      <c r="I29" s="33" t="s">
        <v>229</v>
      </c>
      <c r="J29" s="33" t="s">
        <v>1225</v>
      </c>
      <c r="K29" s="33" t="s">
        <v>1225</v>
      </c>
      <c r="L29" s="33" t="s">
        <v>227</v>
      </c>
      <c r="M29" s="33" t="s">
        <v>228</v>
      </c>
      <c r="N29" s="33" t="s">
        <v>1225</v>
      </c>
      <c r="O29" s="33" t="s">
        <v>1225</v>
      </c>
      <c r="P29" s="33" t="s">
        <v>1225</v>
      </c>
      <c r="Q29" s="33" t="s">
        <v>1227</v>
      </c>
      <c r="R29" s="33" t="s">
        <v>1225</v>
      </c>
      <c r="S29" s="33" t="s">
        <v>1225</v>
      </c>
      <c r="T29" s="33" t="s">
        <v>1225</v>
      </c>
      <c r="U29" s="33" t="s">
        <v>1225</v>
      </c>
      <c r="V29" s="33" t="s">
        <v>1225</v>
      </c>
      <c r="W29" s="33" t="s">
        <v>230</v>
      </c>
      <c r="X29" s="33" t="s">
        <v>1407</v>
      </c>
      <c r="Y29" s="33" t="s">
        <v>1408</v>
      </c>
      <c r="Z29" s="33" t="s">
        <v>1225</v>
      </c>
      <c r="AA29" s="33" t="s">
        <v>1225</v>
      </c>
      <c r="AB29" s="33" t="s">
        <v>1225</v>
      </c>
      <c r="AC29" s="33" t="s">
        <v>1225</v>
      </c>
      <c r="AD29" s="33" t="s">
        <v>1225</v>
      </c>
      <c r="AE29" s="33" t="s">
        <v>1225</v>
      </c>
      <c r="AF29" s="33" t="s">
        <v>1225</v>
      </c>
      <c r="AG29" s="33" t="s">
        <v>1225</v>
      </c>
      <c r="AH29" s="33" t="s">
        <v>1225</v>
      </c>
      <c r="AI29" s="33" t="s">
        <v>1225</v>
      </c>
      <c r="AJ29" s="33" t="s">
        <v>1225</v>
      </c>
      <c r="AK29" s="33" t="s">
        <v>1225</v>
      </c>
      <c r="AL29" s="33" t="s">
        <v>1225</v>
      </c>
      <c r="AM29" s="33" t="s">
        <v>1225</v>
      </c>
      <c r="AN29" s="33" t="s">
        <v>1225</v>
      </c>
      <c r="AO29" s="33" t="s">
        <v>1225</v>
      </c>
      <c r="AP29" s="33" t="s">
        <v>1225</v>
      </c>
      <c r="AQ29" s="33" t="s">
        <v>1225</v>
      </c>
      <c r="AR29" s="33" t="s">
        <v>1225</v>
      </c>
      <c r="AS29" s="33" t="s">
        <v>1225</v>
      </c>
      <c r="AT29" s="33" t="s">
        <v>1225</v>
      </c>
      <c r="AU29" s="33" t="s">
        <v>1225</v>
      </c>
      <c r="AV29" s="33" t="s">
        <v>1225</v>
      </c>
      <c r="AW29" s="33" t="s">
        <v>1276</v>
      </c>
      <c r="AX29" s="33">
        <v>2015</v>
      </c>
      <c r="AY29" s="33">
        <v>25</v>
      </c>
      <c r="AZ29" s="33">
        <v>10</v>
      </c>
      <c r="BA29" s="33" t="s">
        <v>1225</v>
      </c>
      <c r="BB29" s="33" t="s">
        <v>1225</v>
      </c>
      <c r="BC29" s="33" t="s">
        <v>1225</v>
      </c>
      <c r="BD29" s="33" t="s">
        <v>1225</v>
      </c>
      <c r="BE29" s="33">
        <v>2562</v>
      </c>
      <c r="BF29" s="33">
        <v>2575</v>
      </c>
      <c r="BG29" s="33" t="s">
        <v>1225</v>
      </c>
      <c r="BH29" s="33" t="s">
        <v>1409</v>
      </c>
      <c r="BI29" s="33" t="str">
        <f>HYPERLINK("http://dx.doi.org/10.1002/etep.1983","http://dx.doi.org/10.1002/etep.1983")</f>
        <v>http://dx.doi.org/10.1002/etep.1983</v>
      </c>
      <c r="BJ29" s="33" t="s">
        <v>1225</v>
      </c>
      <c r="BK29" s="33" t="s">
        <v>1225</v>
      </c>
      <c r="BL29" s="33" t="s">
        <v>1225</v>
      </c>
      <c r="BM29" s="33" t="s">
        <v>1225</v>
      </c>
      <c r="BN29" s="33" t="s">
        <v>1225</v>
      </c>
      <c r="BO29" s="33" t="s">
        <v>1225</v>
      </c>
      <c r="BP29" s="33" t="s">
        <v>1225</v>
      </c>
      <c r="BQ29" s="33" t="s">
        <v>1225</v>
      </c>
      <c r="BR29" s="33" t="s">
        <v>1225</v>
      </c>
      <c r="BS29" s="33" t="s">
        <v>1225</v>
      </c>
      <c r="BT29" s="33" t="s">
        <v>1225</v>
      </c>
      <c r="BU29" s="33" t="s">
        <v>1225</v>
      </c>
      <c r="BV29" s="33" t="s">
        <v>1225</v>
      </c>
      <c r="BW29" s="33" t="str">
        <f t="shared" si="0"/>
        <v>View Full Record in Web of Science</v>
      </c>
      <c r="BX29" s="33"/>
      <c r="BY29" s="41" t="str">
        <f>IF(Deletion!J29=TRUE,"Yes","No")</f>
        <v>Yes</v>
      </c>
    </row>
    <row r="30" spans="1:77" x14ac:dyDescent="0.15">
      <c r="A30" s="33">
        <f t="shared" si="1"/>
        <v>29</v>
      </c>
      <c r="B30" s="33" t="s">
        <v>1222</v>
      </c>
      <c r="C30" s="33" t="s">
        <v>1222</v>
      </c>
      <c r="D30" s="33" t="s">
        <v>1223</v>
      </c>
      <c r="E30" s="33" t="s">
        <v>1410</v>
      </c>
      <c r="F30" s="33" t="s">
        <v>1225</v>
      </c>
      <c r="G30" s="33" t="s">
        <v>1225</v>
      </c>
      <c r="H30" s="33" t="s">
        <v>1225</v>
      </c>
      <c r="I30" s="33" t="s">
        <v>240</v>
      </c>
      <c r="J30" s="33" t="s">
        <v>1225</v>
      </c>
      <c r="K30" s="33" t="s">
        <v>1225</v>
      </c>
      <c r="L30" s="33" t="s">
        <v>239</v>
      </c>
      <c r="M30" s="33" t="s">
        <v>68</v>
      </c>
      <c r="N30" s="33" t="s">
        <v>1225</v>
      </c>
      <c r="O30" s="33" t="s">
        <v>1225</v>
      </c>
      <c r="P30" s="33" t="s">
        <v>1225</v>
      </c>
      <c r="Q30" s="33" t="s">
        <v>1227</v>
      </c>
      <c r="R30" s="33" t="s">
        <v>1225</v>
      </c>
      <c r="S30" s="33" t="s">
        <v>1225</v>
      </c>
      <c r="T30" s="33" t="s">
        <v>1225</v>
      </c>
      <c r="U30" s="33" t="s">
        <v>1225</v>
      </c>
      <c r="V30" s="33" t="s">
        <v>1225</v>
      </c>
      <c r="W30" s="33" t="s">
        <v>241</v>
      </c>
      <c r="X30" s="33" t="s">
        <v>1411</v>
      </c>
      <c r="Y30" s="33" t="s">
        <v>242</v>
      </c>
      <c r="Z30" s="33" t="s">
        <v>1225</v>
      </c>
      <c r="AA30" s="33" t="s">
        <v>1225</v>
      </c>
      <c r="AB30" s="33" t="s">
        <v>1225</v>
      </c>
      <c r="AC30" s="33" t="s">
        <v>1225</v>
      </c>
      <c r="AD30" s="33" t="s">
        <v>1225</v>
      </c>
      <c r="AE30" s="33" t="s">
        <v>1225</v>
      </c>
      <c r="AF30" s="33" t="s">
        <v>1225</v>
      </c>
      <c r="AG30" s="33" t="s">
        <v>1225</v>
      </c>
      <c r="AH30" s="33" t="s">
        <v>1225</v>
      </c>
      <c r="AI30" s="33" t="s">
        <v>1225</v>
      </c>
      <c r="AJ30" s="33" t="s">
        <v>1225</v>
      </c>
      <c r="AK30" s="33" t="s">
        <v>1225</v>
      </c>
      <c r="AL30" s="33" t="s">
        <v>1225</v>
      </c>
      <c r="AM30" s="33" t="s">
        <v>1225</v>
      </c>
      <c r="AN30" s="33" t="s">
        <v>1225</v>
      </c>
      <c r="AO30" s="33" t="s">
        <v>1225</v>
      </c>
      <c r="AP30" s="33" t="s">
        <v>1225</v>
      </c>
      <c r="AQ30" s="33" t="s">
        <v>1225</v>
      </c>
      <c r="AR30" s="33" t="s">
        <v>1225</v>
      </c>
      <c r="AS30" s="33" t="s">
        <v>1225</v>
      </c>
      <c r="AT30" s="33" t="s">
        <v>1225</v>
      </c>
      <c r="AU30" s="33" t="s">
        <v>1225</v>
      </c>
      <c r="AV30" s="33" t="s">
        <v>1225</v>
      </c>
      <c r="AW30" s="33" t="s">
        <v>1225</v>
      </c>
      <c r="AX30" s="33">
        <v>2018</v>
      </c>
      <c r="AY30" s="33">
        <v>6</v>
      </c>
      <c r="AZ30" s="33" t="s">
        <v>1225</v>
      </c>
      <c r="BA30" s="33" t="s">
        <v>1225</v>
      </c>
      <c r="BB30" s="33" t="s">
        <v>1225</v>
      </c>
      <c r="BC30" s="33" t="s">
        <v>1225</v>
      </c>
      <c r="BD30" s="33" t="s">
        <v>1225</v>
      </c>
      <c r="BE30" s="33">
        <v>50117</v>
      </c>
      <c r="BF30" s="33">
        <v>50130</v>
      </c>
      <c r="BG30" s="33" t="s">
        <v>1225</v>
      </c>
      <c r="BH30" s="33" t="s">
        <v>1412</v>
      </c>
      <c r="BI30" s="33" t="str">
        <f>HYPERLINK("http://dx.doi.org/10.1109/ACCESS.2018.2868606","http://dx.doi.org/10.1109/ACCESS.2018.2868606")</f>
        <v>http://dx.doi.org/10.1109/ACCESS.2018.2868606</v>
      </c>
      <c r="BJ30" s="33" t="s">
        <v>1225</v>
      </c>
      <c r="BK30" s="33" t="s">
        <v>1225</v>
      </c>
      <c r="BL30" s="33" t="s">
        <v>1225</v>
      </c>
      <c r="BM30" s="33" t="s">
        <v>1225</v>
      </c>
      <c r="BN30" s="33" t="s">
        <v>1225</v>
      </c>
      <c r="BO30" s="33" t="s">
        <v>1225</v>
      </c>
      <c r="BP30" s="33" t="s">
        <v>1225</v>
      </c>
      <c r="BQ30" s="33" t="s">
        <v>1225</v>
      </c>
      <c r="BR30" s="33" t="s">
        <v>1225</v>
      </c>
      <c r="BS30" s="33" t="s">
        <v>1225</v>
      </c>
      <c r="BT30" s="33" t="s">
        <v>1225</v>
      </c>
      <c r="BU30" s="33" t="s">
        <v>1225</v>
      </c>
      <c r="BV30" s="33" t="s">
        <v>1225</v>
      </c>
      <c r="BW30" s="33" t="str">
        <f t="shared" si="0"/>
        <v>View Full Record in Web of Science</v>
      </c>
      <c r="BX30" s="33"/>
      <c r="BY30" s="41" t="str">
        <f>IF(Deletion!J30=TRUE,"Yes","No")</f>
        <v>Yes</v>
      </c>
    </row>
    <row r="31" spans="1:77" x14ac:dyDescent="0.15">
      <c r="A31" s="38">
        <f t="shared" si="1"/>
        <v>30</v>
      </c>
      <c r="B31" s="38" t="s">
        <v>1413</v>
      </c>
      <c r="C31" s="38" t="s">
        <v>1413</v>
      </c>
      <c r="D31" s="38" t="s">
        <v>1223</v>
      </c>
      <c r="E31" s="38" t="s">
        <v>1414</v>
      </c>
      <c r="F31" s="39" t="s">
        <v>1225</v>
      </c>
      <c r="G31" s="39" t="s">
        <v>1225</v>
      </c>
      <c r="H31" s="39" t="s">
        <v>1225</v>
      </c>
      <c r="I31" s="38" t="s">
        <v>1415</v>
      </c>
      <c r="J31" s="39" t="s">
        <v>1225</v>
      </c>
      <c r="K31" s="39" t="s">
        <v>1225</v>
      </c>
      <c r="L31" s="38" t="s">
        <v>1416</v>
      </c>
      <c r="M31" s="38" t="s">
        <v>68</v>
      </c>
      <c r="N31" s="39" t="s">
        <v>1225</v>
      </c>
      <c r="O31" s="39" t="s">
        <v>1225</v>
      </c>
      <c r="P31" s="39" t="s">
        <v>1225</v>
      </c>
      <c r="Q31" s="38" t="s">
        <v>1417</v>
      </c>
      <c r="R31" s="39" t="s">
        <v>1225</v>
      </c>
      <c r="S31" s="39" t="s">
        <v>1225</v>
      </c>
      <c r="T31" s="39" t="s">
        <v>1225</v>
      </c>
      <c r="U31" s="39" t="s">
        <v>1225</v>
      </c>
      <c r="V31" s="39" t="s">
        <v>1225</v>
      </c>
      <c r="W31" s="38" t="s">
        <v>1418</v>
      </c>
      <c r="X31" s="38" t="s">
        <v>1419</v>
      </c>
      <c r="Y31" s="38" t="s">
        <v>1420</v>
      </c>
      <c r="Z31" s="39" t="s">
        <v>1225</v>
      </c>
      <c r="AA31" s="39" t="s">
        <v>1225</v>
      </c>
      <c r="AB31" s="39" t="s">
        <v>1225</v>
      </c>
      <c r="AC31" s="39" t="s">
        <v>1225</v>
      </c>
      <c r="AD31" s="39" t="s">
        <v>1225</v>
      </c>
      <c r="AE31" s="39" t="s">
        <v>1225</v>
      </c>
      <c r="AF31" s="39" t="s">
        <v>1225</v>
      </c>
      <c r="AG31" s="39" t="s">
        <v>1225</v>
      </c>
      <c r="AH31" s="39" t="s">
        <v>1225</v>
      </c>
      <c r="AI31" s="39" t="s">
        <v>1225</v>
      </c>
      <c r="AJ31" s="39" t="s">
        <v>1225</v>
      </c>
      <c r="AK31" s="39" t="s">
        <v>1225</v>
      </c>
      <c r="AL31" s="39" t="s">
        <v>1225</v>
      </c>
      <c r="AM31" s="39" t="s">
        <v>1225</v>
      </c>
      <c r="AN31" s="39" t="s">
        <v>1225</v>
      </c>
      <c r="AO31" s="39" t="s">
        <v>1225</v>
      </c>
      <c r="AP31" s="39" t="s">
        <v>1225</v>
      </c>
      <c r="AQ31" s="39" t="s">
        <v>1225</v>
      </c>
      <c r="AR31" s="39" t="s">
        <v>1225</v>
      </c>
      <c r="AS31" s="39" t="s">
        <v>1225</v>
      </c>
      <c r="AT31" s="39" t="s">
        <v>1225</v>
      </c>
      <c r="AU31" s="39" t="s">
        <v>1225</v>
      </c>
      <c r="AV31" s="39" t="s">
        <v>1225</v>
      </c>
      <c r="AW31" s="38" t="s">
        <v>1225</v>
      </c>
      <c r="AX31" s="38">
        <v>2020</v>
      </c>
      <c r="AY31" s="39">
        <v>8</v>
      </c>
      <c r="AZ31" s="39" t="s">
        <v>1225</v>
      </c>
      <c r="BA31" s="39" t="s">
        <v>1225</v>
      </c>
      <c r="BB31" s="39" t="s">
        <v>1225</v>
      </c>
      <c r="BC31" s="39" t="s">
        <v>1225</v>
      </c>
      <c r="BD31" s="39" t="s">
        <v>1225</v>
      </c>
      <c r="BE31" s="39">
        <v>168980</v>
      </c>
      <c r="BF31" s="39">
        <v>168993</v>
      </c>
      <c r="BG31" s="39" t="s">
        <v>1225</v>
      </c>
      <c r="BH31" s="38" t="s">
        <v>1421</v>
      </c>
      <c r="BI31" s="38" t="str">
        <f>HYPERLINK("http://dx.doi.org/10.1109/ACCESS.2020.3023388","http://dx.doi.org/10.1109/ACCESS.2020.3023388")</f>
        <v>http://dx.doi.org/10.1109/ACCESS.2020.3023388</v>
      </c>
      <c r="BJ31" s="39" t="s">
        <v>1225</v>
      </c>
      <c r="BK31" s="39" t="s">
        <v>1225</v>
      </c>
      <c r="BL31" s="39" t="s">
        <v>1225</v>
      </c>
      <c r="BM31" s="39" t="s">
        <v>1225</v>
      </c>
      <c r="BN31" s="39" t="s">
        <v>1225</v>
      </c>
      <c r="BO31" s="39" t="s">
        <v>1225</v>
      </c>
      <c r="BP31" s="39" t="s">
        <v>1225</v>
      </c>
      <c r="BQ31" s="39" t="s">
        <v>1225</v>
      </c>
      <c r="BR31" s="39" t="s">
        <v>1225</v>
      </c>
      <c r="BS31" s="39" t="s">
        <v>1225</v>
      </c>
      <c r="BT31" s="39" t="s">
        <v>1225</v>
      </c>
      <c r="BU31" s="39" t="s">
        <v>1225</v>
      </c>
      <c r="BV31" s="39" t="s">
        <v>1225</v>
      </c>
      <c r="BW31" s="39" t="str">
        <f t="shared" si="0"/>
        <v>View Full Record in Web of Science</v>
      </c>
      <c r="BX31" s="39"/>
      <c r="BY31" s="41" t="str">
        <f>IF(Deletion!J31=TRUE,"Yes","No")</f>
        <v>Yes</v>
      </c>
    </row>
    <row r="32" spans="1:77" x14ac:dyDescent="0.15">
      <c r="A32" s="33">
        <f t="shared" si="1"/>
        <v>31</v>
      </c>
      <c r="B32" s="33" t="s">
        <v>1222</v>
      </c>
      <c r="C32" s="33" t="s">
        <v>1222</v>
      </c>
      <c r="D32" s="33" t="s">
        <v>1223</v>
      </c>
      <c r="E32" s="33" t="s">
        <v>1422</v>
      </c>
      <c r="F32" s="33" t="s">
        <v>1225</v>
      </c>
      <c r="G32" s="33" t="s">
        <v>1225</v>
      </c>
      <c r="H32" s="33" t="s">
        <v>1225</v>
      </c>
      <c r="I32" s="33" t="s">
        <v>255</v>
      </c>
      <c r="J32" s="33" t="s">
        <v>1225</v>
      </c>
      <c r="K32" s="33" t="s">
        <v>1225</v>
      </c>
      <c r="L32" s="33" t="s">
        <v>254</v>
      </c>
      <c r="M32" s="33" t="s">
        <v>256</v>
      </c>
      <c r="N32" s="33" t="s">
        <v>1225</v>
      </c>
      <c r="O32" s="33" t="s">
        <v>1225</v>
      </c>
      <c r="P32" s="33" t="s">
        <v>1225</v>
      </c>
      <c r="Q32" s="33" t="s">
        <v>1227</v>
      </c>
      <c r="R32" s="33" t="s">
        <v>1225</v>
      </c>
      <c r="S32" s="33" t="s">
        <v>1225</v>
      </c>
      <c r="T32" s="33" t="s">
        <v>1225</v>
      </c>
      <c r="U32" s="33" t="s">
        <v>1225</v>
      </c>
      <c r="V32" s="33" t="s">
        <v>1225</v>
      </c>
      <c r="W32" s="33" t="s">
        <v>257</v>
      </c>
      <c r="X32" s="33" t="s">
        <v>1423</v>
      </c>
      <c r="Y32" s="33" t="s">
        <v>258</v>
      </c>
      <c r="Z32" s="33" t="s">
        <v>1225</v>
      </c>
      <c r="AA32" s="33" t="s">
        <v>1225</v>
      </c>
      <c r="AB32" s="33" t="s">
        <v>1225</v>
      </c>
      <c r="AC32" s="33" t="s">
        <v>1225</v>
      </c>
      <c r="AD32" s="33" t="s">
        <v>1225</v>
      </c>
      <c r="AE32" s="33" t="s">
        <v>1225</v>
      </c>
      <c r="AF32" s="33" t="s">
        <v>1225</v>
      </c>
      <c r="AG32" s="33" t="s">
        <v>1225</v>
      </c>
      <c r="AH32" s="33" t="s">
        <v>1225</v>
      </c>
      <c r="AI32" s="33" t="s">
        <v>1225</v>
      </c>
      <c r="AJ32" s="33" t="s">
        <v>1225</v>
      </c>
      <c r="AK32" s="33" t="s">
        <v>1225</v>
      </c>
      <c r="AL32" s="33" t="s">
        <v>1225</v>
      </c>
      <c r="AM32" s="33" t="s">
        <v>1225</v>
      </c>
      <c r="AN32" s="33" t="s">
        <v>1225</v>
      </c>
      <c r="AO32" s="33" t="s">
        <v>1225</v>
      </c>
      <c r="AP32" s="33" t="s">
        <v>1225</v>
      </c>
      <c r="AQ32" s="33" t="s">
        <v>1225</v>
      </c>
      <c r="AR32" s="33" t="s">
        <v>1225</v>
      </c>
      <c r="AS32" s="33" t="s">
        <v>1225</v>
      </c>
      <c r="AT32" s="33" t="s">
        <v>1225</v>
      </c>
      <c r="AU32" s="33" t="s">
        <v>1225</v>
      </c>
      <c r="AV32" s="33" t="s">
        <v>1225</v>
      </c>
      <c r="AW32" s="33" t="s">
        <v>1424</v>
      </c>
      <c r="AX32" s="33">
        <v>2016</v>
      </c>
      <c r="AY32" s="33">
        <v>27</v>
      </c>
      <c r="AZ32" s="33">
        <v>12</v>
      </c>
      <c r="BA32" s="33" t="s">
        <v>1225</v>
      </c>
      <c r="BB32" s="33" t="s">
        <v>1225</v>
      </c>
      <c r="BC32" s="33" t="s">
        <v>1225</v>
      </c>
      <c r="BD32" s="33" t="s">
        <v>1225</v>
      </c>
      <c r="BE32" s="33">
        <v>3441</v>
      </c>
      <c r="BF32" s="33">
        <v>3454</v>
      </c>
      <c r="BG32" s="33" t="s">
        <v>1225</v>
      </c>
      <c r="BH32" s="33" t="s">
        <v>1425</v>
      </c>
      <c r="BI32" s="33" t="str">
        <f>HYPERLINK("http://dx.doi.org/10.1109/TPDS.2016.2533614","http://dx.doi.org/10.1109/TPDS.2016.2533614")</f>
        <v>http://dx.doi.org/10.1109/TPDS.2016.2533614</v>
      </c>
      <c r="BJ32" s="33" t="s">
        <v>1225</v>
      </c>
      <c r="BK32" s="33" t="s">
        <v>1225</v>
      </c>
      <c r="BL32" s="33" t="s">
        <v>1225</v>
      </c>
      <c r="BM32" s="33" t="s">
        <v>1225</v>
      </c>
      <c r="BN32" s="33" t="s">
        <v>1225</v>
      </c>
      <c r="BO32" s="33" t="s">
        <v>1225</v>
      </c>
      <c r="BP32" s="33" t="s">
        <v>1225</v>
      </c>
      <c r="BQ32" s="33" t="s">
        <v>1225</v>
      </c>
      <c r="BR32" s="33" t="s">
        <v>1225</v>
      </c>
      <c r="BS32" s="33" t="s">
        <v>1225</v>
      </c>
      <c r="BT32" s="33" t="s">
        <v>1225</v>
      </c>
      <c r="BU32" s="33" t="s">
        <v>1225</v>
      </c>
      <c r="BV32" s="33" t="s">
        <v>1225</v>
      </c>
      <c r="BW32" s="33" t="str">
        <f t="shared" si="0"/>
        <v>View Full Record in Web of Science</v>
      </c>
      <c r="BX32" s="33"/>
      <c r="BY32" s="41" t="str">
        <f>IF(Deletion!J32=TRUE,"Yes","No")</f>
        <v>No</v>
      </c>
    </row>
    <row r="33" spans="1:77" x14ac:dyDescent="0.15">
      <c r="A33" s="34">
        <f t="shared" si="1"/>
        <v>32</v>
      </c>
      <c r="B33" s="34" t="s">
        <v>1426</v>
      </c>
      <c r="C33" s="34" t="s">
        <v>1232</v>
      </c>
      <c r="D33" s="34" t="s">
        <v>1223</v>
      </c>
      <c r="E33" s="34" t="s">
        <v>1427</v>
      </c>
      <c r="F33" s="34" t="s">
        <v>1225</v>
      </c>
      <c r="G33" s="34" t="s">
        <v>1225</v>
      </c>
      <c r="H33" s="34" t="s">
        <v>1225</v>
      </c>
      <c r="I33" s="34" t="s">
        <v>1428</v>
      </c>
      <c r="J33" s="34" t="s">
        <v>1225</v>
      </c>
      <c r="K33" s="34" t="s">
        <v>1225</v>
      </c>
      <c r="L33" s="34" t="s">
        <v>1429</v>
      </c>
      <c r="M33" s="34" t="s">
        <v>1430</v>
      </c>
      <c r="N33" s="34" t="s">
        <v>1225</v>
      </c>
      <c r="O33" s="34" t="s">
        <v>1225</v>
      </c>
      <c r="P33" s="34" t="s">
        <v>1225</v>
      </c>
      <c r="Q33" s="34" t="s">
        <v>1227</v>
      </c>
      <c r="R33" s="34" t="s">
        <v>1225</v>
      </c>
      <c r="S33" s="34" t="s">
        <v>1225</v>
      </c>
      <c r="T33" s="34" t="s">
        <v>1225</v>
      </c>
      <c r="U33" s="34" t="s">
        <v>1225</v>
      </c>
      <c r="V33" s="34" t="s">
        <v>1225</v>
      </c>
      <c r="W33" s="34" t="s">
        <v>1431</v>
      </c>
      <c r="X33" s="34" t="s">
        <v>1432</v>
      </c>
      <c r="Y33" s="34" t="s">
        <v>1433</v>
      </c>
      <c r="Z33" s="34" t="s">
        <v>1225</v>
      </c>
      <c r="AA33" s="34" t="s">
        <v>1225</v>
      </c>
      <c r="AB33" s="34" t="s">
        <v>1225</v>
      </c>
      <c r="AC33" s="34" t="s">
        <v>1225</v>
      </c>
      <c r="AD33" s="34" t="s">
        <v>1225</v>
      </c>
      <c r="AE33" s="34" t="s">
        <v>1225</v>
      </c>
      <c r="AF33" s="34" t="s">
        <v>1225</v>
      </c>
      <c r="AG33" s="34" t="s">
        <v>1225</v>
      </c>
      <c r="AH33" s="34" t="s">
        <v>1225</v>
      </c>
      <c r="AI33" s="34" t="s">
        <v>1225</v>
      </c>
      <c r="AJ33" s="34" t="s">
        <v>1225</v>
      </c>
      <c r="AK33" s="34" t="s">
        <v>1225</v>
      </c>
      <c r="AL33" s="34" t="s">
        <v>1225</v>
      </c>
      <c r="AM33" s="34" t="s">
        <v>1225</v>
      </c>
      <c r="AN33" s="34" t="s">
        <v>1225</v>
      </c>
      <c r="AO33" s="34" t="s">
        <v>1225</v>
      </c>
      <c r="AP33" s="34" t="s">
        <v>1225</v>
      </c>
      <c r="AQ33" s="34" t="s">
        <v>1225</v>
      </c>
      <c r="AR33" s="34" t="s">
        <v>1225</v>
      </c>
      <c r="AS33" s="34" t="s">
        <v>1225</v>
      </c>
      <c r="AT33" s="34" t="s">
        <v>1225</v>
      </c>
      <c r="AU33" s="34" t="s">
        <v>1225</v>
      </c>
      <c r="AV33" s="34" t="s">
        <v>1225</v>
      </c>
      <c r="AW33" s="34" t="s">
        <v>1356</v>
      </c>
      <c r="AX33" s="34">
        <v>2017</v>
      </c>
      <c r="AY33" s="34">
        <v>81</v>
      </c>
      <c r="AZ33" s="34" t="s">
        <v>1225</v>
      </c>
      <c r="BA33" s="34" t="s">
        <v>1225</v>
      </c>
      <c r="BB33" s="34" t="s">
        <v>1225</v>
      </c>
      <c r="BC33" s="34" t="s">
        <v>1225</v>
      </c>
      <c r="BD33" s="34" t="s">
        <v>1225</v>
      </c>
      <c r="BE33" s="34">
        <v>36</v>
      </c>
      <c r="BF33" s="34">
        <v>56</v>
      </c>
      <c r="BG33" s="34" t="s">
        <v>1225</v>
      </c>
      <c r="BH33" s="34" t="s">
        <v>1434</v>
      </c>
      <c r="BI33" s="34" t="str">
        <f>HYPERLINK("http://dx.doi.org/10.1016/j.trc.2017.05.006","http://dx.doi.org/10.1016/j.trc.2017.05.006")</f>
        <v>http://dx.doi.org/10.1016/j.trc.2017.05.006</v>
      </c>
      <c r="BJ33" s="34" t="s">
        <v>1225</v>
      </c>
      <c r="BK33" s="34" t="s">
        <v>1225</v>
      </c>
      <c r="BL33" s="34" t="s">
        <v>1225</v>
      </c>
      <c r="BM33" s="34" t="s">
        <v>1225</v>
      </c>
      <c r="BN33" s="34" t="s">
        <v>1225</v>
      </c>
      <c r="BO33" s="34" t="s">
        <v>1225</v>
      </c>
      <c r="BP33" s="34" t="s">
        <v>1225</v>
      </c>
      <c r="BQ33" s="34" t="s">
        <v>1225</v>
      </c>
      <c r="BR33" s="34" t="s">
        <v>1225</v>
      </c>
      <c r="BS33" s="34" t="s">
        <v>1225</v>
      </c>
      <c r="BT33" s="34" t="s">
        <v>1225</v>
      </c>
      <c r="BU33" s="34" t="s">
        <v>1225</v>
      </c>
      <c r="BV33" s="34" t="s">
        <v>1225</v>
      </c>
      <c r="BW33" s="34" t="str">
        <f t="shared" si="0"/>
        <v>View Full Record in Web of Science</v>
      </c>
      <c r="BX33" s="34"/>
      <c r="BY33" s="41" t="str">
        <f>IF(Deletion!J33=TRUE,"Yes","No")</f>
        <v>Yes</v>
      </c>
    </row>
    <row r="34" spans="1:77" x14ac:dyDescent="0.15">
      <c r="A34" s="33">
        <f t="shared" si="1"/>
        <v>33</v>
      </c>
      <c r="B34" s="33" t="s">
        <v>1222</v>
      </c>
      <c r="C34" s="33" t="s">
        <v>1222</v>
      </c>
      <c r="D34" s="33" t="s">
        <v>1223</v>
      </c>
      <c r="E34" s="33" t="s">
        <v>1435</v>
      </c>
      <c r="F34" s="33" t="s">
        <v>1225</v>
      </c>
      <c r="G34" s="33" t="s">
        <v>1225</v>
      </c>
      <c r="H34" s="33" t="s">
        <v>1225</v>
      </c>
      <c r="I34" s="33" t="s">
        <v>268</v>
      </c>
      <c r="J34" s="33" t="s">
        <v>1225</v>
      </c>
      <c r="K34" s="33" t="s">
        <v>1225</v>
      </c>
      <c r="L34" s="33" t="s">
        <v>266</v>
      </c>
      <c r="M34" s="33" t="s">
        <v>97</v>
      </c>
      <c r="N34" s="33" t="s">
        <v>1225</v>
      </c>
      <c r="O34" s="33" t="s">
        <v>1225</v>
      </c>
      <c r="P34" s="33" t="s">
        <v>1225</v>
      </c>
      <c r="Q34" s="33" t="s">
        <v>1227</v>
      </c>
      <c r="R34" s="33" t="s">
        <v>1225</v>
      </c>
      <c r="S34" s="33" t="s">
        <v>1225</v>
      </c>
      <c r="T34" s="33" t="s">
        <v>1225</v>
      </c>
      <c r="U34" s="33" t="s">
        <v>1225</v>
      </c>
      <c r="V34" s="33" t="s">
        <v>1225</v>
      </c>
      <c r="W34" s="33" t="s">
        <v>267</v>
      </c>
      <c r="X34" s="33" t="s">
        <v>1436</v>
      </c>
      <c r="Y34" s="33" t="s">
        <v>269</v>
      </c>
      <c r="Z34" s="33" t="s">
        <v>1225</v>
      </c>
      <c r="AA34" s="33" t="s">
        <v>1225</v>
      </c>
      <c r="AB34" s="33" t="s">
        <v>1225</v>
      </c>
      <c r="AC34" s="33" t="s">
        <v>1225</v>
      </c>
      <c r="AD34" s="33" t="s">
        <v>1225</v>
      </c>
      <c r="AE34" s="33" t="s">
        <v>1225</v>
      </c>
      <c r="AF34" s="33" t="s">
        <v>1225</v>
      </c>
      <c r="AG34" s="33" t="s">
        <v>1225</v>
      </c>
      <c r="AH34" s="33" t="s">
        <v>1225</v>
      </c>
      <c r="AI34" s="33" t="s">
        <v>1225</v>
      </c>
      <c r="AJ34" s="33" t="s">
        <v>1225</v>
      </c>
      <c r="AK34" s="33" t="s">
        <v>1225</v>
      </c>
      <c r="AL34" s="33" t="s">
        <v>1225</v>
      </c>
      <c r="AM34" s="33" t="s">
        <v>1225</v>
      </c>
      <c r="AN34" s="33" t="s">
        <v>1225</v>
      </c>
      <c r="AO34" s="33" t="s">
        <v>1225</v>
      </c>
      <c r="AP34" s="33" t="s">
        <v>1225</v>
      </c>
      <c r="AQ34" s="33" t="s">
        <v>1225</v>
      </c>
      <c r="AR34" s="33" t="s">
        <v>1225</v>
      </c>
      <c r="AS34" s="33" t="s">
        <v>1225</v>
      </c>
      <c r="AT34" s="33" t="s">
        <v>1225</v>
      </c>
      <c r="AU34" s="33" t="s">
        <v>1225</v>
      </c>
      <c r="AV34" s="33" t="s">
        <v>1225</v>
      </c>
      <c r="AW34" s="33" t="s">
        <v>1437</v>
      </c>
      <c r="AX34" s="33">
        <v>2019</v>
      </c>
      <c r="AY34" s="33">
        <v>253</v>
      </c>
      <c r="AZ34" s="33" t="s">
        <v>1225</v>
      </c>
      <c r="BA34" s="33" t="s">
        <v>1225</v>
      </c>
      <c r="BB34" s="33" t="s">
        <v>1225</v>
      </c>
      <c r="BC34" s="33" t="s">
        <v>1225</v>
      </c>
      <c r="BD34" s="33" t="s">
        <v>1225</v>
      </c>
      <c r="BE34" s="33" t="s">
        <v>1225</v>
      </c>
      <c r="BF34" s="33" t="s">
        <v>1225</v>
      </c>
      <c r="BG34" s="33">
        <v>113490</v>
      </c>
      <c r="BH34" s="33" t="s">
        <v>1438</v>
      </c>
      <c r="BI34" s="33" t="str">
        <f>HYPERLINK("http://dx.doi.org/10.1016/j.apenergy.2019.113490","http://dx.doi.org/10.1016/j.apenergy.2019.113490")</f>
        <v>http://dx.doi.org/10.1016/j.apenergy.2019.113490</v>
      </c>
      <c r="BJ34" s="33" t="s">
        <v>1225</v>
      </c>
      <c r="BK34" s="33" t="s">
        <v>1225</v>
      </c>
      <c r="BL34" s="33" t="s">
        <v>1225</v>
      </c>
      <c r="BM34" s="33" t="s">
        <v>1225</v>
      </c>
      <c r="BN34" s="33" t="s">
        <v>1225</v>
      </c>
      <c r="BO34" s="33" t="s">
        <v>1225</v>
      </c>
      <c r="BP34" s="33" t="s">
        <v>1225</v>
      </c>
      <c r="BQ34" s="33" t="s">
        <v>1225</v>
      </c>
      <c r="BR34" s="33" t="s">
        <v>1225</v>
      </c>
      <c r="BS34" s="33" t="s">
        <v>1225</v>
      </c>
      <c r="BT34" s="33" t="s">
        <v>1225</v>
      </c>
      <c r="BU34" s="33" t="s">
        <v>1225</v>
      </c>
      <c r="BV34" s="33" t="s">
        <v>1225</v>
      </c>
      <c r="BW34" s="33" t="str">
        <f t="shared" si="0"/>
        <v>View Full Record in Web of Science</v>
      </c>
      <c r="BX34" s="33"/>
      <c r="BY34" s="41" t="str">
        <f>IF(Deletion!J34=TRUE,"Yes","No")</f>
        <v>Yes</v>
      </c>
    </row>
    <row r="35" spans="1:77" x14ac:dyDescent="0.15">
      <c r="A35" s="33">
        <f t="shared" si="1"/>
        <v>34</v>
      </c>
      <c r="B35" s="33" t="s">
        <v>1222</v>
      </c>
      <c r="C35" s="33" t="s">
        <v>1222</v>
      </c>
      <c r="D35" s="33" t="s">
        <v>1223</v>
      </c>
      <c r="E35" s="33" t="s">
        <v>1439</v>
      </c>
      <c r="F35" s="33" t="s">
        <v>1225</v>
      </c>
      <c r="G35" s="33" t="s">
        <v>1225</v>
      </c>
      <c r="H35" s="33" t="s">
        <v>1225</v>
      </c>
      <c r="I35" s="33" t="s">
        <v>301</v>
      </c>
      <c r="J35" s="33" t="s">
        <v>1225</v>
      </c>
      <c r="K35" s="33" t="s">
        <v>1225</v>
      </c>
      <c r="L35" s="33" t="s">
        <v>300</v>
      </c>
      <c r="M35" s="33" t="s">
        <v>302</v>
      </c>
      <c r="N35" s="33" t="s">
        <v>1225</v>
      </c>
      <c r="O35" s="33" t="s">
        <v>1225</v>
      </c>
      <c r="P35" s="33" t="s">
        <v>1225</v>
      </c>
      <c r="Q35" s="33" t="s">
        <v>1227</v>
      </c>
      <c r="R35" s="33" t="s">
        <v>1225</v>
      </c>
      <c r="S35" s="33" t="s">
        <v>1225</v>
      </c>
      <c r="T35" s="33" t="s">
        <v>1225</v>
      </c>
      <c r="U35" s="33" t="s">
        <v>1225</v>
      </c>
      <c r="V35" s="33" t="s">
        <v>1225</v>
      </c>
      <c r="W35" s="33" t="s">
        <v>303</v>
      </c>
      <c r="X35" s="33" t="s">
        <v>1440</v>
      </c>
      <c r="Y35" s="33" t="s">
        <v>304</v>
      </c>
      <c r="Z35" s="33" t="s">
        <v>1225</v>
      </c>
      <c r="AA35" s="33" t="s">
        <v>1225</v>
      </c>
      <c r="AB35" s="33" t="s">
        <v>1225</v>
      </c>
      <c r="AC35" s="33" t="s">
        <v>1225</v>
      </c>
      <c r="AD35" s="33" t="s">
        <v>1225</v>
      </c>
      <c r="AE35" s="33" t="s">
        <v>1225</v>
      </c>
      <c r="AF35" s="33" t="s">
        <v>1225</v>
      </c>
      <c r="AG35" s="33" t="s">
        <v>1225</v>
      </c>
      <c r="AH35" s="33" t="s">
        <v>1225</v>
      </c>
      <c r="AI35" s="33" t="s">
        <v>1225</v>
      </c>
      <c r="AJ35" s="33" t="s">
        <v>1225</v>
      </c>
      <c r="AK35" s="33" t="s">
        <v>1225</v>
      </c>
      <c r="AL35" s="33" t="s">
        <v>1225</v>
      </c>
      <c r="AM35" s="33" t="s">
        <v>1225</v>
      </c>
      <c r="AN35" s="33" t="s">
        <v>1225</v>
      </c>
      <c r="AO35" s="33" t="s">
        <v>1225</v>
      </c>
      <c r="AP35" s="33" t="s">
        <v>1225</v>
      </c>
      <c r="AQ35" s="33" t="s">
        <v>1225</v>
      </c>
      <c r="AR35" s="33" t="s">
        <v>1225</v>
      </c>
      <c r="AS35" s="33" t="s">
        <v>1225</v>
      </c>
      <c r="AT35" s="33" t="s">
        <v>1225</v>
      </c>
      <c r="AU35" s="33" t="s">
        <v>1225</v>
      </c>
      <c r="AV35" s="33" t="s">
        <v>1225</v>
      </c>
      <c r="AW35" s="33" t="s">
        <v>1317</v>
      </c>
      <c r="AX35" s="33">
        <v>2017</v>
      </c>
      <c r="AY35" s="33">
        <v>17</v>
      </c>
      <c r="AZ35" s="33">
        <v>1</v>
      </c>
      <c r="BA35" s="33" t="s">
        <v>1225</v>
      </c>
      <c r="BB35" s="33" t="s">
        <v>1225</v>
      </c>
      <c r="BC35" s="33" t="s">
        <v>1225</v>
      </c>
      <c r="BD35" s="33" t="s">
        <v>1225</v>
      </c>
      <c r="BE35" s="33" t="s">
        <v>1225</v>
      </c>
      <c r="BF35" s="33" t="s">
        <v>1225</v>
      </c>
      <c r="BG35" s="33">
        <v>39</v>
      </c>
      <c r="BH35" s="33" t="s">
        <v>1441</v>
      </c>
      <c r="BI35" s="33" t="str">
        <f>HYPERLINK("http://dx.doi.org/10.3390/s17010039","http://dx.doi.org/10.3390/s17010039")</f>
        <v>http://dx.doi.org/10.3390/s17010039</v>
      </c>
      <c r="BJ35" s="33" t="s">
        <v>1225</v>
      </c>
      <c r="BK35" s="33" t="s">
        <v>1225</v>
      </c>
      <c r="BL35" s="33" t="s">
        <v>1225</v>
      </c>
      <c r="BM35" s="33" t="s">
        <v>1225</v>
      </c>
      <c r="BN35" s="33" t="s">
        <v>1225</v>
      </c>
      <c r="BO35" s="33" t="s">
        <v>1225</v>
      </c>
      <c r="BP35" s="33" t="s">
        <v>1225</v>
      </c>
      <c r="BQ35" s="33" t="s">
        <v>1225</v>
      </c>
      <c r="BR35" s="33" t="s">
        <v>1225</v>
      </c>
      <c r="BS35" s="33" t="s">
        <v>1225</v>
      </c>
      <c r="BT35" s="33" t="s">
        <v>1225</v>
      </c>
      <c r="BU35" s="33" t="s">
        <v>1225</v>
      </c>
      <c r="BV35" s="33" t="s">
        <v>1225</v>
      </c>
      <c r="BW35" s="33" t="str">
        <f t="shared" si="0"/>
        <v>View Full Record in Web of Science</v>
      </c>
      <c r="BX35" s="33"/>
      <c r="BY35" s="41" t="str">
        <f>IF(Deletion!J35=TRUE,"Yes","No")</f>
        <v>Yes</v>
      </c>
    </row>
    <row r="36" spans="1:77" x14ac:dyDescent="0.15">
      <c r="A36" s="33">
        <f t="shared" si="1"/>
        <v>35</v>
      </c>
      <c r="B36" s="33" t="s">
        <v>1222</v>
      </c>
      <c r="C36" s="33" t="s">
        <v>1222</v>
      </c>
      <c r="D36" s="33" t="s">
        <v>1223</v>
      </c>
      <c r="E36" s="33" t="s">
        <v>1442</v>
      </c>
      <c r="F36" s="33" t="s">
        <v>1225</v>
      </c>
      <c r="G36" s="33" t="s">
        <v>1225</v>
      </c>
      <c r="H36" s="33" t="s">
        <v>1225</v>
      </c>
      <c r="I36" s="33" t="s">
        <v>277</v>
      </c>
      <c r="J36" s="33" t="s">
        <v>1225</v>
      </c>
      <c r="K36" s="33" t="s">
        <v>1225</v>
      </c>
      <c r="L36" s="33" t="s">
        <v>276</v>
      </c>
      <c r="M36" s="33" t="s">
        <v>278</v>
      </c>
      <c r="N36" s="33" t="s">
        <v>1225</v>
      </c>
      <c r="O36" s="33" t="s">
        <v>1225</v>
      </c>
      <c r="P36" s="33" t="s">
        <v>1225</v>
      </c>
      <c r="Q36" s="33" t="s">
        <v>1227</v>
      </c>
      <c r="R36" s="33" t="s">
        <v>1225</v>
      </c>
      <c r="S36" s="33" t="s">
        <v>1225</v>
      </c>
      <c r="T36" s="33" t="s">
        <v>1225</v>
      </c>
      <c r="U36" s="33" t="s">
        <v>1225</v>
      </c>
      <c r="V36" s="33" t="s">
        <v>1225</v>
      </c>
      <c r="W36" s="33" t="s">
        <v>279</v>
      </c>
      <c r="X36" s="33" t="s">
        <v>1443</v>
      </c>
      <c r="Y36" s="33" t="s">
        <v>280</v>
      </c>
      <c r="Z36" s="33" t="s">
        <v>1225</v>
      </c>
      <c r="AA36" s="33" t="s">
        <v>1225</v>
      </c>
      <c r="AB36" s="33" t="s">
        <v>1225</v>
      </c>
      <c r="AC36" s="33" t="s">
        <v>1225</v>
      </c>
      <c r="AD36" s="33" t="s">
        <v>1225</v>
      </c>
      <c r="AE36" s="33" t="s">
        <v>1225</v>
      </c>
      <c r="AF36" s="33" t="s">
        <v>1225</v>
      </c>
      <c r="AG36" s="33" t="s">
        <v>1225</v>
      </c>
      <c r="AH36" s="33" t="s">
        <v>1225</v>
      </c>
      <c r="AI36" s="33" t="s">
        <v>1225</v>
      </c>
      <c r="AJ36" s="33" t="s">
        <v>1225</v>
      </c>
      <c r="AK36" s="33" t="s">
        <v>1225</v>
      </c>
      <c r="AL36" s="33" t="s">
        <v>1225</v>
      </c>
      <c r="AM36" s="33" t="s">
        <v>1225</v>
      </c>
      <c r="AN36" s="33" t="s">
        <v>1225</v>
      </c>
      <c r="AO36" s="33" t="s">
        <v>1225</v>
      </c>
      <c r="AP36" s="33" t="s">
        <v>1225</v>
      </c>
      <c r="AQ36" s="33" t="s">
        <v>1225</v>
      </c>
      <c r="AR36" s="33" t="s">
        <v>1225</v>
      </c>
      <c r="AS36" s="33" t="s">
        <v>1225</v>
      </c>
      <c r="AT36" s="33" t="s">
        <v>1225</v>
      </c>
      <c r="AU36" s="33" t="s">
        <v>1225</v>
      </c>
      <c r="AV36" s="33" t="s">
        <v>1225</v>
      </c>
      <c r="AW36" s="33" t="s">
        <v>1239</v>
      </c>
      <c r="AX36" s="33">
        <v>2021</v>
      </c>
      <c r="AY36" s="33">
        <v>70</v>
      </c>
      <c r="AZ36" s="33" t="s">
        <v>1225</v>
      </c>
      <c r="BA36" s="33" t="s">
        <v>1225</v>
      </c>
      <c r="BB36" s="33" t="s">
        <v>1225</v>
      </c>
      <c r="BC36" s="33" t="s">
        <v>1225</v>
      </c>
      <c r="BD36" s="33" t="s">
        <v>1225</v>
      </c>
      <c r="BE36" s="33" t="s">
        <v>1225</v>
      </c>
      <c r="BF36" s="33" t="s">
        <v>1225</v>
      </c>
      <c r="BG36" s="33">
        <v>102872</v>
      </c>
      <c r="BH36" s="33" t="s">
        <v>1444</v>
      </c>
      <c r="BI36" s="33" t="str">
        <f>HYPERLINK("http://dx.doi.org/10.1016/j.scs.2021.102872","http://dx.doi.org/10.1016/j.scs.2021.102872")</f>
        <v>http://dx.doi.org/10.1016/j.scs.2021.102872</v>
      </c>
      <c r="BJ36" s="33" t="s">
        <v>1225</v>
      </c>
      <c r="BK36" s="33" t="s">
        <v>1395</v>
      </c>
      <c r="BL36" s="33" t="s">
        <v>1225</v>
      </c>
      <c r="BM36" s="33" t="s">
        <v>1225</v>
      </c>
      <c r="BN36" s="33" t="s">
        <v>1225</v>
      </c>
      <c r="BO36" s="33" t="s">
        <v>1225</v>
      </c>
      <c r="BP36" s="33" t="s">
        <v>1225</v>
      </c>
      <c r="BQ36" s="33" t="s">
        <v>1225</v>
      </c>
      <c r="BR36" s="33" t="s">
        <v>1225</v>
      </c>
      <c r="BS36" s="33" t="s">
        <v>1225</v>
      </c>
      <c r="BT36" s="33" t="s">
        <v>1225</v>
      </c>
      <c r="BU36" s="33" t="s">
        <v>1225</v>
      </c>
      <c r="BV36" s="33" t="s">
        <v>1225</v>
      </c>
      <c r="BW36" s="33" t="str">
        <f t="shared" si="0"/>
        <v>View Full Record in Web of Science</v>
      </c>
      <c r="BX36" s="33"/>
      <c r="BY36" s="41" t="str">
        <f>IF(Deletion!J36=TRUE,"Yes","No")</f>
        <v>Yes</v>
      </c>
    </row>
    <row r="37" spans="1:77" x14ac:dyDescent="0.15">
      <c r="A37" s="33">
        <f t="shared" si="1"/>
        <v>36</v>
      </c>
      <c r="B37" s="33" t="s">
        <v>1222</v>
      </c>
      <c r="C37" s="33" t="s">
        <v>1222</v>
      </c>
      <c r="D37" s="33" t="s">
        <v>1223</v>
      </c>
      <c r="E37" s="33" t="s">
        <v>1445</v>
      </c>
      <c r="F37" s="33" t="s">
        <v>1225</v>
      </c>
      <c r="G37" s="33" t="s">
        <v>1225</v>
      </c>
      <c r="H37" s="33" t="s">
        <v>1225</v>
      </c>
      <c r="I37" s="33" t="s">
        <v>286</v>
      </c>
      <c r="J37" s="33" t="s">
        <v>1225</v>
      </c>
      <c r="K37" s="33" t="s">
        <v>1225</v>
      </c>
      <c r="L37" s="33" t="s">
        <v>285</v>
      </c>
      <c r="M37" s="33" t="s">
        <v>124</v>
      </c>
      <c r="N37" s="33" t="s">
        <v>1225</v>
      </c>
      <c r="O37" s="33" t="s">
        <v>1225</v>
      </c>
      <c r="P37" s="33" t="s">
        <v>1225</v>
      </c>
      <c r="Q37" s="33" t="s">
        <v>1227</v>
      </c>
      <c r="R37" s="33" t="s">
        <v>1225</v>
      </c>
      <c r="S37" s="33" t="s">
        <v>1225</v>
      </c>
      <c r="T37" s="33" t="s">
        <v>1225</v>
      </c>
      <c r="U37" s="33" t="s">
        <v>1225</v>
      </c>
      <c r="V37" s="33" t="s">
        <v>1225</v>
      </c>
      <c r="W37" s="33" t="s">
        <v>287</v>
      </c>
      <c r="X37" s="33" t="s">
        <v>1446</v>
      </c>
      <c r="Y37" s="33" t="s">
        <v>288</v>
      </c>
      <c r="Z37" s="33" t="s">
        <v>1225</v>
      </c>
      <c r="AA37" s="33" t="s">
        <v>1225</v>
      </c>
      <c r="AB37" s="33" t="s">
        <v>1225</v>
      </c>
      <c r="AC37" s="33" t="s">
        <v>1225</v>
      </c>
      <c r="AD37" s="33" t="s">
        <v>1225</v>
      </c>
      <c r="AE37" s="33" t="s">
        <v>1225</v>
      </c>
      <c r="AF37" s="33" t="s">
        <v>1225</v>
      </c>
      <c r="AG37" s="33" t="s">
        <v>1225</v>
      </c>
      <c r="AH37" s="33" t="s">
        <v>1225</v>
      </c>
      <c r="AI37" s="33" t="s">
        <v>1225</v>
      </c>
      <c r="AJ37" s="33" t="s">
        <v>1225</v>
      </c>
      <c r="AK37" s="33" t="s">
        <v>1225</v>
      </c>
      <c r="AL37" s="33" t="s">
        <v>1225</v>
      </c>
      <c r="AM37" s="33" t="s">
        <v>1225</v>
      </c>
      <c r="AN37" s="33" t="s">
        <v>1225</v>
      </c>
      <c r="AO37" s="33" t="s">
        <v>1225</v>
      </c>
      <c r="AP37" s="33" t="s">
        <v>1225</v>
      </c>
      <c r="AQ37" s="33" t="s">
        <v>1225</v>
      </c>
      <c r="AR37" s="33" t="s">
        <v>1225</v>
      </c>
      <c r="AS37" s="33" t="s">
        <v>1225</v>
      </c>
      <c r="AT37" s="33" t="s">
        <v>1225</v>
      </c>
      <c r="AU37" s="33" t="s">
        <v>1225</v>
      </c>
      <c r="AV37" s="33" t="s">
        <v>1225</v>
      </c>
      <c r="AW37" s="33" t="s">
        <v>1272</v>
      </c>
      <c r="AX37" s="33">
        <v>2019</v>
      </c>
      <c r="AY37" s="33">
        <v>10</v>
      </c>
      <c r="AZ37" s="33">
        <v>2</v>
      </c>
      <c r="BA37" s="33" t="s">
        <v>1225</v>
      </c>
      <c r="BB37" s="33" t="s">
        <v>1225</v>
      </c>
      <c r="BC37" s="33" t="s">
        <v>1225</v>
      </c>
      <c r="BD37" s="33" t="s">
        <v>1225</v>
      </c>
      <c r="BE37" s="33">
        <v>1313</v>
      </c>
      <c r="BF37" s="33">
        <v>1325</v>
      </c>
      <c r="BG37" s="33" t="s">
        <v>1225</v>
      </c>
      <c r="BH37" s="33" t="s">
        <v>1447</v>
      </c>
      <c r="BI37" s="33" t="str">
        <f>HYPERLINK("http://dx.doi.org/10.1109/TSG.2017.2763683","http://dx.doi.org/10.1109/TSG.2017.2763683")</f>
        <v>http://dx.doi.org/10.1109/TSG.2017.2763683</v>
      </c>
      <c r="BJ37" s="33" t="s">
        <v>1225</v>
      </c>
      <c r="BK37" s="33" t="s">
        <v>1225</v>
      </c>
      <c r="BL37" s="33" t="s">
        <v>1225</v>
      </c>
      <c r="BM37" s="33" t="s">
        <v>1225</v>
      </c>
      <c r="BN37" s="33" t="s">
        <v>1225</v>
      </c>
      <c r="BO37" s="33" t="s">
        <v>1225</v>
      </c>
      <c r="BP37" s="33" t="s">
        <v>1225</v>
      </c>
      <c r="BQ37" s="33" t="s">
        <v>1225</v>
      </c>
      <c r="BR37" s="33" t="s">
        <v>1225</v>
      </c>
      <c r="BS37" s="33" t="s">
        <v>1225</v>
      </c>
      <c r="BT37" s="33" t="s">
        <v>1225</v>
      </c>
      <c r="BU37" s="33" t="s">
        <v>1225</v>
      </c>
      <c r="BV37" s="33" t="s">
        <v>1225</v>
      </c>
      <c r="BW37" s="33" t="str">
        <f t="shared" si="0"/>
        <v>View Full Record in Web of Science</v>
      </c>
      <c r="BX37" s="33"/>
      <c r="BY37" s="41" t="str">
        <f>IF(Deletion!J37=TRUE,"Yes","No")</f>
        <v>Yes</v>
      </c>
    </row>
    <row r="38" spans="1:77" x14ac:dyDescent="0.15">
      <c r="A38" s="38">
        <f t="shared" si="1"/>
        <v>37</v>
      </c>
      <c r="B38" s="38" t="s">
        <v>1413</v>
      </c>
      <c r="C38" s="38" t="s">
        <v>1413</v>
      </c>
      <c r="D38" s="38" t="s">
        <v>1223</v>
      </c>
      <c r="E38" s="38" t="s">
        <v>1448</v>
      </c>
      <c r="F38" s="39" t="s">
        <v>1225</v>
      </c>
      <c r="G38" s="39" t="s">
        <v>1225</v>
      </c>
      <c r="H38" s="39" t="s">
        <v>1225</v>
      </c>
      <c r="I38" s="38" t="s">
        <v>1449</v>
      </c>
      <c r="J38" s="39" t="s">
        <v>1225</v>
      </c>
      <c r="K38" s="39" t="s">
        <v>1225</v>
      </c>
      <c r="L38" s="38" t="s">
        <v>1450</v>
      </c>
      <c r="M38" s="38" t="s">
        <v>1451</v>
      </c>
      <c r="N38" s="39" t="s">
        <v>1225</v>
      </c>
      <c r="O38" s="39" t="s">
        <v>1225</v>
      </c>
      <c r="P38" s="39" t="s">
        <v>1225</v>
      </c>
      <c r="Q38" s="38" t="s">
        <v>1417</v>
      </c>
      <c r="R38" s="39" t="s">
        <v>1225</v>
      </c>
      <c r="S38" s="39" t="s">
        <v>1225</v>
      </c>
      <c r="T38" s="39" t="s">
        <v>1225</v>
      </c>
      <c r="U38" s="39" t="s">
        <v>1225</v>
      </c>
      <c r="V38" s="39" t="s">
        <v>1225</v>
      </c>
      <c r="W38" s="38" t="s">
        <v>1452</v>
      </c>
      <c r="X38" s="38" t="s">
        <v>1453</v>
      </c>
      <c r="Y38" s="38" t="s">
        <v>1454</v>
      </c>
      <c r="Z38" s="39" t="s">
        <v>1225</v>
      </c>
      <c r="AA38" s="39" t="s">
        <v>1225</v>
      </c>
      <c r="AB38" s="39" t="s">
        <v>1225</v>
      </c>
      <c r="AC38" s="39" t="s">
        <v>1225</v>
      </c>
      <c r="AD38" s="39" t="s">
        <v>1225</v>
      </c>
      <c r="AE38" s="39" t="s">
        <v>1225</v>
      </c>
      <c r="AF38" s="39" t="s">
        <v>1225</v>
      </c>
      <c r="AG38" s="39" t="s">
        <v>1225</v>
      </c>
      <c r="AH38" s="39" t="s">
        <v>1225</v>
      </c>
      <c r="AI38" s="39" t="s">
        <v>1225</v>
      </c>
      <c r="AJ38" s="39" t="s">
        <v>1225</v>
      </c>
      <c r="AK38" s="39" t="s">
        <v>1225</v>
      </c>
      <c r="AL38" s="39" t="s">
        <v>1225</v>
      </c>
      <c r="AM38" s="39" t="s">
        <v>1225</v>
      </c>
      <c r="AN38" s="39" t="s">
        <v>1225</v>
      </c>
      <c r="AO38" s="39" t="s">
        <v>1225</v>
      </c>
      <c r="AP38" s="39" t="s">
        <v>1225</v>
      </c>
      <c r="AQ38" s="39" t="s">
        <v>1225</v>
      </c>
      <c r="AR38" s="39" t="s">
        <v>1225</v>
      </c>
      <c r="AS38" s="39" t="s">
        <v>1225</v>
      </c>
      <c r="AT38" s="39" t="s">
        <v>1225</v>
      </c>
      <c r="AU38" s="39" t="s">
        <v>1225</v>
      </c>
      <c r="AV38" s="39" t="s">
        <v>1225</v>
      </c>
      <c r="AW38" s="38" t="s">
        <v>1298</v>
      </c>
      <c r="AX38" s="38">
        <v>2019</v>
      </c>
      <c r="AY38" s="39">
        <v>112</v>
      </c>
      <c r="AZ38" s="39" t="s">
        <v>1225</v>
      </c>
      <c r="BA38" s="39" t="s">
        <v>1225</v>
      </c>
      <c r="BB38" s="39" t="s">
        <v>1225</v>
      </c>
      <c r="BC38" s="39" t="s">
        <v>1225</v>
      </c>
      <c r="BD38" s="39" t="s">
        <v>1225</v>
      </c>
      <c r="BE38" s="39">
        <v>424</v>
      </c>
      <c r="BF38" s="39">
        <v>439</v>
      </c>
      <c r="BG38" s="39" t="s">
        <v>1225</v>
      </c>
      <c r="BH38" s="38" t="s">
        <v>1455</v>
      </c>
      <c r="BI38" s="38" t="str">
        <f>HYPERLINK("http://dx.doi.org/10.1016/j.rser.2019.05.059","http://dx.doi.org/10.1016/j.rser.2019.05.059")</f>
        <v>http://dx.doi.org/10.1016/j.rser.2019.05.059</v>
      </c>
      <c r="BJ38" s="39" t="s">
        <v>1225</v>
      </c>
      <c r="BK38" s="39" t="s">
        <v>1225</v>
      </c>
      <c r="BL38" s="39" t="s">
        <v>1225</v>
      </c>
      <c r="BM38" s="39" t="s">
        <v>1225</v>
      </c>
      <c r="BN38" s="39" t="s">
        <v>1225</v>
      </c>
      <c r="BO38" s="39" t="s">
        <v>1225</v>
      </c>
      <c r="BP38" s="39" t="s">
        <v>1225</v>
      </c>
      <c r="BQ38" s="39" t="s">
        <v>1225</v>
      </c>
      <c r="BR38" s="39" t="s">
        <v>1225</v>
      </c>
      <c r="BS38" s="39" t="s">
        <v>1225</v>
      </c>
      <c r="BT38" s="39" t="s">
        <v>1225</v>
      </c>
      <c r="BU38" s="39" t="s">
        <v>1225</v>
      </c>
      <c r="BV38" s="39" t="s">
        <v>1225</v>
      </c>
      <c r="BW38" s="39" t="str">
        <f t="shared" si="0"/>
        <v>View Full Record in Web of Science</v>
      </c>
      <c r="BX38" s="39"/>
      <c r="BY38" s="41" t="str">
        <f>IF(Deletion!J38=TRUE,"Yes","No")</f>
        <v>No</v>
      </c>
    </row>
    <row r="39" spans="1:77" x14ac:dyDescent="0.15">
      <c r="A39" s="33">
        <f t="shared" si="1"/>
        <v>38</v>
      </c>
      <c r="B39" s="33" t="s">
        <v>1222</v>
      </c>
      <c r="C39" s="33" t="s">
        <v>1222</v>
      </c>
      <c r="D39" s="33" t="s">
        <v>1223</v>
      </c>
      <c r="E39" s="33" t="s">
        <v>1456</v>
      </c>
      <c r="F39" s="33" t="s">
        <v>1225</v>
      </c>
      <c r="G39" s="33" t="s">
        <v>1225</v>
      </c>
      <c r="H39" s="33" t="s">
        <v>1225</v>
      </c>
      <c r="I39" s="33" t="s">
        <v>314</v>
      </c>
      <c r="J39" s="33" t="s">
        <v>1225</v>
      </c>
      <c r="K39" s="33" t="s">
        <v>1225</v>
      </c>
      <c r="L39" s="33" t="s">
        <v>312</v>
      </c>
      <c r="M39" s="33" t="s">
        <v>313</v>
      </c>
      <c r="N39" s="33" t="s">
        <v>1225</v>
      </c>
      <c r="O39" s="33" t="s">
        <v>1225</v>
      </c>
      <c r="P39" s="33" t="s">
        <v>1225</v>
      </c>
      <c r="Q39" s="33" t="s">
        <v>1227</v>
      </c>
      <c r="R39" s="33" t="s">
        <v>1225</v>
      </c>
      <c r="S39" s="33" t="s">
        <v>1225</v>
      </c>
      <c r="T39" s="33" t="s">
        <v>1225</v>
      </c>
      <c r="U39" s="33" t="s">
        <v>1225</v>
      </c>
      <c r="V39" s="33" t="s">
        <v>1225</v>
      </c>
      <c r="W39" s="33" t="s">
        <v>315</v>
      </c>
      <c r="X39" s="33" t="s">
        <v>1457</v>
      </c>
      <c r="Y39" s="33" t="s">
        <v>316</v>
      </c>
      <c r="Z39" s="33" t="s">
        <v>1225</v>
      </c>
      <c r="AA39" s="33" t="s">
        <v>1225</v>
      </c>
      <c r="AB39" s="33" t="s">
        <v>1225</v>
      </c>
      <c r="AC39" s="33" t="s">
        <v>1225</v>
      </c>
      <c r="AD39" s="33" t="s">
        <v>1225</v>
      </c>
      <c r="AE39" s="33" t="s">
        <v>1225</v>
      </c>
      <c r="AF39" s="33" t="s">
        <v>1225</v>
      </c>
      <c r="AG39" s="33" t="s">
        <v>1225</v>
      </c>
      <c r="AH39" s="33" t="s">
        <v>1225</v>
      </c>
      <c r="AI39" s="33" t="s">
        <v>1225</v>
      </c>
      <c r="AJ39" s="33" t="s">
        <v>1225</v>
      </c>
      <c r="AK39" s="33" t="s">
        <v>1225</v>
      </c>
      <c r="AL39" s="33" t="s">
        <v>1225</v>
      </c>
      <c r="AM39" s="33" t="s">
        <v>1225</v>
      </c>
      <c r="AN39" s="33" t="s">
        <v>1225</v>
      </c>
      <c r="AO39" s="33" t="s">
        <v>1225</v>
      </c>
      <c r="AP39" s="33" t="s">
        <v>1225</v>
      </c>
      <c r="AQ39" s="33" t="s">
        <v>1225</v>
      </c>
      <c r="AR39" s="33" t="s">
        <v>1225</v>
      </c>
      <c r="AS39" s="33" t="s">
        <v>1225</v>
      </c>
      <c r="AT39" s="33" t="s">
        <v>1225</v>
      </c>
      <c r="AU39" s="33" t="s">
        <v>1225</v>
      </c>
      <c r="AV39" s="33" t="s">
        <v>1225</v>
      </c>
      <c r="AW39" s="33" t="s">
        <v>1285</v>
      </c>
      <c r="AX39" s="33">
        <v>2020</v>
      </c>
      <c r="AY39" s="33">
        <v>117</v>
      </c>
      <c r="AZ39" s="33" t="s">
        <v>1225</v>
      </c>
      <c r="BA39" s="33" t="s">
        <v>1225</v>
      </c>
      <c r="BB39" s="33" t="s">
        <v>1225</v>
      </c>
      <c r="BC39" s="33" t="s">
        <v>1225</v>
      </c>
      <c r="BD39" s="33" t="s">
        <v>1225</v>
      </c>
      <c r="BE39" s="33" t="s">
        <v>1225</v>
      </c>
      <c r="BF39" s="33" t="s">
        <v>1225</v>
      </c>
      <c r="BG39" s="33">
        <v>105661</v>
      </c>
      <c r="BH39" s="33" t="s">
        <v>1458</v>
      </c>
      <c r="BI39" s="33" t="str">
        <f>HYPERLINK("http://dx.doi.org/10.1016/j.ijepes.2019.105661","http://dx.doi.org/10.1016/j.ijepes.2019.105661")</f>
        <v>http://dx.doi.org/10.1016/j.ijepes.2019.105661</v>
      </c>
      <c r="BJ39" s="33" t="s">
        <v>1225</v>
      </c>
      <c r="BK39" s="33" t="s">
        <v>1225</v>
      </c>
      <c r="BL39" s="33" t="s">
        <v>1225</v>
      </c>
      <c r="BM39" s="33" t="s">
        <v>1225</v>
      </c>
      <c r="BN39" s="33" t="s">
        <v>1225</v>
      </c>
      <c r="BO39" s="33" t="s">
        <v>1225</v>
      </c>
      <c r="BP39" s="33" t="s">
        <v>1225</v>
      </c>
      <c r="BQ39" s="33" t="s">
        <v>1225</v>
      </c>
      <c r="BR39" s="33" t="s">
        <v>1225</v>
      </c>
      <c r="BS39" s="33" t="s">
        <v>1225</v>
      </c>
      <c r="BT39" s="33" t="s">
        <v>1225</v>
      </c>
      <c r="BU39" s="33" t="s">
        <v>1225</v>
      </c>
      <c r="BV39" s="33" t="s">
        <v>1225</v>
      </c>
      <c r="BW39" s="33" t="str">
        <f t="shared" si="0"/>
        <v>View Full Record in Web of Science</v>
      </c>
      <c r="BX39" s="33"/>
      <c r="BY39" s="41" t="str">
        <f>IF(Deletion!J39=TRUE,"Yes","No")</f>
        <v>Yes</v>
      </c>
    </row>
    <row r="40" spans="1:77" x14ac:dyDescent="0.15">
      <c r="A40" s="33">
        <f t="shared" si="1"/>
        <v>39</v>
      </c>
      <c r="B40" s="33" t="s">
        <v>1222</v>
      </c>
      <c r="C40" s="33" t="s">
        <v>1222</v>
      </c>
      <c r="D40" s="33" t="s">
        <v>1223</v>
      </c>
      <c r="E40" s="33" t="s">
        <v>1459</v>
      </c>
      <c r="F40" s="33" t="s">
        <v>1225</v>
      </c>
      <c r="G40" s="33" t="s">
        <v>1225</v>
      </c>
      <c r="H40" s="33" t="s">
        <v>1225</v>
      </c>
      <c r="I40" s="33" t="s">
        <v>327</v>
      </c>
      <c r="J40" s="33" t="s">
        <v>1225</v>
      </c>
      <c r="K40" s="33" t="s">
        <v>1225</v>
      </c>
      <c r="L40" s="33" t="s">
        <v>1145</v>
      </c>
      <c r="M40" s="33" t="s">
        <v>328</v>
      </c>
      <c r="N40" s="33" t="s">
        <v>1225</v>
      </c>
      <c r="O40" s="33" t="s">
        <v>1225</v>
      </c>
      <c r="P40" s="33" t="s">
        <v>1225</v>
      </c>
      <c r="Q40" s="33" t="s">
        <v>1227</v>
      </c>
      <c r="R40" s="33" t="s">
        <v>1225</v>
      </c>
      <c r="S40" s="33" t="s">
        <v>1225</v>
      </c>
      <c r="T40" s="33" t="s">
        <v>1225</v>
      </c>
      <c r="U40" s="33" t="s">
        <v>1225</v>
      </c>
      <c r="V40" s="33" t="s">
        <v>1225</v>
      </c>
      <c r="W40" s="33" t="s">
        <v>329</v>
      </c>
      <c r="X40" s="33" t="s">
        <v>1460</v>
      </c>
      <c r="Y40" s="33" t="s">
        <v>330</v>
      </c>
      <c r="Z40" s="33" t="s">
        <v>1225</v>
      </c>
      <c r="AA40" s="33" t="s">
        <v>1225</v>
      </c>
      <c r="AB40" s="33" t="s">
        <v>1225</v>
      </c>
      <c r="AC40" s="33" t="s">
        <v>1225</v>
      </c>
      <c r="AD40" s="33" t="s">
        <v>1225</v>
      </c>
      <c r="AE40" s="33" t="s">
        <v>1225</v>
      </c>
      <c r="AF40" s="33" t="s">
        <v>1225</v>
      </c>
      <c r="AG40" s="33" t="s">
        <v>1225</v>
      </c>
      <c r="AH40" s="33" t="s">
        <v>1225</v>
      </c>
      <c r="AI40" s="33" t="s">
        <v>1225</v>
      </c>
      <c r="AJ40" s="33" t="s">
        <v>1225</v>
      </c>
      <c r="AK40" s="33" t="s">
        <v>1225</v>
      </c>
      <c r="AL40" s="33" t="s">
        <v>1225</v>
      </c>
      <c r="AM40" s="33" t="s">
        <v>1225</v>
      </c>
      <c r="AN40" s="33" t="s">
        <v>1225</v>
      </c>
      <c r="AO40" s="33" t="s">
        <v>1225</v>
      </c>
      <c r="AP40" s="33" t="s">
        <v>1225</v>
      </c>
      <c r="AQ40" s="33" t="s">
        <v>1225</v>
      </c>
      <c r="AR40" s="33" t="s">
        <v>1225</v>
      </c>
      <c r="AS40" s="33" t="s">
        <v>1225</v>
      </c>
      <c r="AT40" s="33" t="s">
        <v>1225</v>
      </c>
      <c r="AU40" s="33" t="s">
        <v>1225</v>
      </c>
      <c r="AV40" s="33" t="s">
        <v>1225</v>
      </c>
      <c r="AW40" s="33" t="s">
        <v>1461</v>
      </c>
      <c r="AX40" s="33">
        <v>2017</v>
      </c>
      <c r="AY40" s="33" t="s">
        <v>1225</v>
      </c>
      <c r="AZ40" s="33" t="s">
        <v>1225</v>
      </c>
      <c r="BA40" s="33" t="s">
        <v>1225</v>
      </c>
      <c r="BB40" s="33" t="s">
        <v>1225</v>
      </c>
      <c r="BC40" s="33" t="s">
        <v>1225</v>
      </c>
      <c r="BD40" s="33" t="s">
        <v>1225</v>
      </c>
      <c r="BE40" s="33" t="s">
        <v>1225</v>
      </c>
      <c r="BF40" s="33" t="s">
        <v>1225</v>
      </c>
      <c r="BG40" s="33" t="s">
        <v>1225</v>
      </c>
      <c r="BH40" s="33" t="s">
        <v>1225</v>
      </c>
      <c r="BI40" s="33" t="s">
        <v>1225</v>
      </c>
      <c r="BJ40" s="33" t="s">
        <v>1225</v>
      </c>
      <c r="BK40" s="33" t="s">
        <v>1225</v>
      </c>
      <c r="BL40" s="33" t="s">
        <v>1225</v>
      </c>
      <c r="BM40" s="33" t="s">
        <v>1225</v>
      </c>
      <c r="BN40" s="33" t="s">
        <v>1225</v>
      </c>
      <c r="BO40" s="33" t="s">
        <v>1225</v>
      </c>
      <c r="BP40" s="33" t="s">
        <v>1225</v>
      </c>
      <c r="BQ40" s="33" t="s">
        <v>1225</v>
      </c>
      <c r="BR40" s="33" t="s">
        <v>1225</v>
      </c>
      <c r="BS40" s="33" t="s">
        <v>1225</v>
      </c>
      <c r="BT40" s="33" t="s">
        <v>1225</v>
      </c>
      <c r="BU40" s="33" t="s">
        <v>1225</v>
      </c>
      <c r="BV40" s="33" t="s">
        <v>1225</v>
      </c>
      <c r="BW40" s="33" t="str">
        <f t="shared" si="0"/>
        <v>View Full Record in Web of Science</v>
      </c>
      <c r="BX40" s="33"/>
      <c r="BY40" s="41" t="str">
        <f>IF(Deletion!J40=TRUE,"Yes","No")</f>
        <v>Yes</v>
      </c>
    </row>
    <row r="41" spans="1:77" x14ac:dyDescent="0.15">
      <c r="A41" s="33">
        <f t="shared" si="1"/>
        <v>40</v>
      </c>
      <c r="B41" s="33" t="s">
        <v>1222</v>
      </c>
      <c r="C41" s="33" t="s">
        <v>1222</v>
      </c>
      <c r="D41" s="33" t="s">
        <v>1223</v>
      </c>
      <c r="E41" s="33" t="s">
        <v>1462</v>
      </c>
      <c r="F41" s="33" t="s">
        <v>1225</v>
      </c>
      <c r="G41" s="33" t="s">
        <v>1225</v>
      </c>
      <c r="H41" s="33" t="s">
        <v>1225</v>
      </c>
      <c r="I41" s="33" t="s">
        <v>348</v>
      </c>
      <c r="J41" s="33" t="s">
        <v>1225</v>
      </c>
      <c r="K41" s="33" t="s">
        <v>1225</v>
      </c>
      <c r="L41" s="33" t="s">
        <v>347</v>
      </c>
      <c r="M41" s="33" t="s">
        <v>346</v>
      </c>
      <c r="N41" s="33" t="s">
        <v>1225</v>
      </c>
      <c r="O41" s="33" t="s">
        <v>1225</v>
      </c>
      <c r="P41" s="33" t="s">
        <v>1225</v>
      </c>
      <c r="Q41" s="33" t="s">
        <v>1227</v>
      </c>
      <c r="R41" s="33" t="s">
        <v>1225</v>
      </c>
      <c r="S41" s="33" t="s">
        <v>1225</v>
      </c>
      <c r="T41" s="33" t="s">
        <v>1225</v>
      </c>
      <c r="U41" s="33" t="s">
        <v>1225</v>
      </c>
      <c r="V41" s="33" t="s">
        <v>1225</v>
      </c>
      <c r="W41" s="33" t="s">
        <v>345</v>
      </c>
      <c r="X41" s="33" t="s">
        <v>1463</v>
      </c>
      <c r="Y41" s="33" t="s">
        <v>1464</v>
      </c>
      <c r="Z41" s="33" t="s">
        <v>1225</v>
      </c>
      <c r="AA41" s="33" t="s">
        <v>1225</v>
      </c>
      <c r="AB41" s="33" t="s">
        <v>1225</v>
      </c>
      <c r="AC41" s="33" t="s">
        <v>1225</v>
      </c>
      <c r="AD41" s="33" t="s">
        <v>1225</v>
      </c>
      <c r="AE41" s="33" t="s">
        <v>1225</v>
      </c>
      <c r="AF41" s="33" t="s">
        <v>1225</v>
      </c>
      <c r="AG41" s="33" t="s">
        <v>1225</v>
      </c>
      <c r="AH41" s="33" t="s">
        <v>1225</v>
      </c>
      <c r="AI41" s="33" t="s">
        <v>1225</v>
      </c>
      <c r="AJ41" s="33" t="s">
        <v>1225</v>
      </c>
      <c r="AK41" s="33" t="s">
        <v>1225</v>
      </c>
      <c r="AL41" s="33" t="s">
        <v>1225</v>
      </c>
      <c r="AM41" s="33" t="s">
        <v>1225</v>
      </c>
      <c r="AN41" s="33" t="s">
        <v>1225</v>
      </c>
      <c r="AO41" s="33" t="s">
        <v>1225</v>
      </c>
      <c r="AP41" s="33" t="s">
        <v>1225</v>
      </c>
      <c r="AQ41" s="33" t="s">
        <v>1225</v>
      </c>
      <c r="AR41" s="33" t="s">
        <v>1225</v>
      </c>
      <c r="AS41" s="33" t="s">
        <v>1225</v>
      </c>
      <c r="AT41" s="33" t="s">
        <v>1225</v>
      </c>
      <c r="AU41" s="33" t="s">
        <v>1225</v>
      </c>
      <c r="AV41" s="33" t="s">
        <v>1225</v>
      </c>
      <c r="AW41" s="33" t="s">
        <v>1465</v>
      </c>
      <c r="AX41" s="33">
        <v>2022</v>
      </c>
      <c r="AY41" s="33">
        <v>115</v>
      </c>
      <c r="AZ41" s="33" t="s">
        <v>1225</v>
      </c>
      <c r="BA41" s="33" t="s">
        <v>1225</v>
      </c>
      <c r="BB41" s="33" t="s">
        <v>1225</v>
      </c>
      <c r="BC41" s="33" t="s">
        <v>1225</v>
      </c>
      <c r="BD41" s="33" t="s">
        <v>1225</v>
      </c>
      <c r="BE41" s="33" t="s">
        <v>1225</v>
      </c>
      <c r="BF41" s="33" t="s">
        <v>1225</v>
      </c>
      <c r="BG41" s="33">
        <v>102439</v>
      </c>
      <c r="BH41" s="33" t="s">
        <v>1466</v>
      </c>
      <c r="BI41" s="33" t="str">
        <f>HYPERLINK("http://dx.doi.org/10.1016/j.simpat.2021.102439","http://dx.doi.org/10.1016/j.simpat.2021.102439")</f>
        <v>http://dx.doi.org/10.1016/j.simpat.2021.102439</v>
      </c>
      <c r="BJ41" s="33" t="s">
        <v>1225</v>
      </c>
      <c r="BK41" s="33" t="s">
        <v>1225</v>
      </c>
      <c r="BL41" s="33" t="s">
        <v>1225</v>
      </c>
      <c r="BM41" s="33" t="s">
        <v>1225</v>
      </c>
      <c r="BN41" s="33" t="s">
        <v>1225</v>
      </c>
      <c r="BO41" s="33" t="s">
        <v>1225</v>
      </c>
      <c r="BP41" s="33" t="s">
        <v>1225</v>
      </c>
      <c r="BQ41" s="33" t="s">
        <v>1225</v>
      </c>
      <c r="BR41" s="33" t="s">
        <v>1225</v>
      </c>
      <c r="BS41" s="33" t="s">
        <v>1225</v>
      </c>
      <c r="BT41" s="33" t="s">
        <v>1225</v>
      </c>
      <c r="BU41" s="33" t="s">
        <v>1225</v>
      </c>
      <c r="BV41" s="33" t="s">
        <v>1225</v>
      </c>
      <c r="BW41" s="33" t="str">
        <f t="shared" si="0"/>
        <v>View Full Record in Web of Science</v>
      </c>
      <c r="BX41" s="33"/>
      <c r="BY41" s="41" t="str">
        <f>IF(Deletion!J41=TRUE,"Yes","No")</f>
        <v>Yes</v>
      </c>
    </row>
    <row r="42" spans="1:77" x14ac:dyDescent="0.15">
      <c r="A42" s="33">
        <f t="shared" si="1"/>
        <v>41</v>
      </c>
      <c r="B42" s="33" t="s">
        <v>1222</v>
      </c>
      <c r="C42" s="33" t="s">
        <v>1222</v>
      </c>
      <c r="D42" s="33" t="s">
        <v>1223</v>
      </c>
      <c r="E42" s="33" t="s">
        <v>1467</v>
      </c>
      <c r="F42" s="33" t="s">
        <v>1225</v>
      </c>
      <c r="G42" s="33" t="s">
        <v>1225</v>
      </c>
      <c r="H42" s="33" t="s">
        <v>1225</v>
      </c>
      <c r="I42" s="33" t="s">
        <v>360</v>
      </c>
      <c r="J42" s="33" t="s">
        <v>1225</v>
      </c>
      <c r="K42" s="33" t="s">
        <v>1225</v>
      </c>
      <c r="L42" s="33" t="s">
        <v>359</v>
      </c>
      <c r="M42" s="33" t="s">
        <v>68</v>
      </c>
      <c r="N42" s="33" t="s">
        <v>1225</v>
      </c>
      <c r="O42" s="33" t="s">
        <v>1225</v>
      </c>
      <c r="P42" s="33" t="s">
        <v>1225</v>
      </c>
      <c r="Q42" s="33" t="s">
        <v>1227</v>
      </c>
      <c r="R42" s="33" t="s">
        <v>1225</v>
      </c>
      <c r="S42" s="33" t="s">
        <v>1225</v>
      </c>
      <c r="T42" s="33" t="s">
        <v>1225</v>
      </c>
      <c r="U42" s="33" t="s">
        <v>1225</v>
      </c>
      <c r="V42" s="33" t="s">
        <v>1225</v>
      </c>
      <c r="W42" s="33" t="s">
        <v>361</v>
      </c>
      <c r="X42" s="33" t="s">
        <v>1468</v>
      </c>
      <c r="Y42" s="33" t="s">
        <v>362</v>
      </c>
      <c r="Z42" s="33" t="s">
        <v>1225</v>
      </c>
      <c r="AA42" s="33" t="s">
        <v>1225</v>
      </c>
      <c r="AB42" s="33" t="s">
        <v>1225</v>
      </c>
      <c r="AC42" s="33" t="s">
        <v>1225</v>
      </c>
      <c r="AD42" s="33" t="s">
        <v>1225</v>
      </c>
      <c r="AE42" s="33" t="s">
        <v>1225</v>
      </c>
      <c r="AF42" s="33" t="s">
        <v>1225</v>
      </c>
      <c r="AG42" s="33" t="s">
        <v>1225</v>
      </c>
      <c r="AH42" s="33" t="s">
        <v>1225</v>
      </c>
      <c r="AI42" s="33" t="s">
        <v>1225</v>
      </c>
      <c r="AJ42" s="33" t="s">
        <v>1225</v>
      </c>
      <c r="AK42" s="33" t="s">
        <v>1225</v>
      </c>
      <c r="AL42" s="33" t="s">
        <v>1225</v>
      </c>
      <c r="AM42" s="33" t="s">
        <v>1225</v>
      </c>
      <c r="AN42" s="33" t="s">
        <v>1225</v>
      </c>
      <c r="AO42" s="33" t="s">
        <v>1225</v>
      </c>
      <c r="AP42" s="33" t="s">
        <v>1225</v>
      </c>
      <c r="AQ42" s="33" t="s">
        <v>1225</v>
      </c>
      <c r="AR42" s="33" t="s">
        <v>1225</v>
      </c>
      <c r="AS42" s="33" t="s">
        <v>1225</v>
      </c>
      <c r="AT42" s="33" t="s">
        <v>1225</v>
      </c>
      <c r="AU42" s="33" t="s">
        <v>1225</v>
      </c>
      <c r="AV42" s="33" t="s">
        <v>1225</v>
      </c>
      <c r="AW42" s="33" t="s">
        <v>1225</v>
      </c>
      <c r="AX42" s="33">
        <v>2022</v>
      </c>
      <c r="AY42" s="33">
        <v>10</v>
      </c>
      <c r="AZ42" s="33" t="s">
        <v>1225</v>
      </c>
      <c r="BA42" s="33" t="s">
        <v>1225</v>
      </c>
      <c r="BB42" s="33" t="s">
        <v>1225</v>
      </c>
      <c r="BC42" s="33" t="s">
        <v>1225</v>
      </c>
      <c r="BD42" s="33" t="s">
        <v>1225</v>
      </c>
      <c r="BE42" s="33">
        <v>25153</v>
      </c>
      <c r="BF42" s="33">
        <v>25164</v>
      </c>
      <c r="BG42" s="33" t="s">
        <v>1225</v>
      </c>
      <c r="BH42" s="33" t="s">
        <v>1469</v>
      </c>
      <c r="BI42" s="33" t="str">
        <f>HYPERLINK("http://dx.doi.org/10.1109/ACCESS.2022.3151355","http://dx.doi.org/10.1109/ACCESS.2022.3151355")</f>
        <v>http://dx.doi.org/10.1109/ACCESS.2022.3151355</v>
      </c>
      <c r="BJ42" s="33" t="s">
        <v>1225</v>
      </c>
      <c r="BK42" s="33" t="s">
        <v>1225</v>
      </c>
      <c r="BL42" s="33" t="s">
        <v>1225</v>
      </c>
      <c r="BM42" s="33" t="s">
        <v>1225</v>
      </c>
      <c r="BN42" s="33" t="s">
        <v>1225</v>
      </c>
      <c r="BO42" s="33" t="s">
        <v>1225</v>
      </c>
      <c r="BP42" s="33" t="s">
        <v>1225</v>
      </c>
      <c r="BQ42" s="33" t="s">
        <v>1225</v>
      </c>
      <c r="BR42" s="33" t="s">
        <v>1225</v>
      </c>
      <c r="BS42" s="33" t="s">
        <v>1225</v>
      </c>
      <c r="BT42" s="33" t="s">
        <v>1225</v>
      </c>
      <c r="BU42" s="33" t="s">
        <v>1225</v>
      </c>
      <c r="BV42" s="33" t="s">
        <v>1225</v>
      </c>
      <c r="BW42" s="33" t="str">
        <f t="shared" si="0"/>
        <v>View Full Record in Web of Science</v>
      </c>
      <c r="BX42" s="33"/>
      <c r="BY42" s="41" t="str">
        <f>IF(Deletion!J42=TRUE,"Yes","No")</f>
        <v>Yes</v>
      </c>
    </row>
    <row r="43" spans="1:77" x14ac:dyDescent="0.15">
      <c r="A43" s="38">
        <f t="shared" si="1"/>
        <v>42</v>
      </c>
      <c r="B43" s="38" t="s">
        <v>1413</v>
      </c>
      <c r="C43" s="38" t="s">
        <v>1413</v>
      </c>
      <c r="D43" s="38" t="s">
        <v>1223</v>
      </c>
      <c r="E43" s="38" t="s">
        <v>1470</v>
      </c>
      <c r="F43" s="34" t="s">
        <v>1225</v>
      </c>
      <c r="G43" s="34" t="s">
        <v>1225</v>
      </c>
      <c r="H43" s="34" t="s">
        <v>1225</v>
      </c>
      <c r="I43" s="38" t="s">
        <v>1471</v>
      </c>
      <c r="J43" s="34" t="s">
        <v>1225</v>
      </c>
      <c r="K43" s="34" t="s">
        <v>1225</v>
      </c>
      <c r="L43" s="38" t="s">
        <v>1472</v>
      </c>
      <c r="M43" s="38" t="s">
        <v>1322</v>
      </c>
      <c r="N43" s="34" t="s">
        <v>1225</v>
      </c>
      <c r="O43" s="34" t="s">
        <v>1225</v>
      </c>
      <c r="P43" s="34" t="s">
        <v>1225</v>
      </c>
      <c r="Q43" s="38" t="s">
        <v>1417</v>
      </c>
      <c r="R43" s="34" t="s">
        <v>1225</v>
      </c>
      <c r="S43" s="34" t="s">
        <v>1225</v>
      </c>
      <c r="T43" s="34" t="s">
        <v>1225</v>
      </c>
      <c r="U43" s="34" t="s">
        <v>1225</v>
      </c>
      <c r="V43" s="34" t="s">
        <v>1225</v>
      </c>
      <c r="W43" s="38" t="s">
        <v>1473</v>
      </c>
      <c r="X43" s="38" t="s">
        <v>1474</v>
      </c>
      <c r="Y43" s="38" t="s">
        <v>1475</v>
      </c>
      <c r="Z43" s="34" t="s">
        <v>1225</v>
      </c>
      <c r="AA43" s="34" t="s">
        <v>1225</v>
      </c>
      <c r="AB43" s="34" t="s">
        <v>1225</v>
      </c>
      <c r="AC43" s="34" t="s">
        <v>1225</v>
      </c>
      <c r="AD43" s="34" t="s">
        <v>1225</v>
      </c>
      <c r="AE43" s="34" t="s">
        <v>1225</v>
      </c>
      <c r="AF43" s="34" t="s">
        <v>1225</v>
      </c>
      <c r="AG43" s="34" t="s">
        <v>1225</v>
      </c>
      <c r="AH43" s="34" t="s">
        <v>1225</v>
      </c>
      <c r="AI43" s="34" t="s">
        <v>1225</v>
      </c>
      <c r="AJ43" s="34" t="s">
        <v>1225</v>
      </c>
      <c r="AK43" s="34" t="s">
        <v>1225</v>
      </c>
      <c r="AL43" s="34" t="s">
        <v>1225</v>
      </c>
      <c r="AM43" s="34" t="s">
        <v>1225</v>
      </c>
      <c r="AN43" s="34" t="s">
        <v>1225</v>
      </c>
      <c r="AO43" s="34" t="s">
        <v>1225</v>
      </c>
      <c r="AP43" s="34" t="s">
        <v>1225</v>
      </c>
      <c r="AQ43" s="34" t="s">
        <v>1225</v>
      </c>
      <c r="AR43" s="34" t="s">
        <v>1225</v>
      </c>
      <c r="AS43" s="34" t="s">
        <v>1225</v>
      </c>
      <c r="AT43" s="34" t="s">
        <v>1225</v>
      </c>
      <c r="AU43" s="34" t="s">
        <v>1225</v>
      </c>
      <c r="AV43" s="34" t="s">
        <v>1225</v>
      </c>
      <c r="AW43" s="38" t="s">
        <v>1272</v>
      </c>
      <c r="AX43" s="38">
        <v>2020</v>
      </c>
      <c r="AY43" s="34">
        <v>8</v>
      </c>
      <c r="AZ43" s="34">
        <v>2</v>
      </c>
      <c r="BA43" s="34" t="s">
        <v>1225</v>
      </c>
      <c r="BB43" s="34" t="s">
        <v>1225</v>
      </c>
      <c r="BC43" s="34" t="s">
        <v>1225</v>
      </c>
      <c r="BD43" s="34" t="s">
        <v>1225</v>
      </c>
      <c r="BE43" s="34">
        <v>193</v>
      </c>
      <c r="BF43" s="34">
        <v>205</v>
      </c>
      <c r="BG43" s="34" t="s">
        <v>1225</v>
      </c>
      <c r="BH43" s="38" t="s">
        <v>1476</v>
      </c>
      <c r="BI43" s="38" t="str">
        <f>HYPERLINK("http://dx.doi.org/10.35833/MPCE.2018.000374","http://dx.doi.org/10.35833/MPCE.2018.000374")</f>
        <v>http://dx.doi.org/10.35833/MPCE.2018.000374</v>
      </c>
      <c r="BJ43" s="34" t="s">
        <v>1225</v>
      </c>
      <c r="BK43" s="34" t="s">
        <v>1225</v>
      </c>
      <c r="BL43" s="34" t="s">
        <v>1225</v>
      </c>
      <c r="BM43" s="34" t="s">
        <v>1225</v>
      </c>
      <c r="BN43" s="34" t="s">
        <v>1225</v>
      </c>
      <c r="BO43" s="34" t="s">
        <v>1225</v>
      </c>
      <c r="BP43" s="34" t="s">
        <v>1225</v>
      </c>
      <c r="BQ43" s="34" t="s">
        <v>1225</v>
      </c>
      <c r="BR43" s="34" t="s">
        <v>1225</v>
      </c>
      <c r="BS43" s="34" t="s">
        <v>1225</v>
      </c>
      <c r="BT43" s="34" t="s">
        <v>1225</v>
      </c>
      <c r="BU43" s="34" t="s">
        <v>1225</v>
      </c>
      <c r="BV43" s="34" t="s">
        <v>1225</v>
      </c>
      <c r="BW43" s="34" t="str">
        <f t="shared" si="0"/>
        <v>View Full Record in Web of Science</v>
      </c>
      <c r="BX43" s="34"/>
      <c r="BY43" s="41" t="str">
        <f>IF(Deletion!J43=TRUE,"Yes","No")</f>
        <v>Yes</v>
      </c>
    </row>
    <row r="44" spans="1:77" x14ac:dyDescent="0.15">
      <c r="A44" s="33">
        <f t="shared" si="1"/>
        <v>43</v>
      </c>
      <c r="B44" s="33" t="s">
        <v>1222</v>
      </c>
      <c r="C44" s="33" t="s">
        <v>1222</v>
      </c>
      <c r="D44" s="33" t="s">
        <v>1223</v>
      </c>
      <c r="E44" s="33" t="s">
        <v>1477</v>
      </c>
      <c r="F44" s="33" t="s">
        <v>1225</v>
      </c>
      <c r="G44" s="33" t="s">
        <v>1225</v>
      </c>
      <c r="H44" s="33" t="s">
        <v>1225</v>
      </c>
      <c r="I44" s="33" t="s">
        <v>626</v>
      </c>
      <c r="J44" s="33" t="s">
        <v>1225</v>
      </c>
      <c r="K44" s="33" t="s">
        <v>1225</v>
      </c>
      <c r="L44" s="33" t="s">
        <v>625</v>
      </c>
      <c r="M44" s="33" t="s">
        <v>313</v>
      </c>
      <c r="N44" s="33" t="s">
        <v>1225</v>
      </c>
      <c r="O44" s="33" t="s">
        <v>1225</v>
      </c>
      <c r="P44" s="33" t="s">
        <v>1225</v>
      </c>
      <c r="Q44" s="33" t="s">
        <v>1227</v>
      </c>
      <c r="R44" s="33" t="s">
        <v>1225</v>
      </c>
      <c r="S44" s="33" t="s">
        <v>1225</v>
      </c>
      <c r="T44" s="33" t="s">
        <v>1225</v>
      </c>
      <c r="U44" s="33" t="s">
        <v>1225</v>
      </c>
      <c r="V44" s="33" t="s">
        <v>1225</v>
      </c>
      <c r="W44" s="33" t="s">
        <v>628</v>
      </c>
      <c r="X44" s="33" t="s">
        <v>1478</v>
      </c>
      <c r="Y44" s="33" t="s">
        <v>627</v>
      </c>
      <c r="Z44" s="33" t="s">
        <v>1225</v>
      </c>
      <c r="AA44" s="33" t="s">
        <v>1225</v>
      </c>
      <c r="AB44" s="33" t="s">
        <v>1225</v>
      </c>
      <c r="AC44" s="33" t="s">
        <v>1225</v>
      </c>
      <c r="AD44" s="33" t="s">
        <v>1225</v>
      </c>
      <c r="AE44" s="33" t="s">
        <v>1225</v>
      </c>
      <c r="AF44" s="33" t="s">
        <v>1225</v>
      </c>
      <c r="AG44" s="33" t="s">
        <v>1225</v>
      </c>
      <c r="AH44" s="33" t="s">
        <v>1225</v>
      </c>
      <c r="AI44" s="33" t="s">
        <v>1225</v>
      </c>
      <c r="AJ44" s="33" t="s">
        <v>1225</v>
      </c>
      <c r="AK44" s="33" t="s">
        <v>1225</v>
      </c>
      <c r="AL44" s="33" t="s">
        <v>1225</v>
      </c>
      <c r="AM44" s="33" t="s">
        <v>1225</v>
      </c>
      <c r="AN44" s="33" t="s">
        <v>1225</v>
      </c>
      <c r="AO44" s="33" t="s">
        <v>1225</v>
      </c>
      <c r="AP44" s="33" t="s">
        <v>1225</v>
      </c>
      <c r="AQ44" s="33" t="s">
        <v>1225</v>
      </c>
      <c r="AR44" s="33" t="s">
        <v>1225</v>
      </c>
      <c r="AS44" s="33" t="s">
        <v>1225</v>
      </c>
      <c r="AT44" s="33" t="s">
        <v>1225</v>
      </c>
      <c r="AU44" s="33" t="s">
        <v>1225</v>
      </c>
      <c r="AV44" s="33" t="s">
        <v>1225</v>
      </c>
      <c r="AW44" s="33" t="s">
        <v>1276</v>
      </c>
      <c r="AX44" s="33">
        <v>2022</v>
      </c>
      <c r="AY44" s="33">
        <v>141</v>
      </c>
      <c r="AZ44" s="33" t="s">
        <v>1225</v>
      </c>
      <c r="BA44" s="33" t="s">
        <v>1225</v>
      </c>
      <c r="BB44" s="33" t="s">
        <v>1225</v>
      </c>
      <c r="BC44" s="33" t="s">
        <v>1225</v>
      </c>
      <c r="BD44" s="33" t="s">
        <v>1225</v>
      </c>
      <c r="BE44" s="33" t="s">
        <v>1225</v>
      </c>
      <c r="BF44" s="33" t="s">
        <v>1225</v>
      </c>
      <c r="BG44" s="33">
        <v>108218</v>
      </c>
      <c r="BH44" s="33" t="s">
        <v>1479</v>
      </c>
      <c r="BI44" s="33" t="str">
        <f>HYPERLINK("http://dx.doi.org/10.1016/j.ijepes.2022.108218","http://dx.doi.org/10.1016/j.ijepes.2022.108218")</f>
        <v>http://dx.doi.org/10.1016/j.ijepes.2022.108218</v>
      </c>
      <c r="BJ44" s="33" t="s">
        <v>1225</v>
      </c>
      <c r="BK44" s="33" t="s">
        <v>1225</v>
      </c>
      <c r="BL44" s="33" t="s">
        <v>1225</v>
      </c>
      <c r="BM44" s="33" t="s">
        <v>1225</v>
      </c>
      <c r="BN44" s="33" t="s">
        <v>1225</v>
      </c>
      <c r="BO44" s="33" t="s">
        <v>1225</v>
      </c>
      <c r="BP44" s="33" t="s">
        <v>1225</v>
      </c>
      <c r="BQ44" s="33" t="s">
        <v>1225</v>
      </c>
      <c r="BR44" s="33" t="s">
        <v>1225</v>
      </c>
      <c r="BS44" s="33" t="s">
        <v>1225</v>
      </c>
      <c r="BT44" s="33" t="s">
        <v>1225</v>
      </c>
      <c r="BU44" s="33" t="s">
        <v>1225</v>
      </c>
      <c r="BV44" s="33" t="s">
        <v>1225</v>
      </c>
      <c r="BW44" s="33" t="str">
        <f t="shared" si="0"/>
        <v>View Full Record in Web of Science</v>
      </c>
      <c r="BX44" s="33"/>
      <c r="BY44" s="41" t="str">
        <f>IF(Deletion!J44=TRUE,"Yes","No")</f>
        <v>Yes</v>
      </c>
    </row>
    <row r="45" spans="1:77" x14ac:dyDescent="0.15">
      <c r="A45" s="34">
        <f t="shared" si="1"/>
        <v>44</v>
      </c>
      <c r="B45" s="34" t="s">
        <v>1480</v>
      </c>
      <c r="C45" s="34" t="s">
        <v>1232</v>
      </c>
      <c r="D45" s="34" t="s">
        <v>1223</v>
      </c>
      <c r="E45" s="34" t="s">
        <v>1481</v>
      </c>
      <c r="F45" s="34" t="s">
        <v>1225</v>
      </c>
      <c r="G45" s="34" t="s">
        <v>1225</v>
      </c>
      <c r="H45" s="34" t="s">
        <v>1225</v>
      </c>
      <c r="I45" s="34" t="s">
        <v>1482</v>
      </c>
      <c r="J45" s="34" t="s">
        <v>1225</v>
      </c>
      <c r="K45" s="34" t="s">
        <v>1225</v>
      </c>
      <c r="L45" s="34" t="s">
        <v>1483</v>
      </c>
      <c r="M45" s="34" t="s">
        <v>1484</v>
      </c>
      <c r="N45" s="34" t="s">
        <v>1225</v>
      </c>
      <c r="O45" s="34" t="s">
        <v>1225</v>
      </c>
      <c r="P45" s="34" t="s">
        <v>1225</v>
      </c>
      <c r="Q45" s="34" t="s">
        <v>1227</v>
      </c>
      <c r="R45" s="34" t="s">
        <v>1225</v>
      </c>
      <c r="S45" s="34" t="s">
        <v>1225</v>
      </c>
      <c r="T45" s="34" t="s">
        <v>1225</v>
      </c>
      <c r="U45" s="34" t="s">
        <v>1225</v>
      </c>
      <c r="V45" s="34" t="s">
        <v>1225</v>
      </c>
      <c r="W45" s="34" t="s">
        <v>1485</v>
      </c>
      <c r="X45" s="34" t="s">
        <v>1486</v>
      </c>
      <c r="Y45" s="34" t="s">
        <v>1487</v>
      </c>
      <c r="Z45" s="34" t="s">
        <v>1225</v>
      </c>
      <c r="AA45" s="34" t="s">
        <v>1225</v>
      </c>
      <c r="AB45" s="34" t="s">
        <v>1225</v>
      </c>
      <c r="AC45" s="34" t="s">
        <v>1225</v>
      </c>
      <c r="AD45" s="34" t="s">
        <v>1225</v>
      </c>
      <c r="AE45" s="34" t="s">
        <v>1225</v>
      </c>
      <c r="AF45" s="34" t="s">
        <v>1225</v>
      </c>
      <c r="AG45" s="34" t="s">
        <v>1225</v>
      </c>
      <c r="AH45" s="34" t="s">
        <v>1225</v>
      </c>
      <c r="AI45" s="34" t="s">
        <v>1225</v>
      </c>
      <c r="AJ45" s="34" t="s">
        <v>1225</v>
      </c>
      <c r="AK45" s="34" t="s">
        <v>1225</v>
      </c>
      <c r="AL45" s="34" t="s">
        <v>1225</v>
      </c>
      <c r="AM45" s="34" t="s">
        <v>1225</v>
      </c>
      <c r="AN45" s="34" t="s">
        <v>1225</v>
      </c>
      <c r="AO45" s="34" t="s">
        <v>1225</v>
      </c>
      <c r="AP45" s="34" t="s">
        <v>1225</v>
      </c>
      <c r="AQ45" s="34" t="s">
        <v>1225</v>
      </c>
      <c r="AR45" s="34" t="s">
        <v>1225</v>
      </c>
      <c r="AS45" s="34" t="s">
        <v>1225</v>
      </c>
      <c r="AT45" s="34" t="s">
        <v>1225</v>
      </c>
      <c r="AU45" s="34" t="s">
        <v>1225</v>
      </c>
      <c r="AV45" s="34" t="s">
        <v>1225</v>
      </c>
      <c r="AW45" s="34" t="s">
        <v>1488</v>
      </c>
      <c r="AX45" s="34">
        <v>2022</v>
      </c>
      <c r="AY45" s="34">
        <v>10</v>
      </c>
      <c r="AZ45" s="34" t="s">
        <v>1225</v>
      </c>
      <c r="BA45" s="34" t="s">
        <v>1225</v>
      </c>
      <c r="BB45" s="34" t="s">
        <v>1225</v>
      </c>
      <c r="BC45" s="34" t="s">
        <v>1225</v>
      </c>
      <c r="BD45" s="34" t="s">
        <v>1225</v>
      </c>
      <c r="BE45" s="34" t="s">
        <v>1225</v>
      </c>
      <c r="BF45" s="34" t="s">
        <v>1225</v>
      </c>
      <c r="BG45" s="34">
        <v>773440</v>
      </c>
      <c r="BH45" s="34" t="s">
        <v>1489</v>
      </c>
      <c r="BI45" s="34" t="str">
        <f>HYPERLINK("http://dx.doi.org/10.3389/fenrg.2022.773440","http://dx.doi.org/10.3389/fenrg.2022.773440")</f>
        <v>http://dx.doi.org/10.3389/fenrg.2022.773440</v>
      </c>
      <c r="BJ45" s="34" t="s">
        <v>1225</v>
      </c>
      <c r="BK45" s="34" t="s">
        <v>1225</v>
      </c>
      <c r="BL45" s="34" t="s">
        <v>1225</v>
      </c>
      <c r="BM45" s="34" t="s">
        <v>1225</v>
      </c>
      <c r="BN45" s="34" t="s">
        <v>1225</v>
      </c>
      <c r="BO45" s="34" t="s">
        <v>1225</v>
      </c>
      <c r="BP45" s="34" t="s">
        <v>1225</v>
      </c>
      <c r="BQ45" s="34" t="s">
        <v>1225</v>
      </c>
      <c r="BR45" s="34" t="s">
        <v>1225</v>
      </c>
      <c r="BS45" s="34" t="s">
        <v>1225</v>
      </c>
      <c r="BT45" s="34" t="s">
        <v>1225</v>
      </c>
      <c r="BU45" s="34" t="s">
        <v>1225</v>
      </c>
      <c r="BV45" s="34" t="s">
        <v>1225</v>
      </c>
      <c r="BW45" s="34" t="str">
        <f t="shared" si="0"/>
        <v>View Full Record in Web of Science</v>
      </c>
      <c r="BX45" s="34"/>
      <c r="BY45" s="41" t="str">
        <f>IF(Deletion!J45=TRUE,"Yes","No")</f>
        <v>Yes</v>
      </c>
    </row>
    <row r="46" spans="1:77" x14ac:dyDescent="0.15">
      <c r="A46" s="33">
        <f t="shared" si="1"/>
        <v>45</v>
      </c>
      <c r="B46" s="33" t="s">
        <v>1222</v>
      </c>
      <c r="C46" s="33" t="s">
        <v>1222</v>
      </c>
      <c r="D46" s="33" t="s">
        <v>1223</v>
      </c>
      <c r="E46" s="33" t="s">
        <v>1490</v>
      </c>
      <c r="F46" s="33" t="s">
        <v>1225</v>
      </c>
      <c r="G46" s="33" t="s">
        <v>1225</v>
      </c>
      <c r="H46" s="33" t="s">
        <v>1225</v>
      </c>
      <c r="I46" s="33" t="s">
        <v>370</v>
      </c>
      <c r="J46" s="33" t="s">
        <v>1225</v>
      </c>
      <c r="K46" s="33" t="s">
        <v>1225</v>
      </c>
      <c r="L46" s="33" t="s">
        <v>374</v>
      </c>
      <c r="M46" s="33" t="s">
        <v>371</v>
      </c>
      <c r="N46" s="33" t="s">
        <v>1225</v>
      </c>
      <c r="O46" s="33" t="s">
        <v>1225</v>
      </c>
      <c r="P46" s="33" t="s">
        <v>1225</v>
      </c>
      <c r="Q46" s="33" t="s">
        <v>1227</v>
      </c>
      <c r="R46" s="33" t="s">
        <v>1225</v>
      </c>
      <c r="S46" s="33" t="s">
        <v>1225</v>
      </c>
      <c r="T46" s="33" t="s">
        <v>1225</v>
      </c>
      <c r="U46" s="33" t="s">
        <v>1225</v>
      </c>
      <c r="V46" s="33" t="s">
        <v>1225</v>
      </c>
      <c r="W46" s="33" t="s">
        <v>372</v>
      </c>
      <c r="X46" s="33" t="s">
        <v>1491</v>
      </c>
      <c r="Y46" s="33" t="s">
        <v>373</v>
      </c>
      <c r="Z46" s="33" t="s">
        <v>1225</v>
      </c>
      <c r="AA46" s="33" t="s">
        <v>1225</v>
      </c>
      <c r="AB46" s="33" t="s">
        <v>1225</v>
      </c>
      <c r="AC46" s="33" t="s">
        <v>1225</v>
      </c>
      <c r="AD46" s="33" t="s">
        <v>1225</v>
      </c>
      <c r="AE46" s="33" t="s">
        <v>1225</v>
      </c>
      <c r="AF46" s="33" t="s">
        <v>1225</v>
      </c>
      <c r="AG46" s="33" t="s">
        <v>1225</v>
      </c>
      <c r="AH46" s="33" t="s">
        <v>1225</v>
      </c>
      <c r="AI46" s="33" t="s">
        <v>1225</v>
      </c>
      <c r="AJ46" s="33" t="s">
        <v>1225</v>
      </c>
      <c r="AK46" s="33" t="s">
        <v>1225</v>
      </c>
      <c r="AL46" s="33" t="s">
        <v>1225</v>
      </c>
      <c r="AM46" s="33" t="s">
        <v>1225</v>
      </c>
      <c r="AN46" s="33" t="s">
        <v>1225</v>
      </c>
      <c r="AO46" s="33" t="s">
        <v>1225</v>
      </c>
      <c r="AP46" s="33" t="s">
        <v>1225</v>
      </c>
      <c r="AQ46" s="33" t="s">
        <v>1225</v>
      </c>
      <c r="AR46" s="33" t="s">
        <v>1225</v>
      </c>
      <c r="AS46" s="33" t="s">
        <v>1225</v>
      </c>
      <c r="AT46" s="33" t="s">
        <v>1225</v>
      </c>
      <c r="AU46" s="33" t="s">
        <v>1225</v>
      </c>
      <c r="AV46" s="33" t="s">
        <v>1225</v>
      </c>
      <c r="AW46" s="33" t="s">
        <v>1225</v>
      </c>
      <c r="AX46" s="33">
        <v>2020</v>
      </c>
      <c r="AY46" s="33">
        <v>28</v>
      </c>
      <c r="AZ46" s="33">
        <v>2</v>
      </c>
      <c r="BA46" s="33" t="s">
        <v>1225</v>
      </c>
      <c r="BB46" s="33" t="s">
        <v>1225</v>
      </c>
      <c r="BC46" s="33" t="s">
        <v>1225</v>
      </c>
      <c r="BD46" s="33" t="s">
        <v>1225</v>
      </c>
      <c r="BE46" s="33">
        <v>773</v>
      </c>
      <c r="BF46" s="33">
        <v>783</v>
      </c>
      <c r="BG46" s="33" t="s">
        <v>1225</v>
      </c>
      <c r="BH46" s="33" t="s">
        <v>1492</v>
      </c>
      <c r="BI46" s="33" t="str">
        <f>HYPERLINK("http://dx.doi.org/10.3906/elk-1806-196","http://dx.doi.org/10.3906/elk-1806-196")</f>
        <v>http://dx.doi.org/10.3906/elk-1806-196</v>
      </c>
      <c r="BJ46" s="33" t="s">
        <v>1225</v>
      </c>
      <c r="BK46" s="33" t="s">
        <v>1225</v>
      </c>
      <c r="BL46" s="33" t="s">
        <v>1225</v>
      </c>
      <c r="BM46" s="33" t="s">
        <v>1225</v>
      </c>
      <c r="BN46" s="33" t="s">
        <v>1225</v>
      </c>
      <c r="BO46" s="33" t="s">
        <v>1225</v>
      </c>
      <c r="BP46" s="33" t="s">
        <v>1225</v>
      </c>
      <c r="BQ46" s="33" t="s">
        <v>1225</v>
      </c>
      <c r="BR46" s="33" t="s">
        <v>1225</v>
      </c>
      <c r="BS46" s="33" t="s">
        <v>1225</v>
      </c>
      <c r="BT46" s="33" t="s">
        <v>1225</v>
      </c>
      <c r="BU46" s="33" t="s">
        <v>1225</v>
      </c>
      <c r="BV46" s="33" t="s">
        <v>1225</v>
      </c>
      <c r="BW46" s="33" t="str">
        <f t="shared" si="0"/>
        <v>View Full Record in Web of Science</v>
      </c>
      <c r="BX46" s="33"/>
      <c r="BY46" s="41" t="str">
        <f>IF(Deletion!J46=TRUE,"Yes","No")</f>
        <v>Yes</v>
      </c>
    </row>
    <row r="47" spans="1:77" x14ac:dyDescent="0.15">
      <c r="A47" s="33">
        <f t="shared" si="1"/>
        <v>46</v>
      </c>
      <c r="B47" s="33" t="s">
        <v>1222</v>
      </c>
      <c r="C47" s="33" t="s">
        <v>1222</v>
      </c>
      <c r="D47" s="33" t="s">
        <v>1223</v>
      </c>
      <c r="E47" s="33" t="s">
        <v>1493</v>
      </c>
      <c r="F47" s="33" t="s">
        <v>1225</v>
      </c>
      <c r="G47" s="33" t="s">
        <v>1225</v>
      </c>
      <c r="H47" s="33" t="s">
        <v>1225</v>
      </c>
      <c r="I47" s="33" t="s">
        <v>384</v>
      </c>
      <c r="J47" s="33" t="s">
        <v>1225</v>
      </c>
      <c r="K47" s="33" t="s">
        <v>1225</v>
      </c>
      <c r="L47" s="33" t="s">
        <v>381</v>
      </c>
      <c r="M47" s="33" t="s">
        <v>89</v>
      </c>
      <c r="N47" s="33" t="s">
        <v>1225</v>
      </c>
      <c r="O47" s="33" t="s">
        <v>1225</v>
      </c>
      <c r="P47" s="33" t="s">
        <v>1225</v>
      </c>
      <c r="Q47" s="33" t="s">
        <v>1227</v>
      </c>
      <c r="R47" s="33" t="s">
        <v>1225</v>
      </c>
      <c r="S47" s="33" t="s">
        <v>1225</v>
      </c>
      <c r="T47" s="33" t="s">
        <v>1225</v>
      </c>
      <c r="U47" s="33" t="s">
        <v>1225</v>
      </c>
      <c r="V47" s="33" t="s">
        <v>1225</v>
      </c>
      <c r="W47" s="33" t="s">
        <v>382</v>
      </c>
      <c r="X47" s="33" t="s">
        <v>1494</v>
      </c>
      <c r="Y47" s="33" t="s">
        <v>383</v>
      </c>
      <c r="Z47" s="33" t="s">
        <v>1225</v>
      </c>
      <c r="AA47" s="33" t="s">
        <v>1225</v>
      </c>
      <c r="AB47" s="33" t="s">
        <v>1225</v>
      </c>
      <c r="AC47" s="33" t="s">
        <v>1225</v>
      </c>
      <c r="AD47" s="33" t="s">
        <v>1225</v>
      </c>
      <c r="AE47" s="33" t="s">
        <v>1225</v>
      </c>
      <c r="AF47" s="33" t="s">
        <v>1225</v>
      </c>
      <c r="AG47" s="33" t="s">
        <v>1225</v>
      </c>
      <c r="AH47" s="33" t="s">
        <v>1225</v>
      </c>
      <c r="AI47" s="33" t="s">
        <v>1225</v>
      </c>
      <c r="AJ47" s="33" t="s">
        <v>1225</v>
      </c>
      <c r="AK47" s="33" t="s">
        <v>1225</v>
      </c>
      <c r="AL47" s="33" t="s">
        <v>1225</v>
      </c>
      <c r="AM47" s="33" t="s">
        <v>1225</v>
      </c>
      <c r="AN47" s="33" t="s">
        <v>1225</v>
      </c>
      <c r="AO47" s="33" t="s">
        <v>1225</v>
      </c>
      <c r="AP47" s="33" t="s">
        <v>1225</v>
      </c>
      <c r="AQ47" s="33" t="s">
        <v>1225</v>
      </c>
      <c r="AR47" s="33" t="s">
        <v>1225</v>
      </c>
      <c r="AS47" s="33" t="s">
        <v>1225</v>
      </c>
      <c r="AT47" s="33" t="s">
        <v>1225</v>
      </c>
      <c r="AU47" s="33" t="s">
        <v>1225</v>
      </c>
      <c r="AV47" s="33" t="s">
        <v>1225</v>
      </c>
      <c r="AW47" s="33" t="s">
        <v>1465</v>
      </c>
      <c r="AX47" s="33">
        <v>2019</v>
      </c>
      <c r="AY47" s="33">
        <v>167</v>
      </c>
      <c r="AZ47" s="33" t="s">
        <v>1225</v>
      </c>
      <c r="BA47" s="33" t="s">
        <v>1225</v>
      </c>
      <c r="BB47" s="33" t="s">
        <v>1225</v>
      </c>
      <c r="BC47" s="33" t="s">
        <v>1225</v>
      </c>
      <c r="BD47" s="33" t="s">
        <v>1225</v>
      </c>
      <c r="BE47" s="33">
        <v>113</v>
      </c>
      <c r="BF47" s="33">
        <v>121</v>
      </c>
      <c r="BG47" s="33" t="s">
        <v>1225</v>
      </c>
      <c r="BH47" s="33" t="s">
        <v>1495</v>
      </c>
      <c r="BI47" s="33" t="str">
        <f>HYPERLINK("http://dx.doi.org/10.1016/j.epsr.2018.10.029","http://dx.doi.org/10.1016/j.epsr.2018.10.029")</f>
        <v>http://dx.doi.org/10.1016/j.epsr.2018.10.029</v>
      </c>
      <c r="BJ47" s="33" t="s">
        <v>1225</v>
      </c>
      <c r="BK47" s="33" t="s">
        <v>1225</v>
      </c>
      <c r="BL47" s="33" t="s">
        <v>1225</v>
      </c>
      <c r="BM47" s="33" t="s">
        <v>1225</v>
      </c>
      <c r="BN47" s="33" t="s">
        <v>1225</v>
      </c>
      <c r="BO47" s="33" t="s">
        <v>1225</v>
      </c>
      <c r="BP47" s="33" t="s">
        <v>1225</v>
      </c>
      <c r="BQ47" s="33" t="s">
        <v>1225</v>
      </c>
      <c r="BR47" s="33" t="s">
        <v>1225</v>
      </c>
      <c r="BS47" s="33" t="s">
        <v>1225</v>
      </c>
      <c r="BT47" s="33" t="s">
        <v>1225</v>
      </c>
      <c r="BU47" s="33" t="s">
        <v>1225</v>
      </c>
      <c r="BV47" s="33" t="s">
        <v>1225</v>
      </c>
      <c r="BW47" s="33" t="str">
        <f t="shared" si="0"/>
        <v>View Full Record in Web of Science</v>
      </c>
      <c r="BX47" s="33"/>
      <c r="BY47" s="41" t="str">
        <f>IF(Deletion!J47=TRUE,"Yes","No")</f>
        <v>Yes</v>
      </c>
    </row>
    <row r="48" spans="1:77" x14ac:dyDescent="0.15">
      <c r="A48" s="34">
        <f t="shared" si="1"/>
        <v>47</v>
      </c>
      <c r="B48" s="35" t="s">
        <v>1349</v>
      </c>
      <c r="C48" s="34" t="s">
        <v>1232</v>
      </c>
      <c r="D48" s="34" t="s">
        <v>1223</v>
      </c>
      <c r="E48" s="34" t="s">
        <v>1496</v>
      </c>
      <c r="F48" s="34" t="s">
        <v>1225</v>
      </c>
      <c r="G48" s="34" t="s">
        <v>1225</v>
      </c>
      <c r="H48" s="34" t="s">
        <v>1225</v>
      </c>
      <c r="I48" s="34" t="s">
        <v>1497</v>
      </c>
      <c r="J48" s="34" t="s">
        <v>1225</v>
      </c>
      <c r="K48" s="34" t="s">
        <v>1225</v>
      </c>
      <c r="L48" s="34" t="s">
        <v>1498</v>
      </c>
      <c r="M48" s="34" t="s">
        <v>553</v>
      </c>
      <c r="N48" s="34" t="s">
        <v>1225</v>
      </c>
      <c r="O48" s="34" t="s">
        <v>1225</v>
      </c>
      <c r="P48" s="34" t="s">
        <v>1225</v>
      </c>
      <c r="Q48" s="34" t="s">
        <v>1227</v>
      </c>
      <c r="R48" s="34" t="s">
        <v>1225</v>
      </c>
      <c r="S48" s="34" t="s">
        <v>1225</v>
      </c>
      <c r="T48" s="34" t="s">
        <v>1225</v>
      </c>
      <c r="U48" s="34" t="s">
        <v>1225</v>
      </c>
      <c r="V48" s="34" t="s">
        <v>1225</v>
      </c>
      <c r="W48" s="34" t="s">
        <v>1499</v>
      </c>
      <c r="X48" s="34" t="s">
        <v>1225</v>
      </c>
      <c r="Y48" s="34" t="s">
        <v>1500</v>
      </c>
      <c r="Z48" s="34" t="s">
        <v>1225</v>
      </c>
      <c r="AA48" s="34" t="s">
        <v>1225</v>
      </c>
      <c r="AB48" s="34" t="s">
        <v>1225</v>
      </c>
      <c r="AC48" s="34" t="s">
        <v>1225</v>
      </c>
      <c r="AD48" s="34" t="s">
        <v>1225</v>
      </c>
      <c r="AE48" s="34" t="s">
        <v>1225</v>
      </c>
      <c r="AF48" s="34" t="s">
        <v>1225</v>
      </c>
      <c r="AG48" s="34" t="s">
        <v>1225</v>
      </c>
      <c r="AH48" s="34" t="s">
        <v>1225</v>
      </c>
      <c r="AI48" s="34" t="s">
        <v>1225</v>
      </c>
      <c r="AJ48" s="34" t="s">
        <v>1225</v>
      </c>
      <c r="AK48" s="34" t="s">
        <v>1225</v>
      </c>
      <c r="AL48" s="34" t="s">
        <v>1225</v>
      </c>
      <c r="AM48" s="34" t="s">
        <v>1225</v>
      </c>
      <c r="AN48" s="34" t="s">
        <v>1225</v>
      </c>
      <c r="AO48" s="34" t="s">
        <v>1225</v>
      </c>
      <c r="AP48" s="34" t="s">
        <v>1225</v>
      </c>
      <c r="AQ48" s="34" t="s">
        <v>1225</v>
      </c>
      <c r="AR48" s="34" t="s">
        <v>1225</v>
      </c>
      <c r="AS48" s="34" t="s">
        <v>1225</v>
      </c>
      <c r="AT48" s="34" t="s">
        <v>1225</v>
      </c>
      <c r="AU48" s="34" t="s">
        <v>1225</v>
      </c>
      <c r="AV48" s="34" t="s">
        <v>1225</v>
      </c>
      <c r="AW48" s="34" t="s">
        <v>1229</v>
      </c>
      <c r="AX48" s="34">
        <v>2021</v>
      </c>
      <c r="AY48" s="34">
        <v>100</v>
      </c>
      <c r="AZ48" s="34" t="s">
        <v>1225</v>
      </c>
      <c r="BA48" s="34" t="s">
        <v>1225</v>
      </c>
      <c r="BB48" s="34" t="s">
        <v>1225</v>
      </c>
      <c r="BC48" s="34" t="s">
        <v>1225</v>
      </c>
      <c r="BD48" s="34" t="s">
        <v>1225</v>
      </c>
      <c r="BE48" s="34" t="s">
        <v>1225</v>
      </c>
      <c r="BF48" s="34" t="s">
        <v>1225</v>
      </c>
      <c r="BG48" s="34">
        <v>103023</v>
      </c>
      <c r="BH48" s="34" t="s">
        <v>1501</v>
      </c>
      <c r="BI48" s="34" t="str">
        <f>HYPERLINK("http://dx.doi.org/10.1016/j.trd.2021.103023","http://dx.doi.org/10.1016/j.trd.2021.103023")</f>
        <v>http://dx.doi.org/10.1016/j.trd.2021.103023</v>
      </c>
      <c r="BJ48" s="34" t="s">
        <v>1225</v>
      </c>
      <c r="BK48" s="34" t="s">
        <v>1502</v>
      </c>
      <c r="BL48" s="34" t="s">
        <v>1225</v>
      </c>
      <c r="BM48" s="34" t="s">
        <v>1225</v>
      </c>
      <c r="BN48" s="34" t="s">
        <v>1225</v>
      </c>
      <c r="BO48" s="34" t="s">
        <v>1225</v>
      </c>
      <c r="BP48" s="34" t="s">
        <v>1225</v>
      </c>
      <c r="BQ48" s="34" t="s">
        <v>1225</v>
      </c>
      <c r="BR48" s="34" t="s">
        <v>1225</v>
      </c>
      <c r="BS48" s="34" t="s">
        <v>1225</v>
      </c>
      <c r="BT48" s="34" t="s">
        <v>1225</v>
      </c>
      <c r="BU48" s="34" t="s">
        <v>1225</v>
      </c>
      <c r="BV48" s="34" t="s">
        <v>1225</v>
      </c>
      <c r="BW48" s="34" t="str">
        <f t="shared" si="0"/>
        <v>View Full Record in Web of Science</v>
      </c>
      <c r="BX48" s="34"/>
      <c r="BY48" s="41" t="str">
        <f>IF(Deletion!J48=TRUE,"Yes","No")</f>
        <v>Yes</v>
      </c>
    </row>
    <row r="49" spans="1:77" x14ac:dyDescent="0.15">
      <c r="A49" s="34">
        <f t="shared" si="1"/>
        <v>48</v>
      </c>
      <c r="B49" s="37" t="s">
        <v>1503</v>
      </c>
      <c r="C49" s="34" t="s">
        <v>1232</v>
      </c>
      <c r="D49" s="34" t="s">
        <v>1223</v>
      </c>
      <c r="E49" s="34" t="s">
        <v>1504</v>
      </c>
      <c r="F49" s="34" t="s">
        <v>1225</v>
      </c>
      <c r="G49" s="34" t="s">
        <v>1225</v>
      </c>
      <c r="H49" s="34" t="s">
        <v>1225</v>
      </c>
      <c r="I49" s="34" t="s">
        <v>1505</v>
      </c>
      <c r="J49" s="34" t="s">
        <v>1225</v>
      </c>
      <c r="K49" s="34" t="s">
        <v>1225</v>
      </c>
      <c r="L49" s="34" t="s">
        <v>1506</v>
      </c>
      <c r="M49" s="34" t="s">
        <v>1507</v>
      </c>
      <c r="N49" s="34" t="s">
        <v>1225</v>
      </c>
      <c r="O49" s="34" t="s">
        <v>1225</v>
      </c>
      <c r="P49" s="34" t="s">
        <v>1225</v>
      </c>
      <c r="Q49" s="34" t="s">
        <v>1227</v>
      </c>
      <c r="R49" s="34" t="s">
        <v>1225</v>
      </c>
      <c r="S49" s="34" t="s">
        <v>1225</v>
      </c>
      <c r="T49" s="34" t="s">
        <v>1225</v>
      </c>
      <c r="U49" s="34" t="s">
        <v>1225</v>
      </c>
      <c r="V49" s="34" t="s">
        <v>1225</v>
      </c>
      <c r="W49" s="34" t="s">
        <v>1508</v>
      </c>
      <c r="X49" s="34" t="s">
        <v>1509</v>
      </c>
      <c r="Y49" s="34" t="s">
        <v>1510</v>
      </c>
      <c r="Z49" s="34" t="s">
        <v>1225</v>
      </c>
      <c r="AA49" s="34" t="s">
        <v>1225</v>
      </c>
      <c r="AB49" s="34" t="s">
        <v>1225</v>
      </c>
      <c r="AC49" s="34" t="s">
        <v>1225</v>
      </c>
      <c r="AD49" s="34" t="s">
        <v>1225</v>
      </c>
      <c r="AE49" s="34" t="s">
        <v>1225</v>
      </c>
      <c r="AF49" s="34" t="s">
        <v>1225</v>
      </c>
      <c r="AG49" s="34" t="s">
        <v>1225</v>
      </c>
      <c r="AH49" s="34" t="s">
        <v>1225</v>
      </c>
      <c r="AI49" s="34" t="s">
        <v>1225</v>
      </c>
      <c r="AJ49" s="34" t="s">
        <v>1225</v>
      </c>
      <c r="AK49" s="34" t="s">
        <v>1225</v>
      </c>
      <c r="AL49" s="34" t="s">
        <v>1225</v>
      </c>
      <c r="AM49" s="34" t="s">
        <v>1225</v>
      </c>
      <c r="AN49" s="34" t="s">
        <v>1225</v>
      </c>
      <c r="AO49" s="34" t="s">
        <v>1225</v>
      </c>
      <c r="AP49" s="34" t="s">
        <v>1225</v>
      </c>
      <c r="AQ49" s="34" t="s">
        <v>1225</v>
      </c>
      <c r="AR49" s="34" t="s">
        <v>1225</v>
      </c>
      <c r="AS49" s="34" t="s">
        <v>1225</v>
      </c>
      <c r="AT49" s="34" t="s">
        <v>1225</v>
      </c>
      <c r="AU49" s="34" t="s">
        <v>1225</v>
      </c>
      <c r="AV49" s="34" t="s">
        <v>1225</v>
      </c>
      <c r="AW49" s="34" t="s">
        <v>1317</v>
      </c>
      <c r="AX49" s="34">
        <v>2020</v>
      </c>
      <c r="AY49" s="34">
        <v>38</v>
      </c>
      <c r="AZ49" s="34">
        <v>1</v>
      </c>
      <c r="BA49" s="34" t="s">
        <v>1225</v>
      </c>
      <c r="BB49" s="34" t="s">
        <v>1225</v>
      </c>
      <c r="BC49" s="34" t="s">
        <v>1511</v>
      </c>
      <c r="BD49" s="34" t="s">
        <v>1225</v>
      </c>
      <c r="BE49" s="34">
        <v>217</v>
      </c>
      <c r="BF49" s="34">
        <v>228</v>
      </c>
      <c r="BG49" s="34" t="s">
        <v>1225</v>
      </c>
      <c r="BH49" s="34" t="s">
        <v>1512</v>
      </c>
      <c r="BI49" s="34" t="str">
        <f>HYPERLINK("http://dx.doi.org/10.1109/JSAC.2019.2951966","http://dx.doi.org/10.1109/JSAC.2019.2951966")</f>
        <v>http://dx.doi.org/10.1109/JSAC.2019.2951966</v>
      </c>
      <c r="BJ49" s="34" t="s">
        <v>1225</v>
      </c>
      <c r="BK49" s="34" t="s">
        <v>1225</v>
      </c>
      <c r="BL49" s="34" t="s">
        <v>1225</v>
      </c>
      <c r="BM49" s="34" t="s">
        <v>1225</v>
      </c>
      <c r="BN49" s="34" t="s">
        <v>1225</v>
      </c>
      <c r="BO49" s="34" t="s">
        <v>1225</v>
      </c>
      <c r="BP49" s="34" t="s">
        <v>1225</v>
      </c>
      <c r="BQ49" s="34" t="s">
        <v>1225</v>
      </c>
      <c r="BR49" s="34" t="s">
        <v>1225</v>
      </c>
      <c r="BS49" s="34" t="s">
        <v>1225</v>
      </c>
      <c r="BT49" s="34" t="s">
        <v>1225</v>
      </c>
      <c r="BU49" s="34" t="s">
        <v>1225</v>
      </c>
      <c r="BV49" s="34" t="s">
        <v>1225</v>
      </c>
      <c r="BW49" s="34" t="str">
        <f t="shared" si="0"/>
        <v>View Full Record in Web of Science</v>
      </c>
      <c r="BX49" s="34"/>
      <c r="BY49" s="41" t="str">
        <f>IF(Deletion!J49=TRUE,"Yes","No")</f>
        <v>Yes</v>
      </c>
    </row>
    <row r="50" spans="1:77" x14ac:dyDescent="0.15">
      <c r="A50" s="33">
        <f t="shared" si="1"/>
        <v>49</v>
      </c>
      <c r="B50" s="33" t="s">
        <v>1222</v>
      </c>
      <c r="C50" s="33" t="s">
        <v>1222</v>
      </c>
      <c r="D50" s="33" t="s">
        <v>1223</v>
      </c>
      <c r="E50" s="33" t="s">
        <v>1513</v>
      </c>
      <c r="F50" s="33" t="s">
        <v>1225</v>
      </c>
      <c r="G50" s="33" t="s">
        <v>1225</v>
      </c>
      <c r="H50" s="33" t="s">
        <v>1225</v>
      </c>
      <c r="I50" s="33" t="s">
        <v>396</v>
      </c>
      <c r="J50" s="33" t="s">
        <v>1225</v>
      </c>
      <c r="K50" s="33" t="s">
        <v>1225</v>
      </c>
      <c r="L50" s="33" t="s">
        <v>394</v>
      </c>
      <c r="M50" s="33" t="s">
        <v>68</v>
      </c>
      <c r="N50" s="33" t="s">
        <v>1225</v>
      </c>
      <c r="O50" s="33" t="s">
        <v>1225</v>
      </c>
      <c r="P50" s="33" t="s">
        <v>1225</v>
      </c>
      <c r="Q50" s="33" t="s">
        <v>1227</v>
      </c>
      <c r="R50" s="33" t="s">
        <v>1225</v>
      </c>
      <c r="S50" s="33" t="s">
        <v>1225</v>
      </c>
      <c r="T50" s="33" t="s">
        <v>1225</v>
      </c>
      <c r="U50" s="33" t="s">
        <v>1225</v>
      </c>
      <c r="V50" s="33" t="s">
        <v>1225</v>
      </c>
      <c r="W50" s="33" t="s">
        <v>397</v>
      </c>
      <c r="X50" s="33" t="s">
        <v>1514</v>
      </c>
      <c r="Y50" s="33" t="s">
        <v>1515</v>
      </c>
      <c r="Z50" s="33" t="s">
        <v>1225</v>
      </c>
      <c r="AA50" s="33" t="s">
        <v>1225</v>
      </c>
      <c r="AB50" s="33" t="s">
        <v>1225</v>
      </c>
      <c r="AC50" s="33" t="s">
        <v>1225</v>
      </c>
      <c r="AD50" s="33" t="s">
        <v>1225</v>
      </c>
      <c r="AE50" s="33" t="s">
        <v>1225</v>
      </c>
      <c r="AF50" s="33" t="s">
        <v>1225</v>
      </c>
      <c r="AG50" s="33" t="s">
        <v>1225</v>
      </c>
      <c r="AH50" s="33" t="s">
        <v>1225</v>
      </c>
      <c r="AI50" s="33" t="s">
        <v>1225</v>
      </c>
      <c r="AJ50" s="33" t="s">
        <v>1225</v>
      </c>
      <c r="AK50" s="33" t="s">
        <v>1225</v>
      </c>
      <c r="AL50" s="33" t="s">
        <v>1225</v>
      </c>
      <c r="AM50" s="33" t="s">
        <v>1225</v>
      </c>
      <c r="AN50" s="33" t="s">
        <v>1225</v>
      </c>
      <c r="AO50" s="33" t="s">
        <v>1225</v>
      </c>
      <c r="AP50" s="33" t="s">
        <v>1225</v>
      </c>
      <c r="AQ50" s="33" t="s">
        <v>1225</v>
      </c>
      <c r="AR50" s="33" t="s">
        <v>1225</v>
      </c>
      <c r="AS50" s="33" t="s">
        <v>1225</v>
      </c>
      <c r="AT50" s="33" t="s">
        <v>1225</v>
      </c>
      <c r="AU50" s="33" t="s">
        <v>1225</v>
      </c>
      <c r="AV50" s="33" t="s">
        <v>1225</v>
      </c>
      <c r="AW50" s="33" t="s">
        <v>1225</v>
      </c>
      <c r="AX50" s="33">
        <v>2020</v>
      </c>
      <c r="AY50" s="33">
        <v>8</v>
      </c>
      <c r="AZ50" s="33" t="s">
        <v>1225</v>
      </c>
      <c r="BA50" s="33" t="s">
        <v>1225</v>
      </c>
      <c r="BB50" s="33" t="s">
        <v>1225</v>
      </c>
      <c r="BC50" s="33" t="s">
        <v>1225</v>
      </c>
      <c r="BD50" s="33" t="s">
        <v>1225</v>
      </c>
      <c r="BE50" s="33">
        <v>48274</v>
      </c>
      <c r="BF50" s="33">
        <v>48284</v>
      </c>
      <c r="BG50" s="33" t="s">
        <v>1225</v>
      </c>
      <c r="BH50" s="33" t="s">
        <v>1516</v>
      </c>
      <c r="BI50" s="33" t="str">
        <f>HYPERLINK("http://dx.doi.org/10.1109/ACCESS.2020.2974477","http://dx.doi.org/10.1109/ACCESS.2020.2974477")</f>
        <v>http://dx.doi.org/10.1109/ACCESS.2020.2974477</v>
      </c>
      <c r="BJ50" s="33" t="s">
        <v>1225</v>
      </c>
      <c r="BK50" s="33" t="s">
        <v>1225</v>
      </c>
      <c r="BL50" s="33" t="s">
        <v>1225</v>
      </c>
      <c r="BM50" s="33" t="s">
        <v>1225</v>
      </c>
      <c r="BN50" s="33" t="s">
        <v>1225</v>
      </c>
      <c r="BO50" s="33" t="s">
        <v>1225</v>
      </c>
      <c r="BP50" s="33" t="s">
        <v>1225</v>
      </c>
      <c r="BQ50" s="33" t="s">
        <v>1225</v>
      </c>
      <c r="BR50" s="33" t="s">
        <v>1225</v>
      </c>
      <c r="BS50" s="33" t="s">
        <v>1225</v>
      </c>
      <c r="BT50" s="33" t="s">
        <v>1225</v>
      </c>
      <c r="BU50" s="33" t="s">
        <v>1225</v>
      </c>
      <c r="BV50" s="33" t="s">
        <v>1225</v>
      </c>
      <c r="BW50" s="33" t="str">
        <f t="shared" si="0"/>
        <v>View Full Record in Web of Science</v>
      </c>
      <c r="BX50" s="33"/>
      <c r="BY50" s="41" t="str">
        <f>IF(Deletion!J50=TRUE,"Yes","No")</f>
        <v>Yes</v>
      </c>
    </row>
    <row r="51" spans="1:77" x14ac:dyDescent="0.15">
      <c r="A51" s="33">
        <f t="shared" si="1"/>
        <v>50</v>
      </c>
      <c r="B51" s="33" t="s">
        <v>1222</v>
      </c>
      <c r="C51" s="33" t="s">
        <v>1222</v>
      </c>
      <c r="D51" s="33" t="s">
        <v>1223</v>
      </c>
      <c r="E51" s="33" t="s">
        <v>1517</v>
      </c>
      <c r="F51" s="33" t="s">
        <v>1225</v>
      </c>
      <c r="G51" s="33" t="s">
        <v>1225</v>
      </c>
      <c r="H51" s="33" t="s">
        <v>1225</v>
      </c>
      <c r="I51" s="33" t="s">
        <v>407</v>
      </c>
      <c r="J51" s="33" t="s">
        <v>1225</v>
      </c>
      <c r="K51" s="33" t="s">
        <v>1225</v>
      </c>
      <c r="L51" s="33" t="s">
        <v>408</v>
      </c>
      <c r="M51" s="33" t="s">
        <v>73</v>
      </c>
      <c r="N51" s="33" t="s">
        <v>1225</v>
      </c>
      <c r="O51" s="33" t="s">
        <v>1225</v>
      </c>
      <c r="P51" s="33" t="s">
        <v>1225</v>
      </c>
      <c r="Q51" s="33" t="s">
        <v>1227</v>
      </c>
      <c r="R51" s="33" t="s">
        <v>1225</v>
      </c>
      <c r="S51" s="33" t="s">
        <v>1225</v>
      </c>
      <c r="T51" s="33" t="s">
        <v>1225</v>
      </c>
      <c r="U51" s="33" t="s">
        <v>1225</v>
      </c>
      <c r="V51" s="33" t="s">
        <v>1225</v>
      </c>
      <c r="W51" s="33" t="s">
        <v>406</v>
      </c>
      <c r="X51" s="33" t="s">
        <v>1518</v>
      </c>
      <c r="Y51" s="33" t="s">
        <v>405</v>
      </c>
      <c r="Z51" s="33" t="s">
        <v>1225</v>
      </c>
      <c r="AA51" s="33" t="s">
        <v>1225</v>
      </c>
      <c r="AB51" s="33" t="s">
        <v>1225</v>
      </c>
      <c r="AC51" s="33" t="s">
        <v>1225</v>
      </c>
      <c r="AD51" s="33" t="s">
        <v>1225</v>
      </c>
      <c r="AE51" s="33" t="s">
        <v>1225</v>
      </c>
      <c r="AF51" s="33" t="s">
        <v>1225</v>
      </c>
      <c r="AG51" s="33" t="s">
        <v>1225</v>
      </c>
      <c r="AH51" s="33" t="s">
        <v>1225</v>
      </c>
      <c r="AI51" s="33" t="s">
        <v>1225</v>
      </c>
      <c r="AJ51" s="33" t="s">
        <v>1225</v>
      </c>
      <c r="AK51" s="33" t="s">
        <v>1225</v>
      </c>
      <c r="AL51" s="33" t="s">
        <v>1225</v>
      </c>
      <c r="AM51" s="33" t="s">
        <v>1225</v>
      </c>
      <c r="AN51" s="33" t="s">
        <v>1225</v>
      </c>
      <c r="AO51" s="33" t="s">
        <v>1225</v>
      </c>
      <c r="AP51" s="33" t="s">
        <v>1225</v>
      </c>
      <c r="AQ51" s="33" t="s">
        <v>1225</v>
      </c>
      <c r="AR51" s="33" t="s">
        <v>1225</v>
      </c>
      <c r="AS51" s="33" t="s">
        <v>1225</v>
      </c>
      <c r="AT51" s="33" t="s">
        <v>1225</v>
      </c>
      <c r="AU51" s="33" t="s">
        <v>1225</v>
      </c>
      <c r="AV51" s="33" t="s">
        <v>1225</v>
      </c>
      <c r="AW51" s="33" t="s">
        <v>1298</v>
      </c>
      <c r="AX51" s="33">
        <v>2021</v>
      </c>
      <c r="AY51" s="33">
        <v>7</v>
      </c>
      <c r="AZ51" s="33">
        <v>3</v>
      </c>
      <c r="BA51" s="33" t="s">
        <v>1225</v>
      </c>
      <c r="BB51" s="33" t="s">
        <v>1225</v>
      </c>
      <c r="BC51" s="33" t="s">
        <v>1225</v>
      </c>
      <c r="BD51" s="33" t="s">
        <v>1225</v>
      </c>
      <c r="BE51" s="33">
        <v>1112</v>
      </c>
      <c r="BF51" s="33">
        <v>1122</v>
      </c>
      <c r="BG51" s="33" t="s">
        <v>1225</v>
      </c>
      <c r="BH51" s="33" t="s">
        <v>1519</v>
      </c>
      <c r="BI51" s="33" t="str">
        <f>HYPERLINK("http://dx.doi.org/10.1109/TTE.2020.3033995","http://dx.doi.org/10.1109/TTE.2020.3033995")</f>
        <v>http://dx.doi.org/10.1109/TTE.2020.3033995</v>
      </c>
      <c r="BJ51" s="33" t="s">
        <v>1225</v>
      </c>
      <c r="BK51" s="33" t="s">
        <v>1225</v>
      </c>
      <c r="BL51" s="33" t="s">
        <v>1225</v>
      </c>
      <c r="BM51" s="33" t="s">
        <v>1225</v>
      </c>
      <c r="BN51" s="33" t="s">
        <v>1225</v>
      </c>
      <c r="BO51" s="33" t="s">
        <v>1225</v>
      </c>
      <c r="BP51" s="33" t="s">
        <v>1225</v>
      </c>
      <c r="BQ51" s="33" t="s">
        <v>1225</v>
      </c>
      <c r="BR51" s="33" t="s">
        <v>1225</v>
      </c>
      <c r="BS51" s="33" t="s">
        <v>1225</v>
      </c>
      <c r="BT51" s="33" t="s">
        <v>1225</v>
      </c>
      <c r="BU51" s="33" t="s">
        <v>1225</v>
      </c>
      <c r="BV51" s="33" t="s">
        <v>1225</v>
      </c>
      <c r="BW51" s="33" t="str">
        <f t="shared" si="0"/>
        <v>View Full Record in Web of Science</v>
      </c>
      <c r="BX51" s="33"/>
      <c r="BY51" s="41" t="str">
        <f>IF(Deletion!J51=TRUE,"Yes","No")</f>
        <v>Yes</v>
      </c>
    </row>
    <row r="52" spans="1:77" x14ac:dyDescent="0.15">
      <c r="A52" s="34">
        <f t="shared" si="1"/>
        <v>51</v>
      </c>
      <c r="B52" s="37" t="s">
        <v>1520</v>
      </c>
      <c r="C52" s="37" t="s">
        <v>1232</v>
      </c>
      <c r="D52" s="34" t="s">
        <v>1223</v>
      </c>
      <c r="E52" s="34" t="s">
        <v>1513</v>
      </c>
      <c r="F52" s="34" t="s">
        <v>1225</v>
      </c>
      <c r="G52" s="34" t="s">
        <v>1225</v>
      </c>
      <c r="H52" s="34" t="s">
        <v>1225</v>
      </c>
      <c r="I52" s="34" t="s">
        <v>396</v>
      </c>
      <c r="J52" s="34" t="s">
        <v>1225</v>
      </c>
      <c r="K52" s="34" t="s">
        <v>1225</v>
      </c>
      <c r="L52" s="34" t="s">
        <v>1521</v>
      </c>
      <c r="M52" s="34" t="s">
        <v>68</v>
      </c>
      <c r="N52" s="34" t="s">
        <v>1225</v>
      </c>
      <c r="O52" s="34" t="s">
        <v>1225</v>
      </c>
      <c r="P52" s="34" t="s">
        <v>1225</v>
      </c>
      <c r="Q52" s="34" t="s">
        <v>1227</v>
      </c>
      <c r="R52" s="34" t="s">
        <v>1225</v>
      </c>
      <c r="S52" s="34" t="s">
        <v>1225</v>
      </c>
      <c r="T52" s="34" t="s">
        <v>1225</v>
      </c>
      <c r="U52" s="34" t="s">
        <v>1225</v>
      </c>
      <c r="V52" s="34" t="s">
        <v>1225</v>
      </c>
      <c r="W52" s="34" t="s">
        <v>1522</v>
      </c>
      <c r="X52" s="34" t="s">
        <v>1523</v>
      </c>
      <c r="Y52" s="34" t="s">
        <v>1524</v>
      </c>
      <c r="Z52" s="34" t="s">
        <v>1225</v>
      </c>
      <c r="AA52" s="34" t="s">
        <v>1225</v>
      </c>
      <c r="AB52" s="34" t="s">
        <v>1225</v>
      </c>
      <c r="AC52" s="34" t="s">
        <v>1225</v>
      </c>
      <c r="AD52" s="34" t="s">
        <v>1225</v>
      </c>
      <c r="AE52" s="34" t="s">
        <v>1225</v>
      </c>
      <c r="AF52" s="34" t="s">
        <v>1225</v>
      </c>
      <c r="AG52" s="34" t="s">
        <v>1225</v>
      </c>
      <c r="AH52" s="34" t="s">
        <v>1225</v>
      </c>
      <c r="AI52" s="34" t="s">
        <v>1225</v>
      </c>
      <c r="AJ52" s="34" t="s">
        <v>1225</v>
      </c>
      <c r="AK52" s="34" t="s">
        <v>1225</v>
      </c>
      <c r="AL52" s="34" t="s">
        <v>1225</v>
      </c>
      <c r="AM52" s="34" t="s">
        <v>1225</v>
      </c>
      <c r="AN52" s="34" t="s">
        <v>1225</v>
      </c>
      <c r="AO52" s="34" t="s">
        <v>1225</v>
      </c>
      <c r="AP52" s="34" t="s">
        <v>1225</v>
      </c>
      <c r="AQ52" s="34" t="s">
        <v>1225</v>
      </c>
      <c r="AR52" s="34" t="s">
        <v>1225</v>
      </c>
      <c r="AS52" s="34" t="s">
        <v>1225</v>
      </c>
      <c r="AT52" s="34" t="s">
        <v>1225</v>
      </c>
      <c r="AU52" s="34" t="s">
        <v>1225</v>
      </c>
      <c r="AV52" s="34" t="s">
        <v>1225</v>
      </c>
      <c r="AW52" s="34" t="s">
        <v>1225</v>
      </c>
      <c r="AX52" s="34">
        <v>2021</v>
      </c>
      <c r="AY52" s="34">
        <v>9</v>
      </c>
      <c r="AZ52" s="34" t="s">
        <v>1225</v>
      </c>
      <c r="BA52" s="34" t="s">
        <v>1225</v>
      </c>
      <c r="BB52" s="34" t="s">
        <v>1225</v>
      </c>
      <c r="BC52" s="34" t="s">
        <v>1225</v>
      </c>
      <c r="BD52" s="34" t="s">
        <v>1225</v>
      </c>
      <c r="BE52" s="34">
        <v>58740</v>
      </c>
      <c r="BF52" s="34">
        <v>58754</v>
      </c>
      <c r="BG52" s="34" t="s">
        <v>1225</v>
      </c>
      <c r="BH52" s="34" t="s">
        <v>1525</v>
      </c>
      <c r="BI52" s="34" t="str">
        <f>HYPERLINK("http://dx.doi.org/10.1109/ACCESS.2021.3070485","http://dx.doi.org/10.1109/ACCESS.2021.3070485")</f>
        <v>http://dx.doi.org/10.1109/ACCESS.2021.3070485</v>
      </c>
      <c r="BJ52" s="34" t="s">
        <v>1225</v>
      </c>
      <c r="BK52" s="34" t="s">
        <v>1225</v>
      </c>
      <c r="BL52" s="34" t="s">
        <v>1225</v>
      </c>
      <c r="BM52" s="34" t="s">
        <v>1225</v>
      </c>
      <c r="BN52" s="34" t="s">
        <v>1225</v>
      </c>
      <c r="BO52" s="34" t="s">
        <v>1225</v>
      </c>
      <c r="BP52" s="34" t="s">
        <v>1225</v>
      </c>
      <c r="BQ52" s="34" t="s">
        <v>1225</v>
      </c>
      <c r="BR52" s="34" t="s">
        <v>1225</v>
      </c>
      <c r="BS52" s="34" t="s">
        <v>1225</v>
      </c>
      <c r="BT52" s="34" t="s">
        <v>1225</v>
      </c>
      <c r="BU52" s="34" t="s">
        <v>1225</v>
      </c>
      <c r="BV52" s="34" t="s">
        <v>1225</v>
      </c>
      <c r="BW52" s="34" t="str">
        <f t="shared" si="0"/>
        <v>View Full Record in Web of Science</v>
      </c>
      <c r="BX52" s="34"/>
      <c r="BY52" s="41" t="str">
        <f>IF(Deletion!J52=TRUE,"Yes","No")</f>
        <v>Yes</v>
      </c>
    </row>
    <row r="53" spans="1:77" x14ac:dyDescent="0.15">
      <c r="A53" s="34">
        <f t="shared" si="1"/>
        <v>52</v>
      </c>
      <c r="B53" s="34" t="s">
        <v>1526</v>
      </c>
      <c r="C53" s="34" t="s">
        <v>1232</v>
      </c>
      <c r="D53" s="34" t="s">
        <v>1223</v>
      </c>
      <c r="E53" s="34" t="s">
        <v>1527</v>
      </c>
      <c r="F53" s="34" t="s">
        <v>1225</v>
      </c>
      <c r="G53" s="34" t="s">
        <v>1225</v>
      </c>
      <c r="H53" s="34" t="s">
        <v>1225</v>
      </c>
      <c r="I53" s="34" t="s">
        <v>1528</v>
      </c>
      <c r="J53" s="34" t="s">
        <v>1225</v>
      </c>
      <c r="K53" s="34" t="s">
        <v>1225</v>
      </c>
      <c r="L53" s="34" t="s">
        <v>1529</v>
      </c>
      <c r="M53" s="34" t="s">
        <v>1530</v>
      </c>
      <c r="N53" s="34" t="s">
        <v>1225</v>
      </c>
      <c r="O53" s="34" t="s">
        <v>1225</v>
      </c>
      <c r="P53" s="34" t="s">
        <v>1225</v>
      </c>
      <c r="Q53" s="34" t="s">
        <v>1227</v>
      </c>
      <c r="R53" s="34" t="s">
        <v>1225</v>
      </c>
      <c r="S53" s="34" t="s">
        <v>1225</v>
      </c>
      <c r="T53" s="34" t="s">
        <v>1225</v>
      </c>
      <c r="U53" s="34" t="s">
        <v>1225</v>
      </c>
      <c r="V53" s="34" t="s">
        <v>1225</v>
      </c>
      <c r="W53" s="34" t="s">
        <v>1531</v>
      </c>
      <c r="X53" s="34" t="s">
        <v>1532</v>
      </c>
      <c r="Y53" s="34" t="s">
        <v>1533</v>
      </c>
      <c r="Z53" s="34" t="s">
        <v>1225</v>
      </c>
      <c r="AA53" s="34" t="s">
        <v>1225</v>
      </c>
      <c r="AB53" s="34" t="s">
        <v>1225</v>
      </c>
      <c r="AC53" s="34" t="s">
        <v>1225</v>
      </c>
      <c r="AD53" s="34" t="s">
        <v>1225</v>
      </c>
      <c r="AE53" s="34" t="s">
        <v>1225</v>
      </c>
      <c r="AF53" s="34" t="s">
        <v>1225</v>
      </c>
      <c r="AG53" s="34" t="s">
        <v>1225</v>
      </c>
      <c r="AH53" s="34" t="s">
        <v>1225</v>
      </c>
      <c r="AI53" s="34" t="s">
        <v>1225</v>
      </c>
      <c r="AJ53" s="34" t="s">
        <v>1225</v>
      </c>
      <c r="AK53" s="34" t="s">
        <v>1225</v>
      </c>
      <c r="AL53" s="34" t="s">
        <v>1225</v>
      </c>
      <c r="AM53" s="34" t="s">
        <v>1225</v>
      </c>
      <c r="AN53" s="34" t="s">
        <v>1225</v>
      </c>
      <c r="AO53" s="34" t="s">
        <v>1225</v>
      </c>
      <c r="AP53" s="34" t="s">
        <v>1225</v>
      </c>
      <c r="AQ53" s="34" t="s">
        <v>1225</v>
      </c>
      <c r="AR53" s="34" t="s">
        <v>1225</v>
      </c>
      <c r="AS53" s="34" t="s">
        <v>1225</v>
      </c>
      <c r="AT53" s="34" t="s">
        <v>1225</v>
      </c>
      <c r="AU53" s="34" t="s">
        <v>1225</v>
      </c>
      <c r="AV53" s="34" t="s">
        <v>1225</v>
      </c>
      <c r="AW53" s="34" t="s">
        <v>1276</v>
      </c>
      <c r="AX53" s="34">
        <v>2021</v>
      </c>
      <c r="AY53" s="34">
        <v>19</v>
      </c>
      <c r="AZ53" s="34">
        <v>10</v>
      </c>
      <c r="BA53" s="34" t="s">
        <v>1225</v>
      </c>
      <c r="BB53" s="34" t="s">
        <v>1225</v>
      </c>
      <c r="BC53" s="34" t="s">
        <v>1225</v>
      </c>
      <c r="BD53" s="34" t="s">
        <v>1225</v>
      </c>
      <c r="BE53" s="34">
        <v>1624</v>
      </c>
      <c r="BF53" s="34">
        <v>1631</v>
      </c>
      <c r="BG53" s="34" t="s">
        <v>1225</v>
      </c>
      <c r="BH53" s="34" t="s">
        <v>1225</v>
      </c>
      <c r="BI53" s="34" t="s">
        <v>1225</v>
      </c>
      <c r="BJ53" s="34" t="s">
        <v>1225</v>
      </c>
      <c r="BK53" s="34" t="s">
        <v>1225</v>
      </c>
      <c r="BL53" s="34" t="s">
        <v>1225</v>
      </c>
      <c r="BM53" s="34" t="s">
        <v>1225</v>
      </c>
      <c r="BN53" s="34" t="s">
        <v>1225</v>
      </c>
      <c r="BO53" s="34" t="s">
        <v>1225</v>
      </c>
      <c r="BP53" s="34" t="s">
        <v>1225</v>
      </c>
      <c r="BQ53" s="34" t="s">
        <v>1225</v>
      </c>
      <c r="BR53" s="34" t="s">
        <v>1225</v>
      </c>
      <c r="BS53" s="34" t="s">
        <v>1225</v>
      </c>
      <c r="BT53" s="34" t="s">
        <v>1225</v>
      </c>
      <c r="BU53" s="34" t="s">
        <v>1225</v>
      </c>
      <c r="BV53" s="34" t="s">
        <v>1225</v>
      </c>
      <c r="BW53" s="34" t="str">
        <f t="shared" si="0"/>
        <v>View Full Record in Web of Science</v>
      </c>
      <c r="BX53" s="34"/>
      <c r="BY53" s="41" t="str">
        <f>IF(Deletion!J53=TRUE,"Yes","No")</f>
        <v>Yes</v>
      </c>
    </row>
    <row r="54" spans="1:77" x14ac:dyDescent="0.15">
      <c r="A54" s="33">
        <f t="shared" si="1"/>
        <v>53</v>
      </c>
      <c r="B54" s="33" t="s">
        <v>1222</v>
      </c>
      <c r="C54" s="33" t="s">
        <v>1222</v>
      </c>
      <c r="D54" s="33" t="s">
        <v>1223</v>
      </c>
      <c r="E54" s="33" t="s">
        <v>1534</v>
      </c>
      <c r="F54" s="33" t="s">
        <v>1225</v>
      </c>
      <c r="G54" s="33" t="s">
        <v>1225</v>
      </c>
      <c r="H54" s="33" t="s">
        <v>1225</v>
      </c>
      <c r="I54" s="33" t="s">
        <v>421</v>
      </c>
      <c r="J54" s="33" t="s">
        <v>1225</v>
      </c>
      <c r="K54" s="33" t="s">
        <v>1225</v>
      </c>
      <c r="L54" s="33" t="s">
        <v>420</v>
      </c>
      <c r="M54" s="33" t="s">
        <v>422</v>
      </c>
      <c r="N54" s="33" t="s">
        <v>1225</v>
      </c>
      <c r="O54" s="33" t="s">
        <v>1225</v>
      </c>
      <c r="P54" s="33" t="s">
        <v>1225</v>
      </c>
      <c r="Q54" s="33" t="s">
        <v>1227</v>
      </c>
      <c r="R54" s="33" t="s">
        <v>1225</v>
      </c>
      <c r="S54" s="33" t="s">
        <v>1225</v>
      </c>
      <c r="T54" s="33" t="s">
        <v>1225</v>
      </c>
      <c r="U54" s="33" t="s">
        <v>1225</v>
      </c>
      <c r="V54" s="33" t="s">
        <v>1225</v>
      </c>
      <c r="W54" s="33" t="s">
        <v>423</v>
      </c>
      <c r="X54" s="33" t="s">
        <v>1535</v>
      </c>
      <c r="Y54" s="33" t="s">
        <v>424</v>
      </c>
      <c r="Z54" s="33" t="s">
        <v>1225</v>
      </c>
      <c r="AA54" s="33" t="s">
        <v>1225</v>
      </c>
      <c r="AB54" s="33" t="s">
        <v>1225</v>
      </c>
      <c r="AC54" s="33" t="s">
        <v>1225</v>
      </c>
      <c r="AD54" s="33" t="s">
        <v>1225</v>
      </c>
      <c r="AE54" s="33" t="s">
        <v>1225</v>
      </c>
      <c r="AF54" s="33" t="s">
        <v>1225</v>
      </c>
      <c r="AG54" s="33" t="s">
        <v>1225</v>
      </c>
      <c r="AH54" s="33" t="s">
        <v>1225</v>
      </c>
      <c r="AI54" s="33" t="s">
        <v>1225</v>
      </c>
      <c r="AJ54" s="33" t="s">
        <v>1225</v>
      </c>
      <c r="AK54" s="33" t="s">
        <v>1225</v>
      </c>
      <c r="AL54" s="33" t="s">
        <v>1225</v>
      </c>
      <c r="AM54" s="33" t="s">
        <v>1225</v>
      </c>
      <c r="AN54" s="33" t="s">
        <v>1225</v>
      </c>
      <c r="AO54" s="33" t="s">
        <v>1225</v>
      </c>
      <c r="AP54" s="33" t="s">
        <v>1225</v>
      </c>
      <c r="AQ54" s="33" t="s">
        <v>1225</v>
      </c>
      <c r="AR54" s="33" t="s">
        <v>1225</v>
      </c>
      <c r="AS54" s="33" t="s">
        <v>1225</v>
      </c>
      <c r="AT54" s="33" t="s">
        <v>1225</v>
      </c>
      <c r="AU54" s="33" t="s">
        <v>1225</v>
      </c>
      <c r="AV54" s="33" t="s">
        <v>1225</v>
      </c>
      <c r="AW54" s="33" t="s">
        <v>1239</v>
      </c>
      <c r="AX54" s="33">
        <v>2017</v>
      </c>
      <c r="AY54" s="33">
        <v>10</v>
      </c>
      <c r="AZ54" s="33">
        <v>7</v>
      </c>
      <c r="BA54" s="33" t="s">
        <v>1225</v>
      </c>
      <c r="BB54" s="33" t="s">
        <v>1225</v>
      </c>
      <c r="BC54" s="33" t="s">
        <v>1225</v>
      </c>
      <c r="BD54" s="33" t="s">
        <v>1225</v>
      </c>
      <c r="BE54" s="33" t="s">
        <v>1225</v>
      </c>
      <c r="BF54" s="33" t="s">
        <v>1225</v>
      </c>
      <c r="BG54" s="33">
        <v>933</v>
      </c>
      <c r="BH54" s="33" t="s">
        <v>1536</v>
      </c>
      <c r="BI54" s="33" t="str">
        <f>HYPERLINK("http://dx.doi.org/10.3390/en10070933","http://dx.doi.org/10.3390/en10070933")</f>
        <v>http://dx.doi.org/10.3390/en10070933</v>
      </c>
      <c r="BJ54" s="33" t="s">
        <v>1225</v>
      </c>
      <c r="BK54" s="33" t="s">
        <v>1225</v>
      </c>
      <c r="BL54" s="33" t="s">
        <v>1225</v>
      </c>
      <c r="BM54" s="33" t="s">
        <v>1225</v>
      </c>
      <c r="BN54" s="33" t="s">
        <v>1225</v>
      </c>
      <c r="BO54" s="33" t="s">
        <v>1225</v>
      </c>
      <c r="BP54" s="33" t="s">
        <v>1225</v>
      </c>
      <c r="BQ54" s="33" t="s">
        <v>1225</v>
      </c>
      <c r="BR54" s="33" t="s">
        <v>1225</v>
      </c>
      <c r="BS54" s="33" t="s">
        <v>1225</v>
      </c>
      <c r="BT54" s="33" t="s">
        <v>1225</v>
      </c>
      <c r="BU54" s="33" t="s">
        <v>1225</v>
      </c>
      <c r="BV54" s="33" t="s">
        <v>1225</v>
      </c>
      <c r="BW54" s="33" t="str">
        <f t="shared" si="0"/>
        <v>View Full Record in Web of Science</v>
      </c>
      <c r="BX54" s="33"/>
      <c r="BY54" s="41" t="str">
        <f>IF(Deletion!J54=TRUE,"Yes","No")</f>
        <v>Yes</v>
      </c>
    </row>
    <row r="55" spans="1:77" x14ac:dyDescent="0.15">
      <c r="A55" s="34">
        <f t="shared" si="1"/>
        <v>54</v>
      </c>
      <c r="B55" s="34" t="s">
        <v>1537</v>
      </c>
      <c r="C55" s="34" t="s">
        <v>1232</v>
      </c>
      <c r="D55" s="34" t="s">
        <v>1223</v>
      </c>
      <c r="E55" s="34" t="s">
        <v>1538</v>
      </c>
      <c r="F55" s="34" t="s">
        <v>1225</v>
      </c>
      <c r="G55" s="34" t="s">
        <v>1225</v>
      </c>
      <c r="H55" s="34" t="s">
        <v>1225</v>
      </c>
      <c r="I55" s="34" t="s">
        <v>1539</v>
      </c>
      <c r="J55" s="34" t="s">
        <v>1225</v>
      </c>
      <c r="K55" s="34" t="s">
        <v>1225</v>
      </c>
      <c r="L55" s="34" t="s">
        <v>1540</v>
      </c>
      <c r="M55" s="34" t="s">
        <v>114</v>
      </c>
      <c r="N55" s="34" t="s">
        <v>1225</v>
      </c>
      <c r="O55" s="34" t="s">
        <v>1225</v>
      </c>
      <c r="P55" s="34" t="s">
        <v>1225</v>
      </c>
      <c r="Q55" s="34" t="s">
        <v>1227</v>
      </c>
      <c r="R55" s="34" t="s">
        <v>1225</v>
      </c>
      <c r="S55" s="34" t="s">
        <v>1225</v>
      </c>
      <c r="T55" s="34" t="s">
        <v>1225</v>
      </c>
      <c r="U55" s="34" t="s">
        <v>1225</v>
      </c>
      <c r="V55" s="34" t="s">
        <v>1225</v>
      </c>
      <c r="W55" s="34" t="s">
        <v>1541</v>
      </c>
      <c r="X55" s="34" t="s">
        <v>1542</v>
      </c>
      <c r="Y55" s="34" t="s">
        <v>1543</v>
      </c>
      <c r="Z55" s="34" t="s">
        <v>1225</v>
      </c>
      <c r="AA55" s="34" t="s">
        <v>1225</v>
      </c>
      <c r="AB55" s="34" t="s">
        <v>1225</v>
      </c>
      <c r="AC55" s="34" t="s">
        <v>1225</v>
      </c>
      <c r="AD55" s="34" t="s">
        <v>1225</v>
      </c>
      <c r="AE55" s="34" t="s">
        <v>1225</v>
      </c>
      <c r="AF55" s="34" t="s">
        <v>1225</v>
      </c>
      <c r="AG55" s="34" t="s">
        <v>1225</v>
      </c>
      <c r="AH55" s="34" t="s">
        <v>1225</v>
      </c>
      <c r="AI55" s="34" t="s">
        <v>1225</v>
      </c>
      <c r="AJ55" s="34" t="s">
        <v>1225</v>
      </c>
      <c r="AK55" s="34" t="s">
        <v>1225</v>
      </c>
      <c r="AL55" s="34" t="s">
        <v>1225</v>
      </c>
      <c r="AM55" s="34" t="s">
        <v>1225</v>
      </c>
      <c r="AN55" s="34" t="s">
        <v>1225</v>
      </c>
      <c r="AO55" s="34" t="s">
        <v>1225</v>
      </c>
      <c r="AP55" s="34" t="s">
        <v>1225</v>
      </c>
      <c r="AQ55" s="34" t="s">
        <v>1225</v>
      </c>
      <c r="AR55" s="34" t="s">
        <v>1225</v>
      </c>
      <c r="AS55" s="34" t="s">
        <v>1225</v>
      </c>
      <c r="AT55" s="34" t="s">
        <v>1225</v>
      </c>
      <c r="AU55" s="34" t="s">
        <v>1225</v>
      </c>
      <c r="AV55" s="34" t="s">
        <v>1225</v>
      </c>
      <c r="AW55" s="34" t="s">
        <v>1317</v>
      </c>
      <c r="AX55" s="34">
        <v>2021</v>
      </c>
      <c r="AY55" s="34">
        <v>22</v>
      </c>
      <c r="AZ55" s="34">
        <v>1</v>
      </c>
      <c r="BA55" s="34" t="s">
        <v>1225</v>
      </c>
      <c r="BB55" s="34" t="s">
        <v>1225</v>
      </c>
      <c r="BC55" s="34" t="s">
        <v>1225</v>
      </c>
      <c r="BD55" s="34" t="s">
        <v>1225</v>
      </c>
      <c r="BE55" s="34">
        <v>542</v>
      </c>
      <c r="BF55" s="34">
        <v>554</v>
      </c>
      <c r="BG55" s="34" t="s">
        <v>1225</v>
      </c>
      <c r="BH55" s="34" t="s">
        <v>1544</v>
      </c>
      <c r="BI55" s="34" t="str">
        <f>HYPERLINK("http://dx.doi.org/10.1109/TITS.2020.3002271","http://dx.doi.org/10.1109/TITS.2020.3002271")</f>
        <v>http://dx.doi.org/10.1109/TITS.2020.3002271</v>
      </c>
      <c r="BJ55" s="34" t="s">
        <v>1225</v>
      </c>
      <c r="BK55" s="34" t="s">
        <v>1225</v>
      </c>
      <c r="BL55" s="34" t="s">
        <v>1225</v>
      </c>
      <c r="BM55" s="34" t="s">
        <v>1225</v>
      </c>
      <c r="BN55" s="34" t="s">
        <v>1225</v>
      </c>
      <c r="BO55" s="34" t="s">
        <v>1225</v>
      </c>
      <c r="BP55" s="34" t="s">
        <v>1225</v>
      </c>
      <c r="BQ55" s="34" t="s">
        <v>1225</v>
      </c>
      <c r="BR55" s="34" t="s">
        <v>1225</v>
      </c>
      <c r="BS55" s="34" t="s">
        <v>1225</v>
      </c>
      <c r="BT55" s="34" t="s">
        <v>1225</v>
      </c>
      <c r="BU55" s="34" t="s">
        <v>1225</v>
      </c>
      <c r="BV55" s="34" t="s">
        <v>1225</v>
      </c>
      <c r="BW55" s="34" t="str">
        <f t="shared" si="0"/>
        <v>View Full Record in Web of Science</v>
      </c>
      <c r="BX55" s="34"/>
      <c r="BY55" s="41" t="str">
        <f>IF(Deletion!J55=TRUE,"Yes","No")</f>
        <v>Yes</v>
      </c>
    </row>
    <row r="56" spans="1:77" x14ac:dyDescent="0.15">
      <c r="A56" s="34">
        <f t="shared" si="1"/>
        <v>55</v>
      </c>
      <c r="B56" s="35" t="s">
        <v>1545</v>
      </c>
      <c r="C56" s="35" t="s">
        <v>1232</v>
      </c>
      <c r="D56" s="34" t="s">
        <v>1223</v>
      </c>
      <c r="E56" s="34" t="s">
        <v>1546</v>
      </c>
      <c r="F56" s="34" t="s">
        <v>1225</v>
      </c>
      <c r="G56" s="34" t="s">
        <v>1225</v>
      </c>
      <c r="H56" s="34" t="s">
        <v>1225</v>
      </c>
      <c r="I56" s="34" t="s">
        <v>1547</v>
      </c>
      <c r="J56" s="34" t="s">
        <v>1225</v>
      </c>
      <c r="K56" s="34" t="s">
        <v>1225</v>
      </c>
      <c r="L56" s="34" t="s">
        <v>1548</v>
      </c>
      <c r="M56" s="34" t="s">
        <v>1549</v>
      </c>
      <c r="N56" s="34" t="s">
        <v>1225</v>
      </c>
      <c r="O56" s="34" t="s">
        <v>1225</v>
      </c>
      <c r="P56" s="34" t="s">
        <v>1225</v>
      </c>
      <c r="Q56" s="34" t="s">
        <v>1227</v>
      </c>
      <c r="R56" s="34" t="s">
        <v>1225</v>
      </c>
      <c r="S56" s="34" t="s">
        <v>1225</v>
      </c>
      <c r="T56" s="34" t="s">
        <v>1225</v>
      </c>
      <c r="U56" s="34" t="s">
        <v>1225</v>
      </c>
      <c r="V56" s="34" t="s">
        <v>1225</v>
      </c>
      <c r="W56" s="34" t="s">
        <v>1550</v>
      </c>
      <c r="X56" s="34" t="s">
        <v>1225</v>
      </c>
      <c r="Y56" s="34" t="s">
        <v>1551</v>
      </c>
      <c r="Z56" s="34" t="s">
        <v>1225</v>
      </c>
      <c r="AA56" s="34" t="s">
        <v>1225</v>
      </c>
      <c r="AB56" s="34" t="s">
        <v>1225</v>
      </c>
      <c r="AC56" s="34" t="s">
        <v>1225</v>
      </c>
      <c r="AD56" s="34" t="s">
        <v>1225</v>
      </c>
      <c r="AE56" s="34" t="s">
        <v>1225</v>
      </c>
      <c r="AF56" s="34" t="s">
        <v>1225</v>
      </c>
      <c r="AG56" s="34" t="s">
        <v>1225</v>
      </c>
      <c r="AH56" s="34" t="s">
        <v>1225</v>
      </c>
      <c r="AI56" s="34" t="s">
        <v>1225</v>
      </c>
      <c r="AJ56" s="34" t="s">
        <v>1225</v>
      </c>
      <c r="AK56" s="34" t="s">
        <v>1225</v>
      </c>
      <c r="AL56" s="34" t="s">
        <v>1225</v>
      </c>
      <c r="AM56" s="34" t="s">
        <v>1225</v>
      </c>
      <c r="AN56" s="34" t="s">
        <v>1225</v>
      </c>
      <c r="AO56" s="34" t="s">
        <v>1225</v>
      </c>
      <c r="AP56" s="34" t="s">
        <v>1225</v>
      </c>
      <c r="AQ56" s="34" t="s">
        <v>1225</v>
      </c>
      <c r="AR56" s="34" t="s">
        <v>1225</v>
      </c>
      <c r="AS56" s="34" t="s">
        <v>1225</v>
      </c>
      <c r="AT56" s="34" t="s">
        <v>1225</v>
      </c>
      <c r="AU56" s="34" t="s">
        <v>1225</v>
      </c>
      <c r="AV56" s="34" t="s">
        <v>1225</v>
      </c>
      <c r="AW56" s="34" t="s">
        <v>1276</v>
      </c>
      <c r="AX56" s="34">
        <v>2021</v>
      </c>
      <c r="AY56" s="34">
        <v>36</v>
      </c>
      <c r="AZ56" s="34">
        <v>10</v>
      </c>
      <c r="BA56" s="34" t="s">
        <v>1225</v>
      </c>
      <c r="BB56" s="34" t="s">
        <v>1225</v>
      </c>
      <c r="BC56" s="34" t="s">
        <v>1225</v>
      </c>
      <c r="BD56" s="34" t="s">
        <v>1225</v>
      </c>
      <c r="BE56" s="34">
        <v>5816</v>
      </c>
      <c r="BF56" s="34">
        <v>5844</v>
      </c>
      <c r="BG56" s="34" t="s">
        <v>1225</v>
      </c>
      <c r="BH56" s="34" t="s">
        <v>1552</v>
      </c>
      <c r="BI56" s="34" t="str">
        <f>HYPERLINK("http://dx.doi.org/10.1002/int.22531","http://dx.doi.org/10.1002/int.22531")</f>
        <v>http://dx.doi.org/10.1002/int.22531</v>
      </c>
      <c r="BJ56" s="34" t="s">
        <v>1225</v>
      </c>
      <c r="BK56" s="34" t="s">
        <v>1553</v>
      </c>
      <c r="BL56" s="34" t="s">
        <v>1225</v>
      </c>
      <c r="BM56" s="34" t="s">
        <v>1225</v>
      </c>
      <c r="BN56" s="34" t="s">
        <v>1225</v>
      </c>
      <c r="BO56" s="34" t="s">
        <v>1225</v>
      </c>
      <c r="BP56" s="34" t="s">
        <v>1225</v>
      </c>
      <c r="BQ56" s="34" t="s">
        <v>1225</v>
      </c>
      <c r="BR56" s="34" t="s">
        <v>1225</v>
      </c>
      <c r="BS56" s="34" t="s">
        <v>1225</v>
      </c>
      <c r="BT56" s="34" t="s">
        <v>1225</v>
      </c>
      <c r="BU56" s="34" t="s">
        <v>1225</v>
      </c>
      <c r="BV56" s="34" t="s">
        <v>1225</v>
      </c>
      <c r="BW56" s="34" t="str">
        <f t="shared" si="0"/>
        <v>View Full Record in Web of Science</v>
      </c>
      <c r="BX56" s="34"/>
      <c r="BY56" s="41" t="str">
        <f>IF(Deletion!J56=TRUE,"Yes","No")</f>
        <v>No</v>
      </c>
    </row>
    <row r="57" spans="1:77" x14ac:dyDescent="0.15">
      <c r="A57" s="40">
        <f t="shared" si="1"/>
        <v>56</v>
      </c>
      <c r="B57" s="40" t="s">
        <v>1554</v>
      </c>
      <c r="C57" s="40" t="s">
        <v>1241</v>
      </c>
      <c r="D57" s="40" t="s">
        <v>1223</v>
      </c>
      <c r="E57" s="40" t="s">
        <v>1555</v>
      </c>
      <c r="F57" s="40" t="s">
        <v>1225</v>
      </c>
      <c r="G57" s="40" t="s">
        <v>1225</v>
      </c>
      <c r="H57" s="40" t="s">
        <v>1225</v>
      </c>
      <c r="I57" s="40" t="s">
        <v>446</v>
      </c>
      <c r="J57" s="40" t="s">
        <v>1225</v>
      </c>
      <c r="K57" s="40" t="s">
        <v>1225</v>
      </c>
      <c r="L57" s="40" t="s">
        <v>444</v>
      </c>
      <c r="M57" s="40" t="s">
        <v>68</v>
      </c>
      <c r="N57" s="40" t="s">
        <v>1225</v>
      </c>
      <c r="O57" s="40" t="s">
        <v>1225</v>
      </c>
      <c r="P57" s="40" t="s">
        <v>1225</v>
      </c>
      <c r="Q57" s="40" t="s">
        <v>1227</v>
      </c>
      <c r="R57" s="40" t="s">
        <v>1225</v>
      </c>
      <c r="S57" s="40" t="s">
        <v>1225</v>
      </c>
      <c r="T57" s="40" t="s">
        <v>1225</v>
      </c>
      <c r="U57" s="40" t="s">
        <v>1225</v>
      </c>
      <c r="V57" s="40" t="s">
        <v>1225</v>
      </c>
      <c r="W57" s="40" t="s">
        <v>447</v>
      </c>
      <c r="X57" s="40" t="s">
        <v>1556</v>
      </c>
      <c r="Y57" s="40" t="s">
        <v>448</v>
      </c>
      <c r="Z57" s="40" t="s">
        <v>1225</v>
      </c>
      <c r="AA57" s="40" t="s">
        <v>1225</v>
      </c>
      <c r="AB57" s="40" t="s">
        <v>1225</v>
      </c>
      <c r="AC57" s="40" t="s">
        <v>1225</v>
      </c>
      <c r="AD57" s="40" t="s">
        <v>1225</v>
      </c>
      <c r="AE57" s="40" t="s">
        <v>1225</v>
      </c>
      <c r="AF57" s="40" t="s">
        <v>1225</v>
      </c>
      <c r="AG57" s="40" t="s">
        <v>1225</v>
      </c>
      <c r="AH57" s="40" t="s">
        <v>1225</v>
      </c>
      <c r="AI57" s="40" t="s">
        <v>1225</v>
      </c>
      <c r="AJ57" s="40" t="s">
        <v>1225</v>
      </c>
      <c r="AK57" s="40" t="s">
        <v>1225</v>
      </c>
      <c r="AL57" s="40" t="s">
        <v>1225</v>
      </c>
      <c r="AM57" s="40" t="s">
        <v>1225</v>
      </c>
      <c r="AN57" s="40" t="s">
        <v>1225</v>
      </c>
      <c r="AO57" s="40" t="s">
        <v>1225</v>
      </c>
      <c r="AP57" s="40" t="s">
        <v>1225</v>
      </c>
      <c r="AQ57" s="40" t="s">
        <v>1225</v>
      </c>
      <c r="AR57" s="40" t="s">
        <v>1225</v>
      </c>
      <c r="AS57" s="40" t="s">
        <v>1225</v>
      </c>
      <c r="AT57" s="40" t="s">
        <v>1225</v>
      </c>
      <c r="AU57" s="40" t="s">
        <v>1225</v>
      </c>
      <c r="AV57" s="40" t="s">
        <v>1225</v>
      </c>
      <c r="AW57" s="40" t="s">
        <v>1225</v>
      </c>
      <c r="AX57" s="40">
        <v>2022</v>
      </c>
      <c r="AY57" s="40">
        <v>10</v>
      </c>
      <c r="AZ57" s="40" t="s">
        <v>1225</v>
      </c>
      <c r="BA57" s="40" t="s">
        <v>1225</v>
      </c>
      <c r="BB57" s="40" t="s">
        <v>1225</v>
      </c>
      <c r="BC57" s="40" t="s">
        <v>1225</v>
      </c>
      <c r="BD57" s="40" t="s">
        <v>1225</v>
      </c>
      <c r="BE57" s="40">
        <v>44738</v>
      </c>
      <c r="BF57" s="40">
        <v>44755</v>
      </c>
      <c r="BG57" s="40" t="s">
        <v>1225</v>
      </c>
      <c r="BH57" s="40" t="s">
        <v>1557</v>
      </c>
      <c r="BI57" s="40" t="str">
        <f>HYPERLINK("http://dx.doi.org/10.1109/ACCESS.2022.3169342","http://dx.doi.org/10.1109/ACCESS.2022.3169342")</f>
        <v>http://dx.doi.org/10.1109/ACCESS.2022.3169342</v>
      </c>
      <c r="BJ57" s="40" t="s">
        <v>1225</v>
      </c>
      <c r="BK57" s="40" t="s">
        <v>1225</v>
      </c>
      <c r="BL57" s="40" t="s">
        <v>1225</v>
      </c>
      <c r="BM57" s="40" t="s">
        <v>1225</v>
      </c>
      <c r="BN57" s="40" t="s">
        <v>1225</v>
      </c>
      <c r="BO57" s="40" t="s">
        <v>1225</v>
      </c>
      <c r="BP57" s="40" t="s">
        <v>1225</v>
      </c>
      <c r="BQ57" s="40" t="s">
        <v>1225</v>
      </c>
      <c r="BR57" s="40" t="s">
        <v>1225</v>
      </c>
      <c r="BS57" s="40" t="s">
        <v>1225</v>
      </c>
      <c r="BT57" s="40" t="s">
        <v>1225</v>
      </c>
      <c r="BU57" s="40" t="s">
        <v>1225</v>
      </c>
      <c r="BV57" s="40" t="s">
        <v>1225</v>
      </c>
      <c r="BW57" s="40" t="str">
        <f t="shared" si="0"/>
        <v>View Full Record in Web of Science</v>
      </c>
      <c r="BX57" s="40"/>
      <c r="BY57" s="41" t="str">
        <f>IF(Deletion!J57=TRUE,"Yes","No")</f>
        <v>Yes</v>
      </c>
    </row>
    <row r="58" spans="1:77" x14ac:dyDescent="0.15">
      <c r="A58" s="34">
        <f t="shared" si="1"/>
        <v>57</v>
      </c>
      <c r="B58" s="34" t="s">
        <v>1558</v>
      </c>
      <c r="C58" s="34" t="s">
        <v>1232</v>
      </c>
      <c r="D58" s="34" t="s">
        <v>1223</v>
      </c>
      <c r="E58" s="34" t="s">
        <v>1559</v>
      </c>
      <c r="F58" s="34" t="s">
        <v>1225</v>
      </c>
      <c r="G58" s="34" t="s">
        <v>1225</v>
      </c>
      <c r="H58" s="34" t="s">
        <v>1225</v>
      </c>
      <c r="I58" s="34" t="s">
        <v>1560</v>
      </c>
      <c r="J58" s="34" t="s">
        <v>1225</v>
      </c>
      <c r="K58" s="34" t="s">
        <v>1225</v>
      </c>
      <c r="L58" s="34" t="s">
        <v>1561</v>
      </c>
      <c r="M58" s="34" t="s">
        <v>1562</v>
      </c>
      <c r="N58" s="34" t="s">
        <v>1225</v>
      </c>
      <c r="O58" s="34" t="s">
        <v>1225</v>
      </c>
      <c r="P58" s="34" t="s">
        <v>1225</v>
      </c>
      <c r="Q58" s="34" t="s">
        <v>1227</v>
      </c>
      <c r="R58" s="34" t="s">
        <v>1225</v>
      </c>
      <c r="S58" s="34" t="s">
        <v>1225</v>
      </c>
      <c r="T58" s="34" t="s">
        <v>1225</v>
      </c>
      <c r="U58" s="34" t="s">
        <v>1225</v>
      </c>
      <c r="V58" s="34" t="s">
        <v>1225</v>
      </c>
      <c r="W58" s="34" t="s">
        <v>1563</v>
      </c>
      <c r="X58" s="34" t="s">
        <v>1225</v>
      </c>
      <c r="Y58" s="34" t="s">
        <v>1564</v>
      </c>
      <c r="Z58" s="34" t="s">
        <v>1225</v>
      </c>
      <c r="AA58" s="34" t="s">
        <v>1225</v>
      </c>
      <c r="AB58" s="34" t="s">
        <v>1225</v>
      </c>
      <c r="AC58" s="34" t="s">
        <v>1225</v>
      </c>
      <c r="AD58" s="34" t="s">
        <v>1225</v>
      </c>
      <c r="AE58" s="34" t="s">
        <v>1225</v>
      </c>
      <c r="AF58" s="34" t="s">
        <v>1225</v>
      </c>
      <c r="AG58" s="34" t="s">
        <v>1225</v>
      </c>
      <c r="AH58" s="34" t="s">
        <v>1225</v>
      </c>
      <c r="AI58" s="34" t="s">
        <v>1225</v>
      </c>
      <c r="AJ58" s="34" t="s">
        <v>1225</v>
      </c>
      <c r="AK58" s="34" t="s">
        <v>1225</v>
      </c>
      <c r="AL58" s="34" t="s">
        <v>1225</v>
      </c>
      <c r="AM58" s="34" t="s">
        <v>1225</v>
      </c>
      <c r="AN58" s="34" t="s">
        <v>1225</v>
      </c>
      <c r="AO58" s="34" t="s">
        <v>1225</v>
      </c>
      <c r="AP58" s="34" t="s">
        <v>1225</v>
      </c>
      <c r="AQ58" s="34" t="s">
        <v>1225</v>
      </c>
      <c r="AR58" s="34" t="s">
        <v>1225</v>
      </c>
      <c r="AS58" s="34" t="s">
        <v>1225</v>
      </c>
      <c r="AT58" s="34" t="s">
        <v>1225</v>
      </c>
      <c r="AU58" s="34" t="s">
        <v>1225</v>
      </c>
      <c r="AV58" s="34" t="s">
        <v>1225</v>
      </c>
      <c r="AW58" s="34" t="s">
        <v>1565</v>
      </c>
      <c r="AX58" s="34">
        <v>2014</v>
      </c>
      <c r="AY58" s="34">
        <v>248</v>
      </c>
      <c r="AZ58" s="34" t="s">
        <v>1225</v>
      </c>
      <c r="BA58" s="34" t="s">
        <v>1225</v>
      </c>
      <c r="BB58" s="34" t="s">
        <v>1225</v>
      </c>
      <c r="BC58" s="34" t="s">
        <v>1225</v>
      </c>
      <c r="BD58" s="34" t="s">
        <v>1225</v>
      </c>
      <c r="BE58" s="34">
        <v>545</v>
      </c>
      <c r="BF58" s="34">
        <v>552</v>
      </c>
      <c r="BG58" s="34" t="s">
        <v>1225</v>
      </c>
      <c r="BH58" s="34" t="s">
        <v>1566</v>
      </c>
      <c r="BI58" s="34" t="str">
        <f>HYPERLINK("http://dx.doi.org/10.1016/j.jpowsour.2013.09.009","http://dx.doi.org/10.1016/j.jpowsour.2013.09.009")</f>
        <v>http://dx.doi.org/10.1016/j.jpowsour.2013.09.009</v>
      </c>
      <c r="BJ58" s="34" t="s">
        <v>1225</v>
      </c>
      <c r="BK58" s="34" t="s">
        <v>1225</v>
      </c>
      <c r="BL58" s="34" t="s">
        <v>1225</v>
      </c>
      <c r="BM58" s="34" t="s">
        <v>1225</v>
      </c>
      <c r="BN58" s="34" t="s">
        <v>1225</v>
      </c>
      <c r="BO58" s="34" t="s">
        <v>1225</v>
      </c>
      <c r="BP58" s="34" t="s">
        <v>1225</v>
      </c>
      <c r="BQ58" s="34" t="s">
        <v>1225</v>
      </c>
      <c r="BR58" s="34" t="s">
        <v>1225</v>
      </c>
      <c r="BS58" s="34" t="s">
        <v>1225</v>
      </c>
      <c r="BT58" s="34" t="s">
        <v>1225</v>
      </c>
      <c r="BU58" s="34" t="s">
        <v>1225</v>
      </c>
      <c r="BV58" s="34" t="s">
        <v>1225</v>
      </c>
      <c r="BW58" s="34" t="str">
        <f t="shared" si="0"/>
        <v>View Full Record in Web of Science</v>
      </c>
      <c r="BX58" s="34"/>
      <c r="BY58" s="41" t="str">
        <f>IF(Deletion!J58=TRUE,"Yes","No")</f>
        <v>Yes</v>
      </c>
    </row>
    <row r="59" spans="1:77" x14ac:dyDescent="0.15">
      <c r="A59" s="33">
        <f t="shared" si="1"/>
        <v>58</v>
      </c>
      <c r="B59" s="33" t="s">
        <v>1222</v>
      </c>
      <c r="C59" s="33" t="s">
        <v>1222</v>
      </c>
      <c r="D59" s="33" t="s">
        <v>1223</v>
      </c>
      <c r="E59" s="33" t="s">
        <v>1567</v>
      </c>
      <c r="F59" s="33" t="s">
        <v>1225</v>
      </c>
      <c r="G59" s="33" t="s">
        <v>1225</v>
      </c>
      <c r="H59" s="33" t="s">
        <v>1225</v>
      </c>
      <c r="I59" s="33" t="s">
        <v>457</v>
      </c>
      <c r="J59" s="33" t="s">
        <v>1225</v>
      </c>
      <c r="K59" s="33" t="s">
        <v>1225</v>
      </c>
      <c r="L59" s="33" t="s">
        <v>456</v>
      </c>
      <c r="M59" s="33" t="s">
        <v>422</v>
      </c>
      <c r="N59" s="33" t="s">
        <v>1225</v>
      </c>
      <c r="O59" s="33" t="s">
        <v>1225</v>
      </c>
      <c r="P59" s="33" t="s">
        <v>1225</v>
      </c>
      <c r="Q59" s="33" t="s">
        <v>1227</v>
      </c>
      <c r="R59" s="33" t="s">
        <v>1225</v>
      </c>
      <c r="S59" s="33" t="s">
        <v>1225</v>
      </c>
      <c r="T59" s="33" t="s">
        <v>1225</v>
      </c>
      <c r="U59" s="33" t="s">
        <v>1225</v>
      </c>
      <c r="V59" s="33" t="s">
        <v>1225</v>
      </c>
      <c r="W59" s="33" t="s">
        <v>458</v>
      </c>
      <c r="X59" s="33" t="s">
        <v>1225</v>
      </c>
      <c r="Y59" s="33" t="s">
        <v>459</v>
      </c>
      <c r="Z59" s="33" t="s">
        <v>1225</v>
      </c>
      <c r="AA59" s="33" t="s">
        <v>1225</v>
      </c>
      <c r="AB59" s="33" t="s">
        <v>1225</v>
      </c>
      <c r="AC59" s="33" t="s">
        <v>1225</v>
      </c>
      <c r="AD59" s="33" t="s">
        <v>1225</v>
      </c>
      <c r="AE59" s="33" t="s">
        <v>1225</v>
      </c>
      <c r="AF59" s="33" t="s">
        <v>1225</v>
      </c>
      <c r="AG59" s="33" t="s">
        <v>1225</v>
      </c>
      <c r="AH59" s="33" t="s">
        <v>1225</v>
      </c>
      <c r="AI59" s="33" t="s">
        <v>1225</v>
      </c>
      <c r="AJ59" s="33" t="s">
        <v>1225</v>
      </c>
      <c r="AK59" s="33" t="s">
        <v>1225</v>
      </c>
      <c r="AL59" s="33" t="s">
        <v>1225</v>
      </c>
      <c r="AM59" s="33" t="s">
        <v>1225</v>
      </c>
      <c r="AN59" s="33" t="s">
        <v>1225</v>
      </c>
      <c r="AO59" s="33" t="s">
        <v>1225</v>
      </c>
      <c r="AP59" s="33" t="s">
        <v>1225</v>
      </c>
      <c r="AQ59" s="33" t="s">
        <v>1225</v>
      </c>
      <c r="AR59" s="33" t="s">
        <v>1225</v>
      </c>
      <c r="AS59" s="33" t="s">
        <v>1225</v>
      </c>
      <c r="AT59" s="33" t="s">
        <v>1225</v>
      </c>
      <c r="AU59" s="33" t="s">
        <v>1225</v>
      </c>
      <c r="AV59" s="33" t="s">
        <v>1225</v>
      </c>
      <c r="AW59" s="33" t="s">
        <v>1229</v>
      </c>
      <c r="AX59" s="33">
        <v>2019</v>
      </c>
      <c r="AY59" s="33">
        <v>12</v>
      </c>
      <c r="AZ59" s="33">
        <v>21</v>
      </c>
      <c r="BA59" s="33" t="s">
        <v>1225</v>
      </c>
      <c r="BB59" s="33" t="s">
        <v>1225</v>
      </c>
      <c r="BC59" s="33" t="s">
        <v>1225</v>
      </c>
      <c r="BD59" s="33" t="s">
        <v>1225</v>
      </c>
      <c r="BE59" s="33" t="s">
        <v>1225</v>
      </c>
      <c r="BF59" s="33" t="s">
        <v>1225</v>
      </c>
      <c r="BG59" s="33">
        <v>4059</v>
      </c>
      <c r="BH59" s="33" t="s">
        <v>1568</v>
      </c>
      <c r="BI59" s="33" t="str">
        <f>HYPERLINK("http://dx.doi.org/10.3390/en12214059","http://dx.doi.org/10.3390/en12214059")</f>
        <v>http://dx.doi.org/10.3390/en12214059</v>
      </c>
      <c r="BJ59" s="33" t="s">
        <v>1225</v>
      </c>
      <c r="BK59" s="33" t="s">
        <v>1225</v>
      </c>
      <c r="BL59" s="33" t="s">
        <v>1225</v>
      </c>
      <c r="BM59" s="33" t="s">
        <v>1225</v>
      </c>
      <c r="BN59" s="33" t="s">
        <v>1225</v>
      </c>
      <c r="BO59" s="33" t="s">
        <v>1225</v>
      </c>
      <c r="BP59" s="33" t="s">
        <v>1225</v>
      </c>
      <c r="BQ59" s="33" t="s">
        <v>1225</v>
      </c>
      <c r="BR59" s="33" t="s">
        <v>1225</v>
      </c>
      <c r="BS59" s="33" t="s">
        <v>1225</v>
      </c>
      <c r="BT59" s="33" t="s">
        <v>1225</v>
      </c>
      <c r="BU59" s="33" t="s">
        <v>1225</v>
      </c>
      <c r="BV59" s="33" t="s">
        <v>1225</v>
      </c>
      <c r="BW59" s="33" t="str">
        <f t="shared" si="0"/>
        <v>View Full Record in Web of Science</v>
      </c>
      <c r="BX59" s="33"/>
      <c r="BY59" s="41" t="str">
        <f>IF(Deletion!J59=TRUE,"Yes","No")</f>
        <v>Yes</v>
      </c>
    </row>
    <row r="60" spans="1:77" x14ac:dyDescent="0.15">
      <c r="A60" s="33">
        <f t="shared" si="1"/>
        <v>59</v>
      </c>
      <c r="B60" s="33" t="s">
        <v>1222</v>
      </c>
      <c r="C60" s="33" t="s">
        <v>1222</v>
      </c>
      <c r="D60" s="33" t="s">
        <v>1223</v>
      </c>
      <c r="E60" s="33" t="s">
        <v>1569</v>
      </c>
      <c r="F60" s="33" t="s">
        <v>1225</v>
      </c>
      <c r="G60" s="33" t="s">
        <v>1225</v>
      </c>
      <c r="H60" s="33" t="s">
        <v>1225</v>
      </c>
      <c r="I60" s="33" t="s">
        <v>468</v>
      </c>
      <c r="J60" s="33" t="s">
        <v>1225</v>
      </c>
      <c r="K60" s="33" t="s">
        <v>1225</v>
      </c>
      <c r="L60" s="33" t="s">
        <v>467</v>
      </c>
      <c r="M60" s="33" t="s">
        <v>114</v>
      </c>
      <c r="N60" s="33" t="s">
        <v>1225</v>
      </c>
      <c r="O60" s="33" t="s">
        <v>1225</v>
      </c>
      <c r="P60" s="33" t="s">
        <v>1225</v>
      </c>
      <c r="Q60" s="33" t="s">
        <v>1227</v>
      </c>
      <c r="R60" s="33" t="s">
        <v>1225</v>
      </c>
      <c r="S60" s="33" t="s">
        <v>1225</v>
      </c>
      <c r="T60" s="33" t="s">
        <v>1225</v>
      </c>
      <c r="U60" s="33" t="s">
        <v>1225</v>
      </c>
      <c r="V60" s="33" t="s">
        <v>1225</v>
      </c>
      <c r="W60" s="33" t="s">
        <v>469</v>
      </c>
      <c r="X60" s="33" t="s">
        <v>1570</v>
      </c>
      <c r="Y60" s="33" t="s">
        <v>470</v>
      </c>
      <c r="Z60" s="33" t="s">
        <v>1225</v>
      </c>
      <c r="AA60" s="33" t="s">
        <v>1225</v>
      </c>
      <c r="AB60" s="33" t="s">
        <v>1225</v>
      </c>
      <c r="AC60" s="33" t="s">
        <v>1225</v>
      </c>
      <c r="AD60" s="33" t="s">
        <v>1225</v>
      </c>
      <c r="AE60" s="33" t="s">
        <v>1225</v>
      </c>
      <c r="AF60" s="33" t="s">
        <v>1225</v>
      </c>
      <c r="AG60" s="33" t="s">
        <v>1225</v>
      </c>
      <c r="AH60" s="33" t="s">
        <v>1225</v>
      </c>
      <c r="AI60" s="33" t="s">
        <v>1225</v>
      </c>
      <c r="AJ60" s="33" t="s">
        <v>1225</v>
      </c>
      <c r="AK60" s="33" t="s">
        <v>1225</v>
      </c>
      <c r="AL60" s="33" t="s">
        <v>1225</v>
      </c>
      <c r="AM60" s="33" t="s">
        <v>1225</v>
      </c>
      <c r="AN60" s="33" t="s">
        <v>1225</v>
      </c>
      <c r="AO60" s="33" t="s">
        <v>1225</v>
      </c>
      <c r="AP60" s="33" t="s">
        <v>1225</v>
      </c>
      <c r="AQ60" s="33" t="s">
        <v>1225</v>
      </c>
      <c r="AR60" s="33" t="s">
        <v>1225</v>
      </c>
      <c r="AS60" s="33" t="s">
        <v>1225</v>
      </c>
      <c r="AT60" s="33" t="s">
        <v>1225</v>
      </c>
      <c r="AU60" s="33" t="s">
        <v>1225</v>
      </c>
      <c r="AV60" s="33" t="s">
        <v>1225</v>
      </c>
      <c r="AW60" s="33" t="s">
        <v>1256</v>
      </c>
      <c r="AX60" s="33">
        <v>2019</v>
      </c>
      <c r="AY60" s="33">
        <v>20</v>
      </c>
      <c r="AZ60" s="33">
        <v>12</v>
      </c>
      <c r="BA60" s="33" t="s">
        <v>1225</v>
      </c>
      <c r="BB60" s="33" t="s">
        <v>1225</v>
      </c>
      <c r="BC60" s="33" t="s">
        <v>1225</v>
      </c>
      <c r="BD60" s="33" t="s">
        <v>1225</v>
      </c>
      <c r="BE60" s="33">
        <v>4524</v>
      </c>
      <c r="BF60" s="33">
        <v>4537</v>
      </c>
      <c r="BG60" s="33" t="s">
        <v>1225</v>
      </c>
      <c r="BH60" s="33" t="s">
        <v>1571</v>
      </c>
      <c r="BI60" s="33" t="str">
        <f>HYPERLINK("http://dx.doi.org/10.1109/TITS.2018.2887194","http://dx.doi.org/10.1109/TITS.2018.2887194")</f>
        <v>http://dx.doi.org/10.1109/TITS.2018.2887194</v>
      </c>
      <c r="BJ60" s="33" t="s">
        <v>1225</v>
      </c>
      <c r="BK60" s="33" t="s">
        <v>1225</v>
      </c>
      <c r="BL60" s="33" t="s">
        <v>1225</v>
      </c>
      <c r="BM60" s="33" t="s">
        <v>1225</v>
      </c>
      <c r="BN60" s="33" t="s">
        <v>1225</v>
      </c>
      <c r="BO60" s="33" t="s">
        <v>1225</v>
      </c>
      <c r="BP60" s="33" t="s">
        <v>1225</v>
      </c>
      <c r="BQ60" s="33" t="s">
        <v>1225</v>
      </c>
      <c r="BR60" s="33" t="s">
        <v>1225</v>
      </c>
      <c r="BS60" s="33" t="s">
        <v>1225</v>
      </c>
      <c r="BT60" s="33" t="s">
        <v>1225</v>
      </c>
      <c r="BU60" s="33" t="s">
        <v>1225</v>
      </c>
      <c r="BV60" s="33" t="s">
        <v>1225</v>
      </c>
      <c r="BW60" s="33" t="str">
        <f t="shared" si="0"/>
        <v>View Full Record in Web of Science</v>
      </c>
      <c r="BX60" s="33"/>
      <c r="BY60" s="41" t="str">
        <f>IF(Deletion!J60=TRUE,"Yes","No")</f>
        <v>Yes</v>
      </c>
    </row>
    <row r="61" spans="1:77" x14ac:dyDescent="0.15">
      <c r="A61" s="34">
        <f t="shared" si="1"/>
        <v>60</v>
      </c>
      <c r="B61" s="34" t="s">
        <v>1572</v>
      </c>
      <c r="C61" s="34" t="s">
        <v>1232</v>
      </c>
      <c r="D61" s="34" t="s">
        <v>1223</v>
      </c>
      <c r="E61" s="34" t="s">
        <v>1573</v>
      </c>
      <c r="F61" s="34" t="s">
        <v>1225</v>
      </c>
      <c r="G61" s="34" t="s">
        <v>1225</v>
      </c>
      <c r="H61" s="34" t="s">
        <v>1225</v>
      </c>
      <c r="I61" s="34" t="s">
        <v>1574</v>
      </c>
      <c r="J61" s="34" t="s">
        <v>1225</v>
      </c>
      <c r="K61" s="34" t="s">
        <v>1225</v>
      </c>
      <c r="L61" s="34" t="s">
        <v>1575</v>
      </c>
      <c r="M61" s="34" t="s">
        <v>422</v>
      </c>
      <c r="N61" s="34" t="s">
        <v>1225</v>
      </c>
      <c r="O61" s="34" t="s">
        <v>1225</v>
      </c>
      <c r="P61" s="34" t="s">
        <v>1225</v>
      </c>
      <c r="Q61" s="34" t="s">
        <v>1227</v>
      </c>
      <c r="R61" s="34" t="s">
        <v>1225</v>
      </c>
      <c r="S61" s="34" t="s">
        <v>1225</v>
      </c>
      <c r="T61" s="34" t="s">
        <v>1225</v>
      </c>
      <c r="U61" s="34" t="s">
        <v>1225</v>
      </c>
      <c r="V61" s="34" t="s">
        <v>1225</v>
      </c>
      <c r="W61" s="34" t="s">
        <v>1576</v>
      </c>
      <c r="X61" s="34" t="s">
        <v>1577</v>
      </c>
      <c r="Y61" s="34" t="s">
        <v>1578</v>
      </c>
      <c r="Z61" s="34" t="s">
        <v>1225</v>
      </c>
      <c r="AA61" s="34" t="s">
        <v>1225</v>
      </c>
      <c r="AB61" s="34" t="s">
        <v>1225</v>
      </c>
      <c r="AC61" s="34" t="s">
        <v>1225</v>
      </c>
      <c r="AD61" s="34" t="s">
        <v>1225</v>
      </c>
      <c r="AE61" s="34" t="s">
        <v>1225</v>
      </c>
      <c r="AF61" s="34" t="s">
        <v>1225</v>
      </c>
      <c r="AG61" s="34" t="s">
        <v>1225</v>
      </c>
      <c r="AH61" s="34" t="s">
        <v>1225</v>
      </c>
      <c r="AI61" s="34" t="s">
        <v>1225</v>
      </c>
      <c r="AJ61" s="34" t="s">
        <v>1225</v>
      </c>
      <c r="AK61" s="34" t="s">
        <v>1225</v>
      </c>
      <c r="AL61" s="34" t="s">
        <v>1225</v>
      </c>
      <c r="AM61" s="34" t="s">
        <v>1225</v>
      </c>
      <c r="AN61" s="34" t="s">
        <v>1225</v>
      </c>
      <c r="AO61" s="34" t="s">
        <v>1225</v>
      </c>
      <c r="AP61" s="34" t="s">
        <v>1225</v>
      </c>
      <c r="AQ61" s="34" t="s">
        <v>1225</v>
      </c>
      <c r="AR61" s="34" t="s">
        <v>1225</v>
      </c>
      <c r="AS61" s="34" t="s">
        <v>1225</v>
      </c>
      <c r="AT61" s="34" t="s">
        <v>1225</v>
      </c>
      <c r="AU61" s="34" t="s">
        <v>1225</v>
      </c>
      <c r="AV61" s="34" t="s">
        <v>1225</v>
      </c>
      <c r="AW61" s="34" t="s">
        <v>1276</v>
      </c>
      <c r="AX61" s="34">
        <v>2021</v>
      </c>
      <c r="AY61" s="34">
        <v>14</v>
      </c>
      <c r="AZ61" s="34">
        <v>20</v>
      </c>
      <c r="BA61" s="34" t="s">
        <v>1225</v>
      </c>
      <c r="BB61" s="34" t="s">
        <v>1225</v>
      </c>
      <c r="BC61" s="34" t="s">
        <v>1225</v>
      </c>
      <c r="BD61" s="34" t="s">
        <v>1225</v>
      </c>
      <c r="BE61" s="34" t="s">
        <v>1225</v>
      </c>
      <c r="BF61" s="34" t="s">
        <v>1225</v>
      </c>
      <c r="BG61" s="34">
        <v>6723</v>
      </c>
      <c r="BH61" s="34" t="s">
        <v>1579</v>
      </c>
      <c r="BI61" s="34" t="str">
        <f>HYPERLINK("http://dx.doi.org/10.3390/en14206723","http://dx.doi.org/10.3390/en14206723")</f>
        <v>http://dx.doi.org/10.3390/en14206723</v>
      </c>
      <c r="BJ61" s="34" t="s">
        <v>1225</v>
      </c>
      <c r="BK61" s="34" t="s">
        <v>1225</v>
      </c>
      <c r="BL61" s="34" t="s">
        <v>1225</v>
      </c>
      <c r="BM61" s="34" t="s">
        <v>1225</v>
      </c>
      <c r="BN61" s="34" t="s">
        <v>1225</v>
      </c>
      <c r="BO61" s="34" t="s">
        <v>1225</v>
      </c>
      <c r="BP61" s="34" t="s">
        <v>1225</v>
      </c>
      <c r="BQ61" s="34" t="s">
        <v>1225</v>
      </c>
      <c r="BR61" s="34" t="s">
        <v>1225</v>
      </c>
      <c r="BS61" s="34" t="s">
        <v>1225</v>
      </c>
      <c r="BT61" s="34" t="s">
        <v>1225</v>
      </c>
      <c r="BU61" s="34" t="s">
        <v>1225</v>
      </c>
      <c r="BV61" s="34" t="s">
        <v>1225</v>
      </c>
      <c r="BW61" s="34" t="str">
        <f t="shared" si="0"/>
        <v>View Full Record in Web of Science</v>
      </c>
      <c r="BX61" s="34"/>
      <c r="BY61" s="41" t="str">
        <f>IF(Deletion!J61=TRUE,"Yes","No")</f>
        <v>Yes</v>
      </c>
    </row>
    <row r="62" spans="1:77" x14ac:dyDescent="0.15">
      <c r="A62" s="33">
        <f t="shared" si="1"/>
        <v>61</v>
      </c>
      <c r="B62" s="33" t="s">
        <v>1222</v>
      </c>
      <c r="C62" s="33" t="s">
        <v>1222</v>
      </c>
      <c r="D62" s="33" t="s">
        <v>1223</v>
      </c>
      <c r="E62" s="33" t="s">
        <v>1580</v>
      </c>
      <c r="F62" s="33" t="s">
        <v>1225</v>
      </c>
      <c r="G62" s="33" t="s">
        <v>1225</v>
      </c>
      <c r="H62" s="33" t="s">
        <v>1225</v>
      </c>
      <c r="I62" s="33" t="s">
        <v>481</v>
      </c>
      <c r="J62" s="33" t="s">
        <v>1225</v>
      </c>
      <c r="K62" s="33" t="s">
        <v>1225</v>
      </c>
      <c r="L62" s="33" t="s">
        <v>478</v>
      </c>
      <c r="M62" s="33" t="s">
        <v>480</v>
      </c>
      <c r="N62" s="33" t="s">
        <v>1225</v>
      </c>
      <c r="O62" s="33" t="s">
        <v>1225</v>
      </c>
      <c r="P62" s="33" t="s">
        <v>1225</v>
      </c>
      <c r="Q62" s="33" t="s">
        <v>1227</v>
      </c>
      <c r="R62" s="33" t="s">
        <v>1225</v>
      </c>
      <c r="S62" s="33" t="s">
        <v>1225</v>
      </c>
      <c r="T62" s="33" t="s">
        <v>1225</v>
      </c>
      <c r="U62" s="33" t="s">
        <v>1225</v>
      </c>
      <c r="V62" s="33" t="s">
        <v>1225</v>
      </c>
      <c r="W62" s="33" t="s">
        <v>482</v>
      </c>
      <c r="X62" s="33" t="s">
        <v>1581</v>
      </c>
      <c r="Y62" s="33" t="s">
        <v>483</v>
      </c>
      <c r="Z62" s="33" t="s">
        <v>1225</v>
      </c>
      <c r="AA62" s="33" t="s">
        <v>1225</v>
      </c>
      <c r="AB62" s="33" t="s">
        <v>1225</v>
      </c>
      <c r="AC62" s="33" t="s">
        <v>1225</v>
      </c>
      <c r="AD62" s="33" t="s">
        <v>1225</v>
      </c>
      <c r="AE62" s="33" t="s">
        <v>1225</v>
      </c>
      <c r="AF62" s="33" t="s">
        <v>1225</v>
      </c>
      <c r="AG62" s="33" t="s">
        <v>1225</v>
      </c>
      <c r="AH62" s="33" t="s">
        <v>1225</v>
      </c>
      <c r="AI62" s="33" t="s">
        <v>1225</v>
      </c>
      <c r="AJ62" s="33" t="s">
        <v>1225</v>
      </c>
      <c r="AK62" s="33" t="s">
        <v>1225</v>
      </c>
      <c r="AL62" s="33" t="s">
        <v>1225</v>
      </c>
      <c r="AM62" s="33" t="s">
        <v>1225</v>
      </c>
      <c r="AN62" s="33" t="s">
        <v>1225</v>
      </c>
      <c r="AO62" s="33" t="s">
        <v>1225</v>
      </c>
      <c r="AP62" s="33" t="s">
        <v>1225</v>
      </c>
      <c r="AQ62" s="33" t="s">
        <v>1225</v>
      </c>
      <c r="AR62" s="33" t="s">
        <v>1225</v>
      </c>
      <c r="AS62" s="33" t="s">
        <v>1225</v>
      </c>
      <c r="AT62" s="33" t="s">
        <v>1225</v>
      </c>
      <c r="AU62" s="33" t="s">
        <v>1225</v>
      </c>
      <c r="AV62" s="33" t="s">
        <v>1225</v>
      </c>
      <c r="AW62" s="33" t="s">
        <v>1225</v>
      </c>
      <c r="AX62" s="33">
        <v>2017</v>
      </c>
      <c r="AY62" s="33">
        <v>5</v>
      </c>
      <c r="AZ62" s="33">
        <v>3</v>
      </c>
      <c r="BA62" s="33" t="s">
        <v>1225</v>
      </c>
      <c r="BB62" s="33" t="s">
        <v>1225</v>
      </c>
      <c r="BC62" s="33" t="s">
        <v>1225</v>
      </c>
      <c r="BD62" s="33" t="s">
        <v>1225</v>
      </c>
      <c r="BE62" s="33">
        <v>529</v>
      </c>
      <c r="BF62" s="33">
        <v>556</v>
      </c>
      <c r="BG62" s="33" t="s">
        <v>1225</v>
      </c>
      <c r="BH62" s="33" t="s">
        <v>1582</v>
      </c>
      <c r="BI62" s="33" t="str">
        <f>HYPERLINK("http://dx.doi.org/10.3934/energy.2017.3.529","http://dx.doi.org/10.3934/energy.2017.3.529")</f>
        <v>http://dx.doi.org/10.3934/energy.2017.3.529</v>
      </c>
      <c r="BJ62" s="33" t="s">
        <v>1225</v>
      </c>
      <c r="BK62" s="33" t="s">
        <v>1225</v>
      </c>
      <c r="BL62" s="33" t="s">
        <v>1225</v>
      </c>
      <c r="BM62" s="33" t="s">
        <v>1225</v>
      </c>
      <c r="BN62" s="33" t="s">
        <v>1225</v>
      </c>
      <c r="BO62" s="33" t="s">
        <v>1225</v>
      </c>
      <c r="BP62" s="33" t="s">
        <v>1225</v>
      </c>
      <c r="BQ62" s="33" t="s">
        <v>1225</v>
      </c>
      <c r="BR62" s="33" t="s">
        <v>1225</v>
      </c>
      <c r="BS62" s="33" t="s">
        <v>1225</v>
      </c>
      <c r="BT62" s="33" t="s">
        <v>1225</v>
      </c>
      <c r="BU62" s="33" t="s">
        <v>1225</v>
      </c>
      <c r="BV62" s="33" t="s">
        <v>1225</v>
      </c>
      <c r="BW62" s="33" t="str">
        <f t="shared" si="0"/>
        <v>View Full Record in Web of Science</v>
      </c>
      <c r="BX62" s="33"/>
      <c r="BY62" s="41" t="str">
        <f>IF(Deletion!J62=TRUE,"Yes","No")</f>
        <v>No</v>
      </c>
    </row>
    <row r="63" spans="1:77" x14ac:dyDescent="0.15">
      <c r="A63" s="38">
        <f t="shared" si="1"/>
        <v>62</v>
      </c>
      <c r="B63" s="38" t="s">
        <v>1413</v>
      </c>
      <c r="C63" s="38" t="s">
        <v>1413</v>
      </c>
      <c r="D63" s="38" t="s">
        <v>1223</v>
      </c>
      <c r="E63" s="38" t="s">
        <v>1583</v>
      </c>
      <c r="F63" s="39" t="s">
        <v>1225</v>
      </c>
      <c r="G63" s="39" t="s">
        <v>1225</v>
      </c>
      <c r="H63" s="39" t="s">
        <v>1225</v>
      </c>
      <c r="I63" s="38" t="s">
        <v>1584</v>
      </c>
      <c r="J63" s="39" t="s">
        <v>1225</v>
      </c>
      <c r="K63" s="39" t="s">
        <v>1225</v>
      </c>
      <c r="L63" s="38" t="s">
        <v>1585</v>
      </c>
      <c r="M63" s="38" t="s">
        <v>1586</v>
      </c>
      <c r="N63" s="39" t="s">
        <v>1225</v>
      </c>
      <c r="O63" s="39" t="s">
        <v>1225</v>
      </c>
      <c r="P63" s="39" t="s">
        <v>1225</v>
      </c>
      <c r="Q63" s="38" t="s">
        <v>1417</v>
      </c>
      <c r="R63" s="39" t="s">
        <v>1225</v>
      </c>
      <c r="S63" s="39" t="s">
        <v>1225</v>
      </c>
      <c r="T63" s="39" t="s">
        <v>1225</v>
      </c>
      <c r="U63" s="39" t="s">
        <v>1225</v>
      </c>
      <c r="V63" s="39" t="s">
        <v>1225</v>
      </c>
      <c r="W63" s="38" t="s">
        <v>1587</v>
      </c>
      <c r="X63" s="38" t="s">
        <v>1225</v>
      </c>
      <c r="Y63" s="38" t="s">
        <v>1588</v>
      </c>
      <c r="Z63" s="39" t="s">
        <v>1225</v>
      </c>
      <c r="AA63" s="39" t="s">
        <v>1225</v>
      </c>
      <c r="AB63" s="39" t="s">
        <v>1225</v>
      </c>
      <c r="AC63" s="39" t="s">
        <v>1225</v>
      </c>
      <c r="AD63" s="39" t="s">
        <v>1225</v>
      </c>
      <c r="AE63" s="39" t="s">
        <v>1225</v>
      </c>
      <c r="AF63" s="39" t="s">
        <v>1225</v>
      </c>
      <c r="AG63" s="39" t="s">
        <v>1225</v>
      </c>
      <c r="AH63" s="39" t="s">
        <v>1225</v>
      </c>
      <c r="AI63" s="39" t="s">
        <v>1225</v>
      </c>
      <c r="AJ63" s="39" t="s">
        <v>1225</v>
      </c>
      <c r="AK63" s="39" t="s">
        <v>1225</v>
      </c>
      <c r="AL63" s="39" t="s">
        <v>1225</v>
      </c>
      <c r="AM63" s="39" t="s">
        <v>1225</v>
      </c>
      <c r="AN63" s="39" t="s">
        <v>1225</v>
      </c>
      <c r="AO63" s="39" t="s">
        <v>1225</v>
      </c>
      <c r="AP63" s="39" t="s">
        <v>1225</v>
      </c>
      <c r="AQ63" s="39" t="s">
        <v>1225</v>
      </c>
      <c r="AR63" s="39" t="s">
        <v>1225</v>
      </c>
      <c r="AS63" s="39" t="s">
        <v>1225</v>
      </c>
      <c r="AT63" s="39" t="s">
        <v>1225</v>
      </c>
      <c r="AU63" s="39" t="s">
        <v>1225</v>
      </c>
      <c r="AV63" s="39" t="s">
        <v>1225</v>
      </c>
      <c r="AW63" s="38" t="s">
        <v>1465</v>
      </c>
      <c r="AX63" s="38">
        <v>2021</v>
      </c>
      <c r="AY63" s="39">
        <v>13</v>
      </c>
      <c r="AZ63" s="39">
        <v>4</v>
      </c>
      <c r="BA63" s="39" t="s">
        <v>1225</v>
      </c>
      <c r="BB63" s="39" t="s">
        <v>1225</v>
      </c>
      <c r="BC63" s="39" t="s">
        <v>1225</v>
      </c>
      <c r="BD63" s="39" t="s">
        <v>1225</v>
      </c>
      <c r="BE63" s="39" t="s">
        <v>1225</v>
      </c>
      <c r="BF63" s="39" t="s">
        <v>1225</v>
      </c>
      <c r="BG63" s="39">
        <v>2396</v>
      </c>
      <c r="BH63" s="38" t="s">
        <v>1589</v>
      </c>
      <c r="BI63" s="38" t="str">
        <f>HYPERLINK("http://dx.doi.org/10.3390/su13042396","http://dx.doi.org/10.3390/su13042396")</f>
        <v>http://dx.doi.org/10.3390/su13042396</v>
      </c>
      <c r="BJ63" s="39" t="s">
        <v>1225</v>
      </c>
      <c r="BK63" s="39" t="s">
        <v>1225</v>
      </c>
      <c r="BL63" s="39" t="s">
        <v>1225</v>
      </c>
      <c r="BM63" s="39" t="s">
        <v>1225</v>
      </c>
      <c r="BN63" s="39" t="s">
        <v>1225</v>
      </c>
      <c r="BO63" s="39" t="s">
        <v>1225</v>
      </c>
      <c r="BP63" s="39" t="s">
        <v>1225</v>
      </c>
      <c r="BQ63" s="39" t="s">
        <v>1225</v>
      </c>
      <c r="BR63" s="39" t="s">
        <v>1225</v>
      </c>
      <c r="BS63" s="39" t="s">
        <v>1225</v>
      </c>
      <c r="BT63" s="39" t="s">
        <v>1225</v>
      </c>
      <c r="BU63" s="39" t="s">
        <v>1225</v>
      </c>
      <c r="BV63" s="39" t="s">
        <v>1225</v>
      </c>
      <c r="BW63" s="39" t="str">
        <f t="shared" si="0"/>
        <v>View Full Record in Web of Science</v>
      </c>
      <c r="BX63" s="39"/>
      <c r="BY63" s="41" t="str">
        <f>IF(Deletion!J63=TRUE,"Yes","No")</f>
        <v>Yes</v>
      </c>
    </row>
    <row r="64" spans="1:77" x14ac:dyDescent="0.15">
      <c r="A64" s="34">
        <f t="shared" si="1"/>
        <v>63</v>
      </c>
      <c r="B64" s="34" t="s">
        <v>1590</v>
      </c>
      <c r="C64" s="34" t="s">
        <v>1232</v>
      </c>
      <c r="D64" s="34" t="s">
        <v>1223</v>
      </c>
      <c r="E64" s="34" t="s">
        <v>1591</v>
      </c>
      <c r="F64" s="34" t="s">
        <v>1225</v>
      </c>
      <c r="G64" s="34" t="s">
        <v>1225</v>
      </c>
      <c r="H64" s="34" t="s">
        <v>1225</v>
      </c>
      <c r="I64" s="34" t="s">
        <v>1592</v>
      </c>
      <c r="J64" s="34" t="s">
        <v>1225</v>
      </c>
      <c r="K64" s="34" t="s">
        <v>1225</v>
      </c>
      <c r="L64" s="34" t="s">
        <v>1593</v>
      </c>
      <c r="M64" s="34" t="s">
        <v>1594</v>
      </c>
      <c r="N64" s="34" t="s">
        <v>1225</v>
      </c>
      <c r="O64" s="34" t="s">
        <v>1225</v>
      </c>
      <c r="P64" s="34" t="s">
        <v>1225</v>
      </c>
      <c r="Q64" s="34" t="s">
        <v>1227</v>
      </c>
      <c r="R64" s="34" t="s">
        <v>1225</v>
      </c>
      <c r="S64" s="34" t="s">
        <v>1225</v>
      </c>
      <c r="T64" s="34" t="s">
        <v>1225</v>
      </c>
      <c r="U64" s="34" t="s">
        <v>1225</v>
      </c>
      <c r="V64" s="34" t="s">
        <v>1225</v>
      </c>
      <c r="W64" s="34" t="s">
        <v>1595</v>
      </c>
      <c r="X64" s="34" t="s">
        <v>1225</v>
      </c>
      <c r="Y64" s="34" t="s">
        <v>1596</v>
      </c>
      <c r="Z64" s="34" t="s">
        <v>1225</v>
      </c>
      <c r="AA64" s="34" t="s">
        <v>1225</v>
      </c>
      <c r="AB64" s="34" t="s">
        <v>1225</v>
      </c>
      <c r="AC64" s="34" t="s">
        <v>1225</v>
      </c>
      <c r="AD64" s="34" t="s">
        <v>1225</v>
      </c>
      <c r="AE64" s="34" t="s">
        <v>1225</v>
      </c>
      <c r="AF64" s="34" t="s">
        <v>1225</v>
      </c>
      <c r="AG64" s="34" t="s">
        <v>1225</v>
      </c>
      <c r="AH64" s="34" t="s">
        <v>1225</v>
      </c>
      <c r="AI64" s="34" t="s">
        <v>1225</v>
      </c>
      <c r="AJ64" s="34" t="s">
        <v>1225</v>
      </c>
      <c r="AK64" s="34" t="s">
        <v>1225</v>
      </c>
      <c r="AL64" s="34" t="s">
        <v>1225</v>
      </c>
      <c r="AM64" s="34" t="s">
        <v>1225</v>
      </c>
      <c r="AN64" s="34" t="s">
        <v>1225</v>
      </c>
      <c r="AO64" s="34" t="s">
        <v>1225</v>
      </c>
      <c r="AP64" s="34" t="s">
        <v>1225</v>
      </c>
      <c r="AQ64" s="34" t="s">
        <v>1225</v>
      </c>
      <c r="AR64" s="34" t="s">
        <v>1225</v>
      </c>
      <c r="AS64" s="34" t="s">
        <v>1225</v>
      </c>
      <c r="AT64" s="34" t="s">
        <v>1225</v>
      </c>
      <c r="AU64" s="34" t="s">
        <v>1225</v>
      </c>
      <c r="AV64" s="34" t="s">
        <v>1225</v>
      </c>
      <c r="AW64" s="34" t="s">
        <v>1256</v>
      </c>
      <c r="AX64" s="34">
        <v>2013</v>
      </c>
      <c r="AY64" s="34">
        <v>4</v>
      </c>
      <c r="AZ64" s="34">
        <v>6</v>
      </c>
      <c r="BA64" s="34" t="s">
        <v>1225</v>
      </c>
      <c r="BB64" s="34" t="s">
        <v>1225</v>
      </c>
      <c r="BC64" s="34" t="s">
        <v>1511</v>
      </c>
      <c r="BD64" s="34" t="s">
        <v>1225</v>
      </c>
      <c r="BE64" s="34">
        <v>641</v>
      </c>
      <c r="BF64" s="34">
        <v>649</v>
      </c>
      <c r="BG64" s="34" t="s">
        <v>1225</v>
      </c>
      <c r="BH64" s="34" t="s">
        <v>1597</v>
      </c>
      <c r="BI64" s="34" t="str">
        <f>HYPERLINK("http://dx.doi.org/10.1007/s12652-013-0174-y","http://dx.doi.org/10.1007/s12652-013-0174-y")</f>
        <v>http://dx.doi.org/10.1007/s12652-013-0174-y</v>
      </c>
      <c r="BJ64" s="34" t="s">
        <v>1225</v>
      </c>
      <c r="BK64" s="34" t="s">
        <v>1225</v>
      </c>
      <c r="BL64" s="34" t="s">
        <v>1225</v>
      </c>
      <c r="BM64" s="34" t="s">
        <v>1225</v>
      </c>
      <c r="BN64" s="34" t="s">
        <v>1225</v>
      </c>
      <c r="BO64" s="34" t="s">
        <v>1225</v>
      </c>
      <c r="BP64" s="34" t="s">
        <v>1225</v>
      </c>
      <c r="BQ64" s="34" t="s">
        <v>1225</v>
      </c>
      <c r="BR64" s="34" t="s">
        <v>1225</v>
      </c>
      <c r="BS64" s="34" t="s">
        <v>1225</v>
      </c>
      <c r="BT64" s="34" t="s">
        <v>1225</v>
      </c>
      <c r="BU64" s="34" t="s">
        <v>1225</v>
      </c>
      <c r="BV64" s="34" t="s">
        <v>1225</v>
      </c>
      <c r="BW64" s="34" t="str">
        <f t="shared" si="0"/>
        <v>View Full Record in Web of Science</v>
      </c>
      <c r="BX64" s="34"/>
      <c r="BY64" s="41" t="str">
        <f>IF(Deletion!J64=TRUE,"Yes","No")</f>
        <v>No</v>
      </c>
    </row>
    <row r="65" spans="1:77" x14ac:dyDescent="0.15">
      <c r="A65" s="40">
        <f t="shared" si="1"/>
        <v>64</v>
      </c>
      <c r="B65" s="40" t="s">
        <v>1598</v>
      </c>
      <c r="C65" s="40" t="s">
        <v>1241</v>
      </c>
      <c r="D65" s="40" t="s">
        <v>1223</v>
      </c>
      <c r="E65" s="40" t="s">
        <v>1599</v>
      </c>
      <c r="F65" s="40" t="s">
        <v>1225</v>
      </c>
      <c r="G65" s="40" t="s">
        <v>1225</v>
      </c>
      <c r="H65" s="40" t="s">
        <v>1225</v>
      </c>
      <c r="I65" s="40" t="s">
        <v>494</v>
      </c>
      <c r="J65" s="40" t="s">
        <v>1225</v>
      </c>
      <c r="K65" s="40" t="s">
        <v>1225</v>
      </c>
      <c r="L65" s="40" t="s">
        <v>493</v>
      </c>
      <c r="M65" s="40" t="s">
        <v>124</v>
      </c>
      <c r="N65" s="40" t="s">
        <v>1225</v>
      </c>
      <c r="O65" s="40" t="s">
        <v>1225</v>
      </c>
      <c r="P65" s="40" t="s">
        <v>1225</v>
      </c>
      <c r="Q65" s="40" t="s">
        <v>1227</v>
      </c>
      <c r="R65" s="40" t="s">
        <v>1225</v>
      </c>
      <c r="S65" s="40" t="s">
        <v>1225</v>
      </c>
      <c r="T65" s="40" t="s">
        <v>1225</v>
      </c>
      <c r="U65" s="40" t="s">
        <v>1225</v>
      </c>
      <c r="V65" s="40" t="s">
        <v>1225</v>
      </c>
      <c r="W65" s="40" t="s">
        <v>495</v>
      </c>
      <c r="X65" s="40" t="s">
        <v>1600</v>
      </c>
      <c r="Y65" s="40" t="s">
        <v>496</v>
      </c>
      <c r="Z65" s="40" t="s">
        <v>1225</v>
      </c>
      <c r="AA65" s="40" t="s">
        <v>1225</v>
      </c>
      <c r="AB65" s="40" t="s">
        <v>1225</v>
      </c>
      <c r="AC65" s="40" t="s">
        <v>1225</v>
      </c>
      <c r="AD65" s="40" t="s">
        <v>1225</v>
      </c>
      <c r="AE65" s="40" t="s">
        <v>1225</v>
      </c>
      <c r="AF65" s="40" t="s">
        <v>1225</v>
      </c>
      <c r="AG65" s="40" t="s">
        <v>1225</v>
      </c>
      <c r="AH65" s="40" t="s">
        <v>1225</v>
      </c>
      <c r="AI65" s="40" t="s">
        <v>1225</v>
      </c>
      <c r="AJ65" s="40" t="s">
        <v>1225</v>
      </c>
      <c r="AK65" s="40" t="s">
        <v>1225</v>
      </c>
      <c r="AL65" s="40" t="s">
        <v>1225</v>
      </c>
      <c r="AM65" s="40" t="s">
        <v>1225</v>
      </c>
      <c r="AN65" s="40" t="s">
        <v>1225</v>
      </c>
      <c r="AO65" s="40" t="s">
        <v>1225</v>
      </c>
      <c r="AP65" s="40" t="s">
        <v>1225</v>
      </c>
      <c r="AQ65" s="40" t="s">
        <v>1225</v>
      </c>
      <c r="AR65" s="40" t="s">
        <v>1225</v>
      </c>
      <c r="AS65" s="40" t="s">
        <v>1225</v>
      </c>
      <c r="AT65" s="40" t="s">
        <v>1225</v>
      </c>
      <c r="AU65" s="40" t="s">
        <v>1225</v>
      </c>
      <c r="AV65" s="40" t="s">
        <v>1225</v>
      </c>
      <c r="AW65" s="40" t="s">
        <v>1285</v>
      </c>
      <c r="AX65" s="40">
        <v>2022</v>
      </c>
      <c r="AY65" s="40">
        <v>13</v>
      </c>
      <c r="AZ65" s="40">
        <v>3</v>
      </c>
      <c r="BA65" s="40" t="s">
        <v>1225</v>
      </c>
      <c r="BB65" s="40" t="s">
        <v>1225</v>
      </c>
      <c r="BC65" s="40" t="s">
        <v>1225</v>
      </c>
      <c r="BD65" s="40" t="s">
        <v>1225</v>
      </c>
      <c r="BE65" s="40">
        <v>2218</v>
      </c>
      <c r="BF65" s="40">
        <v>2233</v>
      </c>
      <c r="BG65" s="40" t="s">
        <v>1225</v>
      </c>
      <c r="BH65" s="40" t="s">
        <v>1601</v>
      </c>
      <c r="BI65" s="40" t="str">
        <f>HYPERLINK("http://dx.doi.org/10.1109/TSG.2022.3140927","http://dx.doi.org/10.1109/TSG.2022.3140927")</f>
        <v>http://dx.doi.org/10.1109/TSG.2022.3140927</v>
      </c>
      <c r="BJ65" s="40" t="s">
        <v>1225</v>
      </c>
      <c r="BK65" s="40" t="s">
        <v>1225</v>
      </c>
      <c r="BL65" s="40" t="s">
        <v>1225</v>
      </c>
      <c r="BM65" s="40" t="s">
        <v>1225</v>
      </c>
      <c r="BN65" s="40" t="s">
        <v>1225</v>
      </c>
      <c r="BO65" s="40" t="s">
        <v>1225</v>
      </c>
      <c r="BP65" s="40" t="s">
        <v>1225</v>
      </c>
      <c r="BQ65" s="40" t="s">
        <v>1225</v>
      </c>
      <c r="BR65" s="40" t="s">
        <v>1225</v>
      </c>
      <c r="BS65" s="40" t="s">
        <v>1225</v>
      </c>
      <c r="BT65" s="40" t="s">
        <v>1225</v>
      </c>
      <c r="BU65" s="40" t="s">
        <v>1225</v>
      </c>
      <c r="BV65" s="40" t="s">
        <v>1225</v>
      </c>
      <c r="BW65" s="40" t="str">
        <f t="shared" si="0"/>
        <v>View Full Record in Web of Science</v>
      </c>
      <c r="BX65" s="40"/>
      <c r="BY65" s="41" t="str">
        <f>IF(Deletion!J65=TRUE,"Yes","No")</f>
        <v>Yes</v>
      </c>
    </row>
    <row r="66" spans="1:77" x14ac:dyDescent="0.15">
      <c r="A66" s="34">
        <f t="shared" si="1"/>
        <v>65</v>
      </c>
      <c r="B66" s="34" t="s">
        <v>1602</v>
      </c>
      <c r="C66" s="35" t="s">
        <v>1232</v>
      </c>
      <c r="D66" s="34" t="s">
        <v>1223</v>
      </c>
      <c r="E66" s="34" t="s">
        <v>1603</v>
      </c>
      <c r="F66" s="34" t="s">
        <v>1225</v>
      </c>
      <c r="G66" s="34" t="s">
        <v>1225</v>
      </c>
      <c r="H66" s="34" t="s">
        <v>1225</v>
      </c>
      <c r="I66" s="34" t="s">
        <v>1604</v>
      </c>
      <c r="J66" s="34" t="s">
        <v>1225</v>
      </c>
      <c r="K66" s="34" t="s">
        <v>1225</v>
      </c>
      <c r="L66" s="34" t="s">
        <v>1605</v>
      </c>
      <c r="M66" s="34" t="s">
        <v>124</v>
      </c>
      <c r="N66" s="34" t="s">
        <v>1225</v>
      </c>
      <c r="O66" s="34" t="s">
        <v>1225</v>
      </c>
      <c r="P66" s="34" t="s">
        <v>1225</v>
      </c>
      <c r="Q66" s="34" t="s">
        <v>1227</v>
      </c>
      <c r="R66" s="34" t="s">
        <v>1225</v>
      </c>
      <c r="S66" s="34" t="s">
        <v>1225</v>
      </c>
      <c r="T66" s="34" t="s">
        <v>1225</v>
      </c>
      <c r="U66" s="34" t="s">
        <v>1225</v>
      </c>
      <c r="V66" s="34" t="s">
        <v>1225</v>
      </c>
      <c r="W66" s="34" t="s">
        <v>1606</v>
      </c>
      <c r="X66" s="34" t="s">
        <v>1225</v>
      </c>
      <c r="Y66" s="34" t="s">
        <v>1607</v>
      </c>
      <c r="Z66" s="34" t="s">
        <v>1225</v>
      </c>
      <c r="AA66" s="34" t="s">
        <v>1225</v>
      </c>
      <c r="AB66" s="34" t="s">
        <v>1225</v>
      </c>
      <c r="AC66" s="34" t="s">
        <v>1225</v>
      </c>
      <c r="AD66" s="34" t="s">
        <v>1225</v>
      </c>
      <c r="AE66" s="34" t="s">
        <v>1225</v>
      </c>
      <c r="AF66" s="34" t="s">
        <v>1225</v>
      </c>
      <c r="AG66" s="34" t="s">
        <v>1225</v>
      </c>
      <c r="AH66" s="34" t="s">
        <v>1225</v>
      </c>
      <c r="AI66" s="34" t="s">
        <v>1225</v>
      </c>
      <c r="AJ66" s="34" t="s">
        <v>1225</v>
      </c>
      <c r="AK66" s="34" t="s">
        <v>1225</v>
      </c>
      <c r="AL66" s="34" t="s">
        <v>1225</v>
      </c>
      <c r="AM66" s="34" t="s">
        <v>1225</v>
      </c>
      <c r="AN66" s="34" t="s">
        <v>1225</v>
      </c>
      <c r="AO66" s="34" t="s">
        <v>1225</v>
      </c>
      <c r="AP66" s="34" t="s">
        <v>1225</v>
      </c>
      <c r="AQ66" s="34" t="s">
        <v>1225</v>
      </c>
      <c r="AR66" s="34" t="s">
        <v>1225</v>
      </c>
      <c r="AS66" s="34" t="s">
        <v>1225</v>
      </c>
      <c r="AT66" s="34" t="s">
        <v>1225</v>
      </c>
      <c r="AU66" s="34" t="s">
        <v>1225</v>
      </c>
      <c r="AV66" s="34" t="s">
        <v>1225</v>
      </c>
      <c r="AW66" s="34" t="s">
        <v>1272</v>
      </c>
      <c r="AX66" s="34">
        <v>2014</v>
      </c>
      <c r="AY66" s="34">
        <v>5</v>
      </c>
      <c r="AZ66" s="34">
        <v>2</v>
      </c>
      <c r="BA66" s="34" t="s">
        <v>1225</v>
      </c>
      <c r="BB66" s="34" t="s">
        <v>1225</v>
      </c>
      <c r="BC66" s="34" t="s">
        <v>1225</v>
      </c>
      <c r="BD66" s="34" t="s">
        <v>1225</v>
      </c>
      <c r="BE66" s="34">
        <v>703</v>
      </c>
      <c r="BF66" s="34">
        <v>711</v>
      </c>
      <c r="BG66" s="34" t="s">
        <v>1225</v>
      </c>
      <c r="BH66" s="34" t="s">
        <v>1608</v>
      </c>
      <c r="BI66" s="34" t="str">
        <f>HYPERLINK("http://dx.doi.org/10.1109/TSG.2013.2279007","http://dx.doi.org/10.1109/TSG.2013.2279007")</f>
        <v>http://dx.doi.org/10.1109/TSG.2013.2279007</v>
      </c>
      <c r="BJ66" s="34" t="s">
        <v>1225</v>
      </c>
      <c r="BK66" s="34" t="s">
        <v>1225</v>
      </c>
      <c r="BL66" s="34" t="s">
        <v>1225</v>
      </c>
      <c r="BM66" s="34" t="s">
        <v>1225</v>
      </c>
      <c r="BN66" s="34" t="s">
        <v>1225</v>
      </c>
      <c r="BO66" s="34" t="s">
        <v>1225</v>
      </c>
      <c r="BP66" s="34" t="s">
        <v>1225</v>
      </c>
      <c r="BQ66" s="34" t="s">
        <v>1225</v>
      </c>
      <c r="BR66" s="34" t="s">
        <v>1225</v>
      </c>
      <c r="BS66" s="34" t="s">
        <v>1225</v>
      </c>
      <c r="BT66" s="34" t="s">
        <v>1225</v>
      </c>
      <c r="BU66" s="34" t="s">
        <v>1225</v>
      </c>
      <c r="BV66" s="34" t="s">
        <v>1225</v>
      </c>
      <c r="BW66" s="34" t="str">
        <f t="shared" ref="BW66:BW129" si="2">HYPERLINK("https%3A%2F%2Fwww.webofscience.com%2Fwos%2Fwoscc%2Ffull-record%2F","View Full Record in Web of Science")</f>
        <v>View Full Record in Web of Science</v>
      </c>
      <c r="BX66" s="34"/>
      <c r="BY66" s="41" t="str">
        <f>IF(Deletion!J66=TRUE,"Yes","No")</f>
        <v>Yes</v>
      </c>
    </row>
    <row r="67" spans="1:77" x14ac:dyDescent="0.15">
      <c r="A67" s="34">
        <f t="shared" si="1"/>
        <v>66</v>
      </c>
      <c r="B67" s="35" t="s">
        <v>1287</v>
      </c>
      <c r="C67" s="35" t="s">
        <v>1232</v>
      </c>
      <c r="D67" s="34" t="s">
        <v>1223</v>
      </c>
      <c r="E67" s="34" t="s">
        <v>1609</v>
      </c>
      <c r="F67" s="34" t="s">
        <v>1225</v>
      </c>
      <c r="G67" s="34" t="s">
        <v>1225</v>
      </c>
      <c r="H67" s="34" t="s">
        <v>1225</v>
      </c>
      <c r="I67" s="34" t="s">
        <v>1610</v>
      </c>
      <c r="J67" s="34" t="s">
        <v>1225</v>
      </c>
      <c r="K67" s="34" t="s">
        <v>1225</v>
      </c>
      <c r="L67" s="34" t="s">
        <v>1611</v>
      </c>
      <c r="M67" s="34" t="s">
        <v>422</v>
      </c>
      <c r="N67" s="34" t="s">
        <v>1225</v>
      </c>
      <c r="O67" s="34" t="s">
        <v>1225</v>
      </c>
      <c r="P67" s="34" t="s">
        <v>1225</v>
      </c>
      <c r="Q67" s="34" t="s">
        <v>1227</v>
      </c>
      <c r="R67" s="34" t="s">
        <v>1225</v>
      </c>
      <c r="S67" s="34" t="s">
        <v>1225</v>
      </c>
      <c r="T67" s="34" t="s">
        <v>1225</v>
      </c>
      <c r="U67" s="34" t="s">
        <v>1225</v>
      </c>
      <c r="V67" s="34" t="s">
        <v>1225</v>
      </c>
      <c r="W67" s="34" t="s">
        <v>1612</v>
      </c>
      <c r="X67" s="34" t="s">
        <v>1613</v>
      </c>
      <c r="Y67" s="34" t="s">
        <v>1614</v>
      </c>
      <c r="Z67" s="34" t="s">
        <v>1225</v>
      </c>
      <c r="AA67" s="34" t="s">
        <v>1225</v>
      </c>
      <c r="AB67" s="34" t="s">
        <v>1225</v>
      </c>
      <c r="AC67" s="34" t="s">
        <v>1225</v>
      </c>
      <c r="AD67" s="34" t="s">
        <v>1225</v>
      </c>
      <c r="AE67" s="34" t="s">
        <v>1225</v>
      </c>
      <c r="AF67" s="34" t="s">
        <v>1225</v>
      </c>
      <c r="AG67" s="34" t="s">
        <v>1225</v>
      </c>
      <c r="AH67" s="34" t="s">
        <v>1225</v>
      </c>
      <c r="AI67" s="34" t="s">
        <v>1225</v>
      </c>
      <c r="AJ67" s="34" t="s">
        <v>1225</v>
      </c>
      <c r="AK67" s="34" t="s">
        <v>1225</v>
      </c>
      <c r="AL67" s="34" t="s">
        <v>1225</v>
      </c>
      <c r="AM67" s="34" t="s">
        <v>1225</v>
      </c>
      <c r="AN67" s="34" t="s">
        <v>1225</v>
      </c>
      <c r="AO67" s="34" t="s">
        <v>1225</v>
      </c>
      <c r="AP67" s="34" t="s">
        <v>1225</v>
      </c>
      <c r="AQ67" s="34" t="s">
        <v>1225</v>
      </c>
      <c r="AR67" s="34" t="s">
        <v>1225</v>
      </c>
      <c r="AS67" s="34" t="s">
        <v>1225</v>
      </c>
      <c r="AT67" s="34" t="s">
        <v>1225</v>
      </c>
      <c r="AU67" s="34" t="s">
        <v>1225</v>
      </c>
      <c r="AV67" s="34" t="s">
        <v>1225</v>
      </c>
      <c r="AW67" s="34" t="s">
        <v>1276</v>
      </c>
      <c r="AX67" s="34">
        <v>2020</v>
      </c>
      <c r="AY67" s="34">
        <v>13</v>
      </c>
      <c r="AZ67" s="34">
        <v>19</v>
      </c>
      <c r="BA67" s="34" t="s">
        <v>1225</v>
      </c>
      <c r="BB67" s="34" t="s">
        <v>1225</v>
      </c>
      <c r="BC67" s="34" t="s">
        <v>1225</v>
      </c>
      <c r="BD67" s="34" t="s">
        <v>1225</v>
      </c>
      <c r="BE67" s="34" t="s">
        <v>1225</v>
      </c>
      <c r="BF67" s="34" t="s">
        <v>1225</v>
      </c>
      <c r="BG67" s="34">
        <v>5003</v>
      </c>
      <c r="BH67" s="34" t="s">
        <v>1615</v>
      </c>
      <c r="BI67" s="34" t="str">
        <f>HYPERLINK("http://dx.doi.org/10.3390/en13195003","http://dx.doi.org/10.3390/en13195003")</f>
        <v>http://dx.doi.org/10.3390/en13195003</v>
      </c>
      <c r="BJ67" s="34" t="s">
        <v>1225</v>
      </c>
      <c r="BK67" s="34" t="s">
        <v>1225</v>
      </c>
      <c r="BL67" s="34" t="s">
        <v>1225</v>
      </c>
      <c r="BM67" s="34" t="s">
        <v>1225</v>
      </c>
      <c r="BN67" s="34" t="s">
        <v>1225</v>
      </c>
      <c r="BO67" s="34" t="s">
        <v>1225</v>
      </c>
      <c r="BP67" s="34" t="s">
        <v>1225</v>
      </c>
      <c r="BQ67" s="34" t="s">
        <v>1225</v>
      </c>
      <c r="BR67" s="34" t="s">
        <v>1225</v>
      </c>
      <c r="BS67" s="34" t="s">
        <v>1225</v>
      </c>
      <c r="BT67" s="34" t="s">
        <v>1225</v>
      </c>
      <c r="BU67" s="34" t="s">
        <v>1225</v>
      </c>
      <c r="BV67" s="34" t="s">
        <v>1225</v>
      </c>
      <c r="BW67" s="34" t="str">
        <f t="shared" si="2"/>
        <v>View Full Record in Web of Science</v>
      </c>
      <c r="BX67" s="34"/>
      <c r="BY67" s="41" t="str">
        <f>IF(Deletion!J67=TRUE,"Yes","No")</f>
        <v>Yes</v>
      </c>
    </row>
    <row r="68" spans="1:77" x14ac:dyDescent="0.15">
      <c r="A68" s="34">
        <f t="shared" si="1"/>
        <v>67</v>
      </c>
      <c r="B68" s="34" t="s">
        <v>1426</v>
      </c>
      <c r="C68" s="34" t="s">
        <v>4</v>
      </c>
      <c r="D68" s="34" t="s">
        <v>1223</v>
      </c>
      <c r="E68" s="34" t="s">
        <v>1616</v>
      </c>
      <c r="F68" s="34" t="s">
        <v>1225</v>
      </c>
      <c r="G68" s="34" t="s">
        <v>1225</v>
      </c>
      <c r="H68" s="34" t="s">
        <v>1225</v>
      </c>
      <c r="I68" s="34" t="s">
        <v>1617</v>
      </c>
      <c r="J68" s="34" t="s">
        <v>1225</v>
      </c>
      <c r="K68" s="34" t="s">
        <v>1225</v>
      </c>
      <c r="L68" s="34" t="s">
        <v>1618</v>
      </c>
      <c r="M68" s="34" t="s">
        <v>278</v>
      </c>
      <c r="N68" s="34" t="s">
        <v>1225</v>
      </c>
      <c r="O68" s="34" t="s">
        <v>1225</v>
      </c>
      <c r="P68" s="34" t="s">
        <v>1225</v>
      </c>
      <c r="Q68" s="34" t="s">
        <v>1227</v>
      </c>
      <c r="R68" s="34" t="s">
        <v>1225</v>
      </c>
      <c r="S68" s="34" t="s">
        <v>1225</v>
      </c>
      <c r="T68" s="34" t="s">
        <v>1225</v>
      </c>
      <c r="U68" s="34" t="s">
        <v>1225</v>
      </c>
      <c r="V68" s="34" t="s">
        <v>1225</v>
      </c>
      <c r="W68" s="34" t="s">
        <v>1619</v>
      </c>
      <c r="X68" s="34" t="s">
        <v>1620</v>
      </c>
      <c r="Y68" s="34" t="s">
        <v>1621</v>
      </c>
      <c r="Z68" s="34" t="s">
        <v>1225</v>
      </c>
      <c r="AA68" s="34" t="s">
        <v>1225</v>
      </c>
      <c r="AB68" s="34" t="s">
        <v>1225</v>
      </c>
      <c r="AC68" s="34" t="s">
        <v>1225</v>
      </c>
      <c r="AD68" s="34" t="s">
        <v>1225</v>
      </c>
      <c r="AE68" s="34" t="s">
        <v>1225</v>
      </c>
      <c r="AF68" s="34" t="s">
        <v>1225</v>
      </c>
      <c r="AG68" s="34" t="s">
        <v>1225</v>
      </c>
      <c r="AH68" s="34" t="s">
        <v>1225</v>
      </c>
      <c r="AI68" s="34" t="s">
        <v>1225</v>
      </c>
      <c r="AJ68" s="34" t="s">
        <v>1225</v>
      </c>
      <c r="AK68" s="34" t="s">
        <v>1225</v>
      </c>
      <c r="AL68" s="34" t="s">
        <v>1225</v>
      </c>
      <c r="AM68" s="34" t="s">
        <v>1225</v>
      </c>
      <c r="AN68" s="34" t="s">
        <v>1225</v>
      </c>
      <c r="AO68" s="34" t="s">
        <v>1225</v>
      </c>
      <c r="AP68" s="34" t="s">
        <v>1225</v>
      </c>
      <c r="AQ68" s="34" t="s">
        <v>1225</v>
      </c>
      <c r="AR68" s="34" t="s">
        <v>1225</v>
      </c>
      <c r="AS68" s="34" t="s">
        <v>1225</v>
      </c>
      <c r="AT68" s="34" t="s">
        <v>1225</v>
      </c>
      <c r="AU68" s="34" t="s">
        <v>1225</v>
      </c>
      <c r="AV68" s="34" t="s">
        <v>1225</v>
      </c>
      <c r="AW68" s="34" t="s">
        <v>1239</v>
      </c>
      <c r="AX68" s="34">
        <v>2018</v>
      </c>
      <c r="AY68" s="34">
        <v>40</v>
      </c>
      <c r="AZ68" s="34" t="s">
        <v>1225</v>
      </c>
      <c r="BA68" s="34" t="s">
        <v>1225</v>
      </c>
      <c r="BB68" s="34" t="s">
        <v>1225</v>
      </c>
      <c r="BC68" s="34" t="s">
        <v>1225</v>
      </c>
      <c r="BD68" s="34" t="s">
        <v>1225</v>
      </c>
      <c r="BE68" s="34">
        <v>91</v>
      </c>
      <c r="BF68" s="34">
        <v>100</v>
      </c>
      <c r="BG68" s="34" t="s">
        <v>1225</v>
      </c>
      <c r="BH68" s="34" t="s">
        <v>1622</v>
      </c>
      <c r="BI68" s="34" t="str">
        <f>HYPERLINK("http://dx.doi.org/10.1016/j.scs.2018.03.031","http://dx.doi.org/10.1016/j.scs.2018.03.031")</f>
        <v>http://dx.doi.org/10.1016/j.scs.2018.03.031</v>
      </c>
      <c r="BJ68" s="34" t="s">
        <v>1225</v>
      </c>
      <c r="BK68" s="34" t="s">
        <v>1225</v>
      </c>
      <c r="BL68" s="34" t="s">
        <v>1225</v>
      </c>
      <c r="BM68" s="34" t="s">
        <v>1225</v>
      </c>
      <c r="BN68" s="34" t="s">
        <v>1225</v>
      </c>
      <c r="BO68" s="34" t="s">
        <v>1225</v>
      </c>
      <c r="BP68" s="34" t="s">
        <v>1225</v>
      </c>
      <c r="BQ68" s="34" t="s">
        <v>1225</v>
      </c>
      <c r="BR68" s="34" t="s">
        <v>1225</v>
      </c>
      <c r="BS68" s="34" t="s">
        <v>1225</v>
      </c>
      <c r="BT68" s="34" t="s">
        <v>1225</v>
      </c>
      <c r="BU68" s="34" t="s">
        <v>1225</v>
      </c>
      <c r="BV68" s="34" t="s">
        <v>1225</v>
      </c>
      <c r="BW68" s="34" t="str">
        <f t="shared" si="2"/>
        <v>View Full Record in Web of Science</v>
      </c>
      <c r="BX68" s="34"/>
      <c r="BY68" s="41" t="str">
        <f>IF(Deletion!J68=TRUE,"Yes","No")</f>
        <v>Yes</v>
      </c>
    </row>
    <row r="69" spans="1:77" x14ac:dyDescent="0.15">
      <c r="A69" s="34">
        <f t="shared" ref="A69:A132" si="3">A68+1</f>
        <v>68</v>
      </c>
      <c r="B69" s="35" t="s">
        <v>1349</v>
      </c>
      <c r="C69" s="34" t="s">
        <v>1232</v>
      </c>
      <c r="D69" s="34" t="s">
        <v>1223</v>
      </c>
      <c r="E69" s="34" t="s">
        <v>1623</v>
      </c>
      <c r="F69" s="34" t="s">
        <v>1225</v>
      </c>
      <c r="G69" s="34" t="s">
        <v>1225</v>
      </c>
      <c r="H69" s="34" t="s">
        <v>1225</v>
      </c>
      <c r="I69" s="34" t="s">
        <v>1624</v>
      </c>
      <c r="J69" s="34" t="s">
        <v>1225</v>
      </c>
      <c r="K69" s="34" t="s">
        <v>1225</v>
      </c>
      <c r="L69" s="34" t="s">
        <v>1625</v>
      </c>
      <c r="M69" s="34" t="s">
        <v>97</v>
      </c>
      <c r="N69" s="34" t="s">
        <v>1225</v>
      </c>
      <c r="O69" s="34" t="s">
        <v>1225</v>
      </c>
      <c r="P69" s="34" t="s">
        <v>1225</v>
      </c>
      <c r="Q69" s="34" t="s">
        <v>1227</v>
      </c>
      <c r="R69" s="34" t="s">
        <v>1225</v>
      </c>
      <c r="S69" s="34" t="s">
        <v>1225</v>
      </c>
      <c r="T69" s="34" t="s">
        <v>1225</v>
      </c>
      <c r="U69" s="34" t="s">
        <v>1225</v>
      </c>
      <c r="V69" s="34" t="s">
        <v>1225</v>
      </c>
      <c r="W69" s="34" t="s">
        <v>1626</v>
      </c>
      <c r="X69" s="34" t="s">
        <v>1627</v>
      </c>
      <c r="Y69" s="34" t="s">
        <v>1628</v>
      </c>
      <c r="Z69" s="34" t="s">
        <v>1225</v>
      </c>
      <c r="AA69" s="34" t="s">
        <v>1225</v>
      </c>
      <c r="AB69" s="34" t="s">
        <v>1225</v>
      </c>
      <c r="AC69" s="34" t="s">
        <v>1225</v>
      </c>
      <c r="AD69" s="34" t="s">
        <v>1225</v>
      </c>
      <c r="AE69" s="34" t="s">
        <v>1225</v>
      </c>
      <c r="AF69" s="34" t="s">
        <v>1225</v>
      </c>
      <c r="AG69" s="34" t="s">
        <v>1225</v>
      </c>
      <c r="AH69" s="34" t="s">
        <v>1225</v>
      </c>
      <c r="AI69" s="34" t="s">
        <v>1225</v>
      </c>
      <c r="AJ69" s="34" t="s">
        <v>1225</v>
      </c>
      <c r="AK69" s="34" t="s">
        <v>1225</v>
      </c>
      <c r="AL69" s="34" t="s">
        <v>1225</v>
      </c>
      <c r="AM69" s="34" t="s">
        <v>1225</v>
      </c>
      <c r="AN69" s="34" t="s">
        <v>1225</v>
      </c>
      <c r="AO69" s="34" t="s">
        <v>1225</v>
      </c>
      <c r="AP69" s="34" t="s">
        <v>1225</v>
      </c>
      <c r="AQ69" s="34" t="s">
        <v>1225</v>
      </c>
      <c r="AR69" s="34" t="s">
        <v>1225</v>
      </c>
      <c r="AS69" s="34" t="s">
        <v>1225</v>
      </c>
      <c r="AT69" s="34" t="s">
        <v>1225</v>
      </c>
      <c r="AU69" s="34" t="s">
        <v>1225</v>
      </c>
      <c r="AV69" s="34" t="s">
        <v>1225</v>
      </c>
      <c r="AW69" s="34" t="s">
        <v>1565</v>
      </c>
      <c r="AX69" s="34">
        <v>2022</v>
      </c>
      <c r="AY69" s="34">
        <v>308</v>
      </c>
      <c r="AZ69" s="34" t="s">
        <v>1225</v>
      </c>
      <c r="BA69" s="34" t="s">
        <v>1225</v>
      </c>
      <c r="BB69" s="34" t="s">
        <v>1225</v>
      </c>
      <c r="BC69" s="34" t="s">
        <v>1225</v>
      </c>
      <c r="BD69" s="34" t="s">
        <v>1225</v>
      </c>
      <c r="BE69" s="34" t="s">
        <v>1225</v>
      </c>
      <c r="BF69" s="34" t="s">
        <v>1225</v>
      </c>
      <c r="BG69" s="34">
        <v>118385</v>
      </c>
      <c r="BH69" s="34" t="s">
        <v>1629</v>
      </c>
      <c r="BI69" s="34" t="str">
        <f>HYPERLINK("http://dx.doi.org/10.1016/j.apenergy.2021.118385","http://dx.doi.org/10.1016/j.apenergy.2021.118385")</f>
        <v>http://dx.doi.org/10.1016/j.apenergy.2021.118385</v>
      </c>
      <c r="BJ69" s="34" t="s">
        <v>1225</v>
      </c>
      <c r="BK69" s="34" t="s">
        <v>1225</v>
      </c>
      <c r="BL69" s="34" t="s">
        <v>1225</v>
      </c>
      <c r="BM69" s="34" t="s">
        <v>1225</v>
      </c>
      <c r="BN69" s="34" t="s">
        <v>1225</v>
      </c>
      <c r="BO69" s="34" t="s">
        <v>1225</v>
      </c>
      <c r="BP69" s="34" t="s">
        <v>1225</v>
      </c>
      <c r="BQ69" s="34" t="s">
        <v>1225</v>
      </c>
      <c r="BR69" s="34" t="s">
        <v>1225</v>
      </c>
      <c r="BS69" s="34" t="s">
        <v>1225</v>
      </c>
      <c r="BT69" s="34" t="s">
        <v>1225</v>
      </c>
      <c r="BU69" s="34" t="s">
        <v>1225</v>
      </c>
      <c r="BV69" s="34" t="s">
        <v>1225</v>
      </c>
      <c r="BW69" s="34" t="str">
        <f t="shared" si="2"/>
        <v>View Full Record in Web of Science</v>
      </c>
      <c r="BX69" s="34"/>
      <c r="BY69" s="41" t="str">
        <f>IF(Deletion!J69=TRUE,"Yes","No")</f>
        <v>Yes</v>
      </c>
    </row>
    <row r="70" spans="1:77" x14ac:dyDescent="0.15">
      <c r="A70" s="34">
        <f t="shared" si="3"/>
        <v>69</v>
      </c>
      <c r="B70" s="34" t="s">
        <v>1630</v>
      </c>
      <c r="C70" s="34" t="s">
        <v>4</v>
      </c>
      <c r="D70" s="34" t="s">
        <v>1223</v>
      </c>
      <c r="E70" s="34" t="s">
        <v>1631</v>
      </c>
      <c r="F70" s="34" t="s">
        <v>1225</v>
      </c>
      <c r="G70" s="34" t="s">
        <v>1225</v>
      </c>
      <c r="H70" s="34" t="s">
        <v>1225</v>
      </c>
      <c r="I70" s="34" t="s">
        <v>1632</v>
      </c>
      <c r="J70" s="34" t="s">
        <v>1225</v>
      </c>
      <c r="K70" s="34" t="s">
        <v>1225</v>
      </c>
      <c r="L70" s="34" t="s">
        <v>1633</v>
      </c>
      <c r="M70" s="34" t="s">
        <v>1634</v>
      </c>
      <c r="N70" s="34" t="s">
        <v>1225</v>
      </c>
      <c r="O70" s="34" t="s">
        <v>1225</v>
      </c>
      <c r="P70" s="34" t="s">
        <v>1225</v>
      </c>
      <c r="Q70" s="34" t="s">
        <v>1227</v>
      </c>
      <c r="R70" s="34" t="s">
        <v>1225</v>
      </c>
      <c r="S70" s="34" t="s">
        <v>1225</v>
      </c>
      <c r="T70" s="34" t="s">
        <v>1225</v>
      </c>
      <c r="U70" s="34" t="s">
        <v>1225</v>
      </c>
      <c r="V70" s="34" t="s">
        <v>1225</v>
      </c>
      <c r="W70" s="34" t="s">
        <v>1635</v>
      </c>
      <c r="X70" s="34" t="s">
        <v>1636</v>
      </c>
      <c r="Y70" s="34" t="s">
        <v>1637</v>
      </c>
      <c r="Z70" s="34" t="s">
        <v>1225</v>
      </c>
      <c r="AA70" s="34" t="s">
        <v>1225</v>
      </c>
      <c r="AB70" s="34" t="s">
        <v>1225</v>
      </c>
      <c r="AC70" s="34" t="s">
        <v>1225</v>
      </c>
      <c r="AD70" s="34" t="s">
        <v>1225</v>
      </c>
      <c r="AE70" s="34" t="s">
        <v>1225</v>
      </c>
      <c r="AF70" s="34" t="s">
        <v>1225</v>
      </c>
      <c r="AG70" s="34" t="s">
        <v>1225</v>
      </c>
      <c r="AH70" s="34" t="s">
        <v>1225</v>
      </c>
      <c r="AI70" s="34" t="s">
        <v>1225</v>
      </c>
      <c r="AJ70" s="34" t="s">
        <v>1225</v>
      </c>
      <c r="AK70" s="34" t="s">
        <v>1225</v>
      </c>
      <c r="AL70" s="34" t="s">
        <v>1225</v>
      </c>
      <c r="AM70" s="34" t="s">
        <v>1225</v>
      </c>
      <c r="AN70" s="34" t="s">
        <v>1225</v>
      </c>
      <c r="AO70" s="34" t="s">
        <v>1225</v>
      </c>
      <c r="AP70" s="34" t="s">
        <v>1225</v>
      </c>
      <c r="AQ70" s="34" t="s">
        <v>1225</v>
      </c>
      <c r="AR70" s="34" t="s">
        <v>1225</v>
      </c>
      <c r="AS70" s="34" t="s">
        <v>1225</v>
      </c>
      <c r="AT70" s="34" t="s">
        <v>1225</v>
      </c>
      <c r="AU70" s="34" t="s">
        <v>1225</v>
      </c>
      <c r="AV70" s="34" t="s">
        <v>1225</v>
      </c>
      <c r="AW70" s="34" t="s">
        <v>1317</v>
      </c>
      <c r="AX70" s="34">
        <v>2021</v>
      </c>
      <c r="AY70" s="34">
        <v>11</v>
      </c>
      <c r="AZ70" s="34">
        <v>1</v>
      </c>
      <c r="BA70" s="34" t="s">
        <v>1225</v>
      </c>
      <c r="BB70" s="34" t="s">
        <v>1225</v>
      </c>
      <c r="BC70" s="34" t="s">
        <v>1225</v>
      </c>
      <c r="BD70" s="34" t="s">
        <v>1225</v>
      </c>
      <c r="BE70" s="34" t="s">
        <v>1225</v>
      </c>
      <c r="BF70" s="34" t="s">
        <v>1225</v>
      </c>
      <c r="BG70" s="34">
        <v>245</v>
      </c>
      <c r="BH70" s="34" t="s">
        <v>1638</v>
      </c>
      <c r="BI70" s="34" t="str">
        <f>HYPERLINK("http://dx.doi.org/10.3390/app11010245","http://dx.doi.org/10.3390/app11010245")</f>
        <v>http://dx.doi.org/10.3390/app11010245</v>
      </c>
      <c r="BJ70" s="34" t="s">
        <v>1225</v>
      </c>
      <c r="BK70" s="34" t="s">
        <v>1225</v>
      </c>
      <c r="BL70" s="34" t="s">
        <v>1225</v>
      </c>
      <c r="BM70" s="34" t="s">
        <v>1225</v>
      </c>
      <c r="BN70" s="34" t="s">
        <v>1225</v>
      </c>
      <c r="BO70" s="34" t="s">
        <v>1225</v>
      </c>
      <c r="BP70" s="34" t="s">
        <v>1225</v>
      </c>
      <c r="BQ70" s="34" t="s">
        <v>1225</v>
      </c>
      <c r="BR70" s="34" t="s">
        <v>1225</v>
      </c>
      <c r="BS70" s="34" t="s">
        <v>1225</v>
      </c>
      <c r="BT70" s="34" t="s">
        <v>1225</v>
      </c>
      <c r="BU70" s="34" t="s">
        <v>1225</v>
      </c>
      <c r="BV70" s="34" t="s">
        <v>1225</v>
      </c>
      <c r="BW70" s="34" t="str">
        <f t="shared" si="2"/>
        <v>View Full Record in Web of Science</v>
      </c>
      <c r="BX70" s="34"/>
      <c r="BY70" s="41" t="str">
        <f>IF(Deletion!J70=TRUE,"Yes","No")</f>
        <v>Yes</v>
      </c>
    </row>
    <row r="71" spans="1:77" x14ac:dyDescent="0.15">
      <c r="A71" s="34">
        <f t="shared" si="3"/>
        <v>70</v>
      </c>
      <c r="B71" s="35" t="s">
        <v>1349</v>
      </c>
      <c r="C71" s="34" t="s">
        <v>4</v>
      </c>
      <c r="D71" s="34" t="s">
        <v>1223</v>
      </c>
      <c r="E71" s="34" t="s">
        <v>1639</v>
      </c>
      <c r="F71" s="34" t="s">
        <v>1225</v>
      </c>
      <c r="G71" s="34" t="s">
        <v>1225</v>
      </c>
      <c r="H71" s="34" t="s">
        <v>1225</v>
      </c>
      <c r="I71" s="34" t="s">
        <v>544</v>
      </c>
      <c r="J71" s="34" t="s">
        <v>1225</v>
      </c>
      <c r="K71" s="34" t="s">
        <v>1225</v>
      </c>
      <c r="L71" s="34" t="s">
        <v>1640</v>
      </c>
      <c r="M71" s="34" t="s">
        <v>1322</v>
      </c>
      <c r="N71" s="34" t="s">
        <v>1225</v>
      </c>
      <c r="O71" s="34" t="s">
        <v>1225</v>
      </c>
      <c r="P71" s="34" t="s">
        <v>1225</v>
      </c>
      <c r="Q71" s="34" t="s">
        <v>1227</v>
      </c>
      <c r="R71" s="34" t="s">
        <v>1225</v>
      </c>
      <c r="S71" s="34" t="s">
        <v>1225</v>
      </c>
      <c r="T71" s="34" t="s">
        <v>1225</v>
      </c>
      <c r="U71" s="34" t="s">
        <v>1225</v>
      </c>
      <c r="V71" s="34" t="s">
        <v>1225</v>
      </c>
      <c r="W71" s="34" t="s">
        <v>1641</v>
      </c>
      <c r="X71" s="34" t="s">
        <v>1642</v>
      </c>
      <c r="Y71" s="34" t="s">
        <v>1643</v>
      </c>
      <c r="Z71" s="34" t="s">
        <v>1225</v>
      </c>
      <c r="AA71" s="34" t="s">
        <v>1225</v>
      </c>
      <c r="AB71" s="34" t="s">
        <v>1225</v>
      </c>
      <c r="AC71" s="34" t="s">
        <v>1225</v>
      </c>
      <c r="AD71" s="34" t="s">
        <v>1225</v>
      </c>
      <c r="AE71" s="34" t="s">
        <v>1225</v>
      </c>
      <c r="AF71" s="34" t="s">
        <v>1225</v>
      </c>
      <c r="AG71" s="34" t="s">
        <v>1225</v>
      </c>
      <c r="AH71" s="34" t="s">
        <v>1225</v>
      </c>
      <c r="AI71" s="34" t="s">
        <v>1225</v>
      </c>
      <c r="AJ71" s="34" t="s">
        <v>1225</v>
      </c>
      <c r="AK71" s="34" t="s">
        <v>1225</v>
      </c>
      <c r="AL71" s="34" t="s">
        <v>1225</v>
      </c>
      <c r="AM71" s="34" t="s">
        <v>1225</v>
      </c>
      <c r="AN71" s="34" t="s">
        <v>1225</v>
      </c>
      <c r="AO71" s="34" t="s">
        <v>1225</v>
      </c>
      <c r="AP71" s="34" t="s">
        <v>1225</v>
      </c>
      <c r="AQ71" s="34" t="s">
        <v>1225</v>
      </c>
      <c r="AR71" s="34" t="s">
        <v>1225</v>
      </c>
      <c r="AS71" s="34" t="s">
        <v>1225</v>
      </c>
      <c r="AT71" s="34" t="s">
        <v>1225</v>
      </c>
      <c r="AU71" s="34" t="s">
        <v>1225</v>
      </c>
      <c r="AV71" s="34" t="s">
        <v>1225</v>
      </c>
      <c r="AW71" s="34" t="s">
        <v>1272</v>
      </c>
      <c r="AX71" s="34">
        <v>2020</v>
      </c>
      <c r="AY71" s="34">
        <v>8</v>
      </c>
      <c r="AZ71" s="34">
        <v>2</v>
      </c>
      <c r="BA71" s="34" t="s">
        <v>1225</v>
      </c>
      <c r="BB71" s="34" t="s">
        <v>1225</v>
      </c>
      <c r="BC71" s="34" t="s">
        <v>1225</v>
      </c>
      <c r="BD71" s="34" t="s">
        <v>1225</v>
      </c>
      <c r="BE71" s="34">
        <v>356</v>
      </c>
      <c r="BF71" s="34">
        <v>366</v>
      </c>
      <c r="BG71" s="34" t="s">
        <v>1225</v>
      </c>
      <c r="BH71" s="34" t="s">
        <v>1644</v>
      </c>
      <c r="BI71" s="34" t="str">
        <f>HYPERLINK("http://dx.doi.org/10.35833/MPCE.2018.000840","http://dx.doi.org/10.35833/MPCE.2018.000840")</f>
        <v>http://dx.doi.org/10.35833/MPCE.2018.000840</v>
      </c>
      <c r="BJ71" s="34" t="s">
        <v>1225</v>
      </c>
      <c r="BK71" s="34" t="s">
        <v>1225</v>
      </c>
      <c r="BL71" s="34" t="s">
        <v>1225</v>
      </c>
      <c r="BM71" s="34" t="s">
        <v>1225</v>
      </c>
      <c r="BN71" s="34" t="s">
        <v>1225</v>
      </c>
      <c r="BO71" s="34" t="s">
        <v>1225</v>
      </c>
      <c r="BP71" s="34" t="s">
        <v>1225</v>
      </c>
      <c r="BQ71" s="34" t="s">
        <v>1225</v>
      </c>
      <c r="BR71" s="34" t="s">
        <v>1225</v>
      </c>
      <c r="BS71" s="34" t="s">
        <v>1225</v>
      </c>
      <c r="BT71" s="34" t="s">
        <v>1225</v>
      </c>
      <c r="BU71" s="34" t="s">
        <v>1225</v>
      </c>
      <c r="BV71" s="34" t="s">
        <v>1225</v>
      </c>
      <c r="BW71" s="34" t="str">
        <f t="shared" si="2"/>
        <v>View Full Record in Web of Science</v>
      </c>
      <c r="BX71" s="34"/>
      <c r="BY71" s="41" t="str">
        <f>IF(Deletion!J71=TRUE,"Yes","No")</f>
        <v>Yes</v>
      </c>
    </row>
    <row r="72" spans="1:77" x14ac:dyDescent="0.15">
      <c r="A72" s="40">
        <f t="shared" si="3"/>
        <v>71</v>
      </c>
      <c r="B72" s="40" t="s">
        <v>1598</v>
      </c>
      <c r="C72" s="40" t="s">
        <v>1241</v>
      </c>
      <c r="D72" s="40" t="s">
        <v>1223</v>
      </c>
      <c r="E72" s="40" t="s">
        <v>1645</v>
      </c>
      <c r="F72" s="40" t="s">
        <v>1225</v>
      </c>
      <c r="G72" s="40" t="s">
        <v>1225</v>
      </c>
      <c r="H72" s="40" t="s">
        <v>1225</v>
      </c>
      <c r="I72" s="40" t="s">
        <v>503</v>
      </c>
      <c r="J72" s="40" t="s">
        <v>1225</v>
      </c>
      <c r="K72" s="40" t="s">
        <v>1225</v>
      </c>
      <c r="L72" s="40" t="s">
        <v>501</v>
      </c>
      <c r="M72" s="40" t="s">
        <v>502</v>
      </c>
      <c r="N72" s="40" t="s">
        <v>1225</v>
      </c>
      <c r="O72" s="40" t="s">
        <v>1225</v>
      </c>
      <c r="P72" s="40" t="s">
        <v>1225</v>
      </c>
      <c r="Q72" s="40" t="s">
        <v>1227</v>
      </c>
      <c r="R72" s="40" t="s">
        <v>1225</v>
      </c>
      <c r="S72" s="40" t="s">
        <v>1225</v>
      </c>
      <c r="T72" s="40" t="s">
        <v>1225</v>
      </c>
      <c r="U72" s="40" t="s">
        <v>1225</v>
      </c>
      <c r="V72" s="40" t="s">
        <v>1225</v>
      </c>
      <c r="W72" s="40" t="s">
        <v>505</v>
      </c>
      <c r="X72" s="40" t="s">
        <v>1646</v>
      </c>
      <c r="Y72" s="40" t="s">
        <v>504</v>
      </c>
      <c r="Z72" s="40" t="s">
        <v>1225</v>
      </c>
      <c r="AA72" s="40" t="s">
        <v>1225</v>
      </c>
      <c r="AB72" s="40" t="s">
        <v>1225</v>
      </c>
      <c r="AC72" s="40" t="s">
        <v>1225</v>
      </c>
      <c r="AD72" s="40" t="s">
        <v>1225</v>
      </c>
      <c r="AE72" s="40" t="s">
        <v>1225</v>
      </c>
      <c r="AF72" s="40" t="s">
        <v>1225</v>
      </c>
      <c r="AG72" s="40" t="s">
        <v>1225</v>
      </c>
      <c r="AH72" s="40" t="s">
        <v>1225</v>
      </c>
      <c r="AI72" s="40" t="s">
        <v>1225</v>
      </c>
      <c r="AJ72" s="40" t="s">
        <v>1225</v>
      </c>
      <c r="AK72" s="40" t="s">
        <v>1225</v>
      </c>
      <c r="AL72" s="40" t="s">
        <v>1225</v>
      </c>
      <c r="AM72" s="40" t="s">
        <v>1225</v>
      </c>
      <c r="AN72" s="40" t="s">
        <v>1225</v>
      </c>
      <c r="AO72" s="40" t="s">
        <v>1225</v>
      </c>
      <c r="AP72" s="40" t="s">
        <v>1225</v>
      </c>
      <c r="AQ72" s="40" t="s">
        <v>1225</v>
      </c>
      <c r="AR72" s="40" t="s">
        <v>1225</v>
      </c>
      <c r="AS72" s="40" t="s">
        <v>1225</v>
      </c>
      <c r="AT72" s="40" t="s">
        <v>1225</v>
      </c>
      <c r="AU72" s="40" t="s">
        <v>1225</v>
      </c>
      <c r="AV72" s="40" t="s">
        <v>1225</v>
      </c>
      <c r="AW72" s="40" t="s">
        <v>1647</v>
      </c>
      <c r="AX72" s="40">
        <v>2022</v>
      </c>
      <c r="AY72" s="40">
        <v>250</v>
      </c>
      <c r="AZ72" s="40" t="s">
        <v>1225</v>
      </c>
      <c r="BA72" s="40" t="s">
        <v>1225</v>
      </c>
      <c r="BB72" s="40" t="s">
        <v>1225</v>
      </c>
      <c r="BC72" s="40" t="s">
        <v>1225</v>
      </c>
      <c r="BD72" s="40" t="s">
        <v>1225</v>
      </c>
      <c r="BE72" s="40" t="s">
        <v>1225</v>
      </c>
      <c r="BF72" s="40" t="s">
        <v>1225</v>
      </c>
      <c r="BG72" s="40">
        <v>123724</v>
      </c>
      <c r="BH72" s="40" t="s">
        <v>1648</v>
      </c>
      <c r="BI72" s="40" t="str">
        <f>HYPERLINK("http://dx.doi.org/10.1016/j.energy.2022.123724","http://dx.doi.org/10.1016/j.energy.2022.123724")</f>
        <v>http://dx.doi.org/10.1016/j.energy.2022.123724</v>
      </c>
      <c r="BJ72" s="40" t="s">
        <v>1225</v>
      </c>
      <c r="BK72" s="40" t="s">
        <v>1225</v>
      </c>
      <c r="BL72" s="40" t="s">
        <v>1225</v>
      </c>
      <c r="BM72" s="40" t="s">
        <v>1225</v>
      </c>
      <c r="BN72" s="40" t="s">
        <v>1225</v>
      </c>
      <c r="BO72" s="40" t="s">
        <v>1225</v>
      </c>
      <c r="BP72" s="40" t="s">
        <v>1225</v>
      </c>
      <c r="BQ72" s="40" t="s">
        <v>1225</v>
      </c>
      <c r="BR72" s="40" t="s">
        <v>1225</v>
      </c>
      <c r="BS72" s="40" t="s">
        <v>1225</v>
      </c>
      <c r="BT72" s="40" t="s">
        <v>1225</v>
      </c>
      <c r="BU72" s="40" t="s">
        <v>1225</v>
      </c>
      <c r="BV72" s="40" t="s">
        <v>1225</v>
      </c>
      <c r="BW72" s="40" t="str">
        <f t="shared" si="2"/>
        <v>View Full Record in Web of Science</v>
      </c>
      <c r="BX72" s="40"/>
      <c r="BY72" s="41" t="str">
        <f>IF(Deletion!J72=TRUE,"Yes","No")</f>
        <v>Yes</v>
      </c>
    </row>
    <row r="73" spans="1:77" x14ac:dyDescent="0.15">
      <c r="A73" s="34">
        <f t="shared" si="3"/>
        <v>72</v>
      </c>
      <c r="B73" s="35" t="s">
        <v>1649</v>
      </c>
      <c r="C73" s="34" t="s">
        <v>1232</v>
      </c>
      <c r="D73" s="34" t="s">
        <v>1223</v>
      </c>
      <c r="E73" s="34" t="s">
        <v>1650</v>
      </c>
      <c r="F73" s="34" t="s">
        <v>1225</v>
      </c>
      <c r="G73" s="34" t="s">
        <v>1225</v>
      </c>
      <c r="H73" s="34" t="s">
        <v>1225</v>
      </c>
      <c r="I73" s="34" t="s">
        <v>1651</v>
      </c>
      <c r="J73" s="34" t="s">
        <v>1225</v>
      </c>
      <c r="K73" s="34" t="s">
        <v>1225</v>
      </c>
      <c r="L73" s="34" t="s">
        <v>1652</v>
      </c>
      <c r="M73" s="34" t="s">
        <v>278</v>
      </c>
      <c r="N73" s="34" t="s">
        <v>1225</v>
      </c>
      <c r="O73" s="34" t="s">
        <v>1225</v>
      </c>
      <c r="P73" s="34" t="s">
        <v>1225</v>
      </c>
      <c r="Q73" s="34" t="s">
        <v>1227</v>
      </c>
      <c r="R73" s="34" t="s">
        <v>1225</v>
      </c>
      <c r="S73" s="34" t="s">
        <v>1225</v>
      </c>
      <c r="T73" s="34" t="s">
        <v>1225</v>
      </c>
      <c r="U73" s="34" t="s">
        <v>1225</v>
      </c>
      <c r="V73" s="34" t="s">
        <v>1225</v>
      </c>
      <c r="W73" s="34" t="s">
        <v>1653</v>
      </c>
      <c r="X73" s="34" t="s">
        <v>1654</v>
      </c>
      <c r="Y73" s="34" t="s">
        <v>1655</v>
      </c>
      <c r="Z73" s="34" t="s">
        <v>1225</v>
      </c>
      <c r="AA73" s="34" t="s">
        <v>1225</v>
      </c>
      <c r="AB73" s="34" t="s">
        <v>1225</v>
      </c>
      <c r="AC73" s="34" t="s">
        <v>1225</v>
      </c>
      <c r="AD73" s="34" t="s">
        <v>1225</v>
      </c>
      <c r="AE73" s="34" t="s">
        <v>1225</v>
      </c>
      <c r="AF73" s="34" t="s">
        <v>1225</v>
      </c>
      <c r="AG73" s="34" t="s">
        <v>1225</v>
      </c>
      <c r="AH73" s="34" t="s">
        <v>1225</v>
      </c>
      <c r="AI73" s="34" t="s">
        <v>1225</v>
      </c>
      <c r="AJ73" s="34" t="s">
        <v>1225</v>
      </c>
      <c r="AK73" s="34" t="s">
        <v>1225</v>
      </c>
      <c r="AL73" s="34" t="s">
        <v>1225</v>
      </c>
      <c r="AM73" s="34" t="s">
        <v>1225</v>
      </c>
      <c r="AN73" s="34" t="s">
        <v>1225</v>
      </c>
      <c r="AO73" s="34" t="s">
        <v>1225</v>
      </c>
      <c r="AP73" s="34" t="s">
        <v>1225</v>
      </c>
      <c r="AQ73" s="34" t="s">
        <v>1225</v>
      </c>
      <c r="AR73" s="34" t="s">
        <v>1225</v>
      </c>
      <c r="AS73" s="34" t="s">
        <v>1225</v>
      </c>
      <c r="AT73" s="34" t="s">
        <v>1225</v>
      </c>
      <c r="AU73" s="34" t="s">
        <v>1225</v>
      </c>
      <c r="AV73" s="34" t="s">
        <v>1225</v>
      </c>
      <c r="AW73" s="34" t="s">
        <v>1229</v>
      </c>
      <c r="AX73" s="34">
        <v>2021</v>
      </c>
      <c r="AY73" s="34">
        <v>74</v>
      </c>
      <c r="AZ73" s="34" t="s">
        <v>1225</v>
      </c>
      <c r="BA73" s="34" t="s">
        <v>1225</v>
      </c>
      <c r="BB73" s="34" t="s">
        <v>1225</v>
      </c>
      <c r="BC73" s="34" t="s">
        <v>1225</v>
      </c>
      <c r="BD73" s="34" t="s">
        <v>1225</v>
      </c>
      <c r="BE73" s="34" t="s">
        <v>1225</v>
      </c>
      <c r="BF73" s="34" t="s">
        <v>1225</v>
      </c>
      <c r="BG73" s="34">
        <v>103150</v>
      </c>
      <c r="BH73" s="34" t="s">
        <v>1656</v>
      </c>
      <c r="BI73" s="34" t="str">
        <f>HYPERLINK("http://dx.doi.org/10.1016/j.scs.2021.103150","http://dx.doi.org/10.1016/j.scs.2021.103150")</f>
        <v>http://dx.doi.org/10.1016/j.scs.2021.103150</v>
      </c>
      <c r="BJ73" s="34" t="s">
        <v>1225</v>
      </c>
      <c r="BK73" s="34" t="s">
        <v>1657</v>
      </c>
      <c r="BL73" s="34" t="s">
        <v>1225</v>
      </c>
      <c r="BM73" s="34" t="s">
        <v>1225</v>
      </c>
      <c r="BN73" s="34" t="s">
        <v>1225</v>
      </c>
      <c r="BO73" s="34" t="s">
        <v>1225</v>
      </c>
      <c r="BP73" s="34" t="s">
        <v>1225</v>
      </c>
      <c r="BQ73" s="34" t="s">
        <v>1225</v>
      </c>
      <c r="BR73" s="34" t="s">
        <v>1225</v>
      </c>
      <c r="BS73" s="34" t="s">
        <v>1225</v>
      </c>
      <c r="BT73" s="34" t="s">
        <v>1225</v>
      </c>
      <c r="BU73" s="34" t="s">
        <v>1225</v>
      </c>
      <c r="BV73" s="34" t="s">
        <v>1225</v>
      </c>
      <c r="BW73" s="34" t="str">
        <f t="shared" si="2"/>
        <v>View Full Record in Web of Science</v>
      </c>
      <c r="BX73" s="34"/>
      <c r="BY73" s="41" t="str">
        <f>IF(Deletion!J73=TRUE,"Yes","No")</f>
        <v>Yes</v>
      </c>
    </row>
    <row r="74" spans="1:77" x14ac:dyDescent="0.15">
      <c r="A74" s="34">
        <f t="shared" si="3"/>
        <v>73</v>
      </c>
      <c r="B74" s="35" t="s">
        <v>1658</v>
      </c>
      <c r="C74" s="34" t="s">
        <v>1232</v>
      </c>
      <c r="D74" s="34" t="s">
        <v>1223</v>
      </c>
      <c r="E74" s="34" t="s">
        <v>1659</v>
      </c>
      <c r="F74" s="34" t="s">
        <v>1225</v>
      </c>
      <c r="G74" s="34" t="s">
        <v>1225</v>
      </c>
      <c r="H74" s="34" t="s">
        <v>1225</v>
      </c>
      <c r="I74" s="34" t="s">
        <v>1660</v>
      </c>
      <c r="J74" s="34" t="s">
        <v>1225</v>
      </c>
      <c r="K74" s="34" t="s">
        <v>1225</v>
      </c>
      <c r="L74" s="34" t="s">
        <v>1661</v>
      </c>
      <c r="M74" s="34" t="s">
        <v>1562</v>
      </c>
      <c r="N74" s="34" t="s">
        <v>1225</v>
      </c>
      <c r="O74" s="34" t="s">
        <v>1225</v>
      </c>
      <c r="P74" s="34" t="s">
        <v>1225</v>
      </c>
      <c r="Q74" s="34" t="s">
        <v>1227</v>
      </c>
      <c r="R74" s="34" t="s">
        <v>1225</v>
      </c>
      <c r="S74" s="34" t="s">
        <v>1225</v>
      </c>
      <c r="T74" s="34" t="s">
        <v>1225</v>
      </c>
      <c r="U74" s="34" t="s">
        <v>1225</v>
      </c>
      <c r="V74" s="34" t="s">
        <v>1225</v>
      </c>
      <c r="W74" s="34" t="s">
        <v>1662</v>
      </c>
      <c r="X74" s="34" t="s">
        <v>1225</v>
      </c>
      <c r="Y74" s="34" t="s">
        <v>1663</v>
      </c>
      <c r="Z74" s="34" t="s">
        <v>1225</v>
      </c>
      <c r="AA74" s="34" t="s">
        <v>1225</v>
      </c>
      <c r="AB74" s="34" t="s">
        <v>1225</v>
      </c>
      <c r="AC74" s="34" t="s">
        <v>1225</v>
      </c>
      <c r="AD74" s="34" t="s">
        <v>1225</v>
      </c>
      <c r="AE74" s="34" t="s">
        <v>1225</v>
      </c>
      <c r="AF74" s="34" t="s">
        <v>1225</v>
      </c>
      <c r="AG74" s="34" t="s">
        <v>1225</v>
      </c>
      <c r="AH74" s="34" t="s">
        <v>1225</v>
      </c>
      <c r="AI74" s="34" t="s">
        <v>1225</v>
      </c>
      <c r="AJ74" s="34" t="s">
        <v>1225</v>
      </c>
      <c r="AK74" s="34" t="s">
        <v>1225</v>
      </c>
      <c r="AL74" s="34" t="s">
        <v>1225</v>
      </c>
      <c r="AM74" s="34" t="s">
        <v>1225</v>
      </c>
      <c r="AN74" s="34" t="s">
        <v>1225</v>
      </c>
      <c r="AO74" s="34" t="s">
        <v>1225</v>
      </c>
      <c r="AP74" s="34" t="s">
        <v>1225</v>
      </c>
      <c r="AQ74" s="34" t="s">
        <v>1225</v>
      </c>
      <c r="AR74" s="34" t="s">
        <v>1225</v>
      </c>
      <c r="AS74" s="34" t="s">
        <v>1225</v>
      </c>
      <c r="AT74" s="34" t="s">
        <v>1225</v>
      </c>
      <c r="AU74" s="34" t="s">
        <v>1225</v>
      </c>
      <c r="AV74" s="34" t="s">
        <v>1225</v>
      </c>
      <c r="AW74" s="34" t="s">
        <v>1461</v>
      </c>
      <c r="AX74" s="34">
        <v>2011</v>
      </c>
      <c r="AY74" s="34">
        <v>196</v>
      </c>
      <c r="AZ74" s="34">
        <v>22</v>
      </c>
      <c r="BA74" s="34" t="s">
        <v>1225</v>
      </c>
      <c r="BB74" s="34" t="s">
        <v>1225</v>
      </c>
      <c r="BC74" s="34" t="s">
        <v>1225</v>
      </c>
      <c r="BD74" s="34" t="s">
        <v>1225</v>
      </c>
      <c r="BE74" s="34">
        <v>9574</v>
      </c>
      <c r="BF74" s="34">
        <v>9578</v>
      </c>
      <c r="BG74" s="34" t="s">
        <v>1225</v>
      </c>
      <c r="BH74" s="34" t="s">
        <v>1664</v>
      </c>
      <c r="BI74" s="34" t="str">
        <f>HYPERLINK("http://dx.doi.org/10.1016/j.jpowsour.2011.07.074","http://dx.doi.org/10.1016/j.jpowsour.2011.07.074")</f>
        <v>http://dx.doi.org/10.1016/j.jpowsour.2011.07.074</v>
      </c>
      <c r="BJ74" s="34" t="s">
        <v>1225</v>
      </c>
      <c r="BK74" s="34" t="s">
        <v>1225</v>
      </c>
      <c r="BL74" s="34" t="s">
        <v>1225</v>
      </c>
      <c r="BM74" s="34" t="s">
        <v>1225</v>
      </c>
      <c r="BN74" s="34" t="s">
        <v>1225</v>
      </c>
      <c r="BO74" s="34" t="s">
        <v>1225</v>
      </c>
      <c r="BP74" s="34" t="s">
        <v>1225</v>
      </c>
      <c r="BQ74" s="34" t="s">
        <v>1225</v>
      </c>
      <c r="BR74" s="34" t="s">
        <v>1225</v>
      </c>
      <c r="BS74" s="34" t="s">
        <v>1225</v>
      </c>
      <c r="BT74" s="34" t="s">
        <v>1225</v>
      </c>
      <c r="BU74" s="34" t="s">
        <v>1225</v>
      </c>
      <c r="BV74" s="34" t="s">
        <v>1225</v>
      </c>
      <c r="BW74" s="34" t="str">
        <f t="shared" si="2"/>
        <v>View Full Record in Web of Science</v>
      </c>
      <c r="BX74" s="34"/>
      <c r="BY74" s="41" t="str">
        <f>IF(Deletion!J74=TRUE,"Yes","No")</f>
        <v>Yes</v>
      </c>
    </row>
    <row r="75" spans="1:77" x14ac:dyDescent="0.15">
      <c r="A75" s="34">
        <f t="shared" si="3"/>
        <v>74</v>
      </c>
      <c r="B75" s="35" t="s">
        <v>1665</v>
      </c>
      <c r="C75" s="34" t="s">
        <v>1232</v>
      </c>
      <c r="D75" s="34" t="s">
        <v>1223</v>
      </c>
      <c r="E75" s="34" t="s">
        <v>1666</v>
      </c>
      <c r="F75" s="34" t="s">
        <v>1225</v>
      </c>
      <c r="G75" s="34" t="s">
        <v>1225</v>
      </c>
      <c r="H75" s="34" t="s">
        <v>1225</v>
      </c>
      <c r="I75" s="34" t="s">
        <v>1667</v>
      </c>
      <c r="J75" s="34" t="s">
        <v>1225</v>
      </c>
      <c r="K75" s="34" t="s">
        <v>1225</v>
      </c>
      <c r="L75" s="34" t="s">
        <v>1668</v>
      </c>
      <c r="M75" s="34" t="s">
        <v>1669</v>
      </c>
      <c r="N75" s="34" t="s">
        <v>1225</v>
      </c>
      <c r="O75" s="34" t="s">
        <v>1225</v>
      </c>
      <c r="P75" s="34" t="s">
        <v>1225</v>
      </c>
      <c r="Q75" s="34" t="s">
        <v>1227</v>
      </c>
      <c r="R75" s="34" t="s">
        <v>1225</v>
      </c>
      <c r="S75" s="34" t="s">
        <v>1225</v>
      </c>
      <c r="T75" s="34" t="s">
        <v>1225</v>
      </c>
      <c r="U75" s="34" t="s">
        <v>1225</v>
      </c>
      <c r="V75" s="34" t="s">
        <v>1225</v>
      </c>
      <c r="W75" s="34" t="s">
        <v>1670</v>
      </c>
      <c r="X75" s="34" t="s">
        <v>1259</v>
      </c>
      <c r="Y75" s="34" t="s">
        <v>1671</v>
      </c>
      <c r="Z75" s="34" t="s">
        <v>1225</v>
      </c>
      <c r="AA75" s="34" t="s">
        <v>1225</v>
      </c>
      <c r="AB75" s="34" t="s">
        <v>1225</v>
      </c>
      <c r="AC75" s="34" t="s">
        <v>1225</v>
      </c>
      <c r="AD75" s="34" t="s">
        <v>1225</v>
      </c>
      <c r="AE75" s="34" t="s">
        <v>1225</v>
      </c>
      <c r="AF75" s="34" t="s">
        <v>1225</v>
      </c>
      <c r="AG75" s="34" t="s">
        <v>1225</v>
      </c>
      <c r="AH75" s="34" t="s">
        <v>1225</v>
      </c>
      <c r="AI75" s="34" t="s">
        <v>1225</v>
      </c>
      <c r="AJ75" s="34" t="s">
        <v>1225</v>
      </c>
      <c r="AK75" s="34" t="s">
        <v>1225</v>
      </c>
      <c r="AL75" s="34" t="s">
        <v>1225</v>
      </c>
      <c r="AM75" s="34" t="s">
        <v>1225</v>
      </c>
      <c r="AN75" s="34" t="s">
        <v>1225</v>
      </c>
      <c r="AO75" s="34" t="s">
        <v>1225</v>
      </c>
      <c r="AP75" s="34" t="s">
        <v>1225</v>
      </c>
      <c r="AQ75" s="34" t="s">
        <v>1225</v>
      </c>
      <c r="AR75" s="34" t="s">
        <v>1225</v>
      </c>
      <c r="AS75" s="34" t="s">
        <v>1225</v>
      </c>
      <c r="AT75" s="34" t="s">
        <v>1225</v>
      </c>
      <c r="AU75" s="34" t="s">
        <v>1225</v>
      </c>
      <c r="AV75" s="34" t="s">
        <v>1225</v>
      </c>
      <c r="AW75" s="34" t="s">
        <v>1285</v>
      </c>
      <c r="AX75" s="34">
        <v>2022</v>
      </c>
      <c r="AY75" s="34">
        <v>100</v>
      </c>
      <c r="AZ75" s="34" t="s">
        <v>1225</v>
      </c>
      <c r="BA75" s="34" t="s">
        <v>1225</v>
      </c>
      <c r="BB75" s="34" t="s">
        <v>1225</v>
      </c>
      <c r="BC75" s="34" t="s">
        <v>1225</v>
      </c>
      <c r="BD75" s="34" t="s">
        <v>1225</v>
      </c>
      <c r="BE75" s="34" t="s">
        <v>1225</v>
      </c>
      <c r="BF75" s="34" t="s">
        <v>1225</v>
      </c>
      <c r="BG75" s="34">
        <v>107949</v>
      </c>
      <c r="BH75" s="34" t="s">
        <v>1672</v>
      </c>
      <c r="BI75" s="34" t="str">
        <f>HYPERLINK("http://dx.doi.org/10.1016/j.compeleceng.2022.107949","http://dx.doi.org/10.1016/j.compeleceng.2022.107949")</f>
        <v>http://dx.doi.org/10.1016/j.compeleceng.2022.107949</v>
      </c>
      <c r="BJ75" s="34" t="s">
        <v>1225</v>
      </c>
      <c r="BK75" s="34" t="s">
        <v>1225</v>
      </c>
      <c r="BL75" s="34" t="s">
        <v>1225</v>
      </c>
      <c r="BM75" s="34" t="s">
        <v>1225</v>
      </c>
      <c r="BN75" s="34" t="s">
        <v>1225</v>
      </c>
      <c r="BO75" s="34" t="s">
        <v>1225</v>
      </c>
      <c r="BP75" s="34" t="s">
        <v>1225</v>
      </c>
      <c r="BQ75" s="34" t="s">
        <v>1225</v>
      </c>
      <c r="BR75" s="34" t="s">
        <v>1225</v>
      </c>
      <c r="BS75" s="34" t="s">
        <v>1225</v>
      </c>
      <c r="BT75" s="34" t="s">
        <v>1225</v>
      </c>
      <c r="BU75" s="34" t="s">
        <v>1225</v>
      </c>
      <c r="BV75" s="34" t="s">
        <v>1225</v>
      </c>
      <c r="BW75" s="34" t="str">
        <f t="shared" si="2"/>
        <v>View Full Record in Web of Science</v>
      </c>
      <c r="BX75" s="34"/>
      <c r="BY75" s="41" t="str">
        <f>IF(Deletion!J75=TRUE,"Yes","No")</f>
        <v>Yes</v>
      </c>
    </row>
    <row r="76" spans="1:77" x14ac:dyDescent="0.15">
      <c r="A76" s="38">
        <f t="shared" si="3"/>
        <v>75</v>
      </c>
      <c r="B76" s="38" t="s">
        <v>1413</v>
      </c>
      <c r="C76" s="38" t="s">
        <v>1413</v>
      </c>
      <c r="D76" s="38" t="s">
        <v>1223</v>
      </c>
      <c r="E76" s="38" t="s">
        <v>1673</v>
      </c>
      <c r="F76" s="39" t="s">
        <v>1225</v>
      </c>
      <c r="G76" s="39" t="s">
        <v>1225</v>
      </c>
      <c r="H76" s="39" t="s">
        <v>1225</v>
      </c>
      <c r="I76" s="38" t="s">
        <v>1674</v>
      </c>
      <c r="J76" s="39" t="s">
        <v>1225</v>
      </c>
      <c r="K76" s="39" t="s">
        <v>1225</v>
      </c>
      <c r="L76" s="38" t="s">
        <v>1675</v>
      </c>
      <c r="M76" s="38" t="s">
        <v>1451</v>
      </c>
      <c r="N76" s="39" t="s">
        <v>1225</v>
      </c>
      <c r="O76" s="39" t="s">
        <v>1225</v>
      </c>
      <c r="P76" s="39" t="s">
        <v>1225</v>
      </c>
      <c r="Q76" s="38" t="s">
        <v>1227</v>
      </c>
      <c r="R76" s="39" t="s">
        <v>1225</v>
      </c>
      <c r="S76" s="39" t="s">
        <v>1225</v>
      </c>
      <c r="T76" s="39" t="s">
        <v>1225</v>
      </c>
      <c r="U76" s="39" t="s">
        <v>1225</v>
      </c>
      <c r="V76" s="39" t="s">
        <v>1225</v>
      </c>
      <c r="W76" s="38" t="s">
        <v>1676</v>
      </c>
      <c r="X76" s="38" t="s">
        <v>1225</v>
      </c>
      <c r="Y76" s="38" t="s">
        <v>1677</v>
      </c>
      <c r="Z76" s="39" t="s">
        <v>1225</v>
      </c>
      <c r="AA76" s="39" t="s">
        <v>1225</v>
      </c>
      <c r="AB76" s="39" t="s">
        <v>1225</v>
      </c>
      <c r="AC76" s="39" t="s">
        <v>1225</v>
      </c>
      <c r="AD76" s="39" t="s">
        <v>1225</v>
      </c>
      <c r="AE76" s="39" t="s">
        <v>1225</v>
      </c>
      <c r="AF76" s="39" t="s">
        <v>1225</v>
      </c>
      <c r="AG76" s="39" t="s">
        <v>1225</v>
      </c>
      <c r="AH76" s="39" t="s">
        <v>1225</v>
      </c>
      <c r="AI76" s="39" t="s">
        <v>1225</v>
      </c>
      <c r="AJ76" s="39" t="s">
        <v>1225</v>
      </c>
      <c r="AK76" s="39" t="s">
        <v>1225</v>
      </c>
      <c r="AL76" s="39" t="s">
        <v>1225</v>
      </c>
      <c r="AM76" s="39" t="s">
        <v>1225</v>
      </c>
      <c r="AN76" s="39" t="s">
        <v>1225</v>
      </c>
      <c r="AO76" s="39" t="s">
        <v>1225</v>
      </c>
      <c r="AP76" s="39" t="s">
        <v>1225</v>
      </c>
      <c r="AQ76" s="39" t="s">
        <v>1225</v>
      </c>
      <c r="AR76" s="39" t="s">
        <v>1225</v>
      </c>
      <c r="AS76" s="39" t="s">
        <v>1225</v>
      </c>
      <c r="AT76" s="39" t="s">
        <v>1225</v>
      </c>
      <c r="AU76" s="39" t="s">
        <v>1225</v>
      </c>
      <c r="AV76" s="39" t="s">
        <v>1225</v>
      </c>
      <c r="AW76" s="38" t="s">
        <v>1272</v>
      </c>
      <c r="AX76" s="38">
        <v>2021</v>
      </c>
      <c r="AY76" s="39">
        <v>138</v>
      </c>
      <c r="AZ76" s="39" t="s">
        <v>1225</v>
      </c>
      <c r="BA76" s="39" t="s">
        <v>1225</v>
      </c>
      <c r="BB76" s="39" t="s">
        <v>1225</v>
      </c>
      <c r="BC76" s="39" t="s">
        <v>1225</v>
      </c>
      <c r="BD76" s="39" t="s">
        <v>1225</v>
      </c>
      <c r="BE76" s="39" t="s">
        <v>1225</v>
      </c>
      <c r="BF76" s="39" t="s">
        <v>1225</v>
      </c>
      <c r="BG76" s="39">
        <v>110534</v>
      </c>
      <c r="BH76" s="38" t="s">
        <v>1678</v>
      </c>
      <c r="BI76" s="38" t="str">
        <f>HYPERLINK("http://dx.doi.org/10.1016/j.rser.2020.110534","http://dx.doi.org/10.1016/j.rser.2020.110534")</f>
        <v>http://dx.doi.org/10.1016/j.rser.2020.110534</v>
      </c>
      <c r="BJ76" s="39" t="s">
        <v>1225</v>
      </c>
      <c r="BK76" s="39" t="s">
        <v>1679</v>
      </c>
      <c r="BL76" s="39" t="s">
        <v>1225</v>
      </c>
      <c r="BM76" s="39" t="s">
        <v>1225</v>
      </c>
      <c r="BN76" s="39" t="s">
        <v>1225</v>
      </c>
      <c r="BO76" s="39" t="s">
        <v>1225</v>
      </c>
      <c r="BP76" s="39" t="s">
        <v>1225</v>
      </c>
      <c r="BQ76" s="39" t="s">
        <v>1225</v>
      </c>
      <c r="BR76" s="39" t="s">
        <v>1225</v>
      </c>
      <c r="BS76" s="39" t="s">
        <v>1225</v>
      </c>
      <c r="BT76" s="39" t="s">
        <v>1225</v>
      </c>
      <c r="BU76" s="39" t="s">
        <v>1225</v>
      </c>
      <c r="BV76" s="39" t="s">
        <v>1225</v>
      </c>
      <c r="BW76" s="39" t="str">
        <f t="shared" si="2"/>
        <v>View Full Record in Web of Science</v>
      </c>
      <c r="BX76" s="39"/>
      <c r="BY76" s="41" t="str">
        <f>IF(Deletion!J76=TRUE,"Yes","No")</f>
        <v>No</v>
      </c>
    </row>
    <row r="77" spans="1:77" x14ac:dyDescent="0.15">
      <c r="A77" s="33">
        <f t="shared" si="3"/>
        <v>76</v>
      </c>
      <c r="B77" s="33" t="s">
        <v>1222</v>
      </c>
      <c r="C77" s="33" t="s">
        <v>1222</v>
      </c>
      <c r="D77" s="33" t="s">
        <v>1223</v>
      </c>
      <c r="E77" s="33" t="s">
        <v>1680</v>
      </c>
      <c r="F77" s="33" t="s">
        <v>1225</v>
      </c>
      <c r="G77" s="33" t="s">
        <v>1225</v>
      </c>
      <c r="H77" s="33" t="s">
        <v>1225</v>
      </c>
      <c r="I77" s="33" t="s">
        <v>516</v>
      </c>
      <c r="J77" s="33" t="s">
        <v>1225</v>
      </c>
      <c r="K77" s="33" t="s">
        <v>1225</v>
      </c>
      <c r="L77" s="33" t="s">
        <v>514</v>
      </c>
      <c r="M77" s="33" t="s">
        <v>515</v>
      </c>
      <c r="N77" s="33" t="s">
        <v>1225</v>
      </c>
      <c r="O77" s="33" t="s">
        <v>1225</v>
      </c>
      <c r="P77" s="33" t="s">
        <v>1225</v>
      </c>
      <c r="Q77" s="33" t="s">
        <v>1227</v>
      </c>
      <c r="R77" s="33" t="s">
        <v>1225</v>
      </c>
      <c r="S77" s="33" t="s">
        <v>1225</v>
      </c>
      <c r="T77" s="33" t="s">
        <v>1225</v>
      </c>
      <c r="U77" s="33" t="s">
        <v>1225</v>
      </c>
      <c r="V77" s="33" t="s">
        <v>1225</v>
      </c>
      <c r="W77" s="33" t="s">
        <v>518</v>
      </c>
      <c r="X77" s="33" t="s">
        <v>1681</v>
      </c>
      <c r="Y77" s="33" t="s">
        <v>517</v>
      </c>
      <c r="Z77" s="33" t="s">
        <v>1225</v>
      </c>
      <c r="AA77" s="33" t="s">
        <v>1225</v>
      </c>
      <c r="AB77" s="33" t="s">
        <v>1225</v>
      </c>
      <c r="AC77" s="33" t="s">
        <v>1225</v>
      </c>
      <c r="AD77" s="33" t="s">
        <v>1225</v>
      </c>
      <c r="AE77" s="33" t="s">
        <v>1225</v>
      </c>
      <c r="AF77" s="33" t="s">
        <v>1225</v>
      </c>
      <c r="AG77" s="33" t="s">
        <v>1225</v>
      </c>
      <c r="AH77" s="33" t="s">
        <v>1225</v>
      </c>
      <c r="AI77" s="33" t="s">
        <v>1225</v>
      </c>
      <c r="AJ77" s="33" t="s">
        <v>1225</v>
      </c>
      <c r="AK77" s="33" t="s">
        <v>1225</v>
      </c>
      <c r="AL77" s="33" t="s">
        <v>1225</v>
      </c>
      <c r="AM77" s="33" t="s">
        <v>1225</v>
      </c>
      <c r="AN77" s="33" t="s">
        <v>1225</v>
      </c>
      <c r="AO77" s="33" t="s">
        <v>1225</v>
      </c>
      <c r="AP77" s="33" t="s">
        <v>1225</v>
      </c>
      <c r="AQ77" s="33" t="s">
        <v>1225</v>
      </c>
      <c r="AR77" s="33" t="s">
        <v>1225</v>
      </c>
      <c r="AS77" s="33" t="s">
        <v>1225</v>
      </c>
      <c r="AT77" s="33" t="s">
        <v>1225</v>
      </c>
      <c r="AU77" s="33" t="s">
        <v>1225</v>
      </c>
      <c r="AV77" s="33" t="s">
        <v>1225</v>
      </c>
      <c r="AW77" s="33" t="s">
        <v>1229</v>
      </c>
      <c r="AX77" s="33">
        <v>2014</v>
      </c>
      <c r="AY77" s="33">
        <v>48</v>
      </c>
      <c r="AZ77" s="33">
        <v>4</v>
      </c>
      <c r="BA77" s="33" t="s">
        <v>1225</v>
      </c>
      <c r="BB77" s="33" t="s">
        <v>1225</v>
      </c>
      <c r="BC77" s="33" t="s">
        <v>1511</v>
      </c>
      <c r="BD77" s="33" t="s">
        <v>1225</v>
      </c>
      <c r="BE77" s="33">
        <v>619</v>
      </c>
      <c r="BF77" s="33">
        <v>634</v>
      </c>
      <c r="BG77" s="33" t="s">
        <v>1225</v>
      </c>
      <c r="BH77" s="33" t="s">
        <v>1682</v>
      </c>
      <c r="BI77" s="33" t="str">
        <f>HYPERLINK("http://dx.doi.org/10.1287/trsc.2013.0467","http://dx.doi.org/10.1287/trsc.2013.0467")</f>
        <v>http://dx.doi.org/10.1287/trsc.2013.0467</v>
      </c>
      <c r="BJ77" s="33" t="s">
        <v>1225</v>
      </c>
      <c r="BK77" s="33" t="s">
        <v>1225</v>
      </c>
      <c r="BL77" s="33" t="s">
        <v>1225</v>
      </c>
      <c r="BM77" s="33" t="s">
        <v>1225</v>
      </c>
      <c r="BN77" s="33" t="s">
        <v>1225</v>
      </c>
      <c r="BO77" s="33" t="s">
        <v>1225</v>
      </c>
      <c r="BP77" s="33" t="s">
        <v>1225</v>
      </c>
      <c r="BQ77" s="33" t="s">
        <v>1225</v>
      </c>
      <c r="BR77" s="33" t="s">
        <v>1225</v>
      </c>
      <c r="BS77" s="33" t="s">
        <v>1225</v>
      </c>
      <c r="BT77" s="33" t="s">
        <v>1225</v>
      </c>
      <c r="BU77" s="33" t="s">
        <v>1225</v>
      </c>
      <c r="BV77" s="33" t="s">
        <v>1225</v>
      </c>
      <c r="BW77" s="33" t="str">
        <f t="shared" si="2"/>
        <v>View Full Record in Web of Science</v>
      </c>
      <c r="BX77" s="33"/>
      <c r="BY77" s="41" t="str">
        <f>IF(Deletion!J77=TRUE,"Yes","No")</f>
        <v>No</v>
      </c>
    </row>
    <row r="78" spans="1:77" x14ac:dyDescent="0.15">
      <c r="A78" s="34">
        <f t="shared" si="3"/>
        <v>77</v>
      </c>
      <c r="B78" s="35" t="s">
        <v>1683</v>
      </c>
      <c r="C78" s="34" t="s">
        <v>1683</v>
      </c>
      <c r="D78" s="34" t="s">
        <v>1223</v>
      </c>
      <c r="E78" s="34" t="s">
        <v>1684</v>
      </c>
      <c r="F78" s="34" t="s">
        <v>1225</v>
      </c>
      <c r="G78" s="34" t="s">
        <v>1225</v>
      </c>
      <c r="H78" s="34" t="s">
        <v>1225</v>
      </c>
      <c r="I78" s="34" t="s">
        <v>1685</v>
      </c>
      <c r="J78" s="34" t="s">
        <v>1225</v>
      </c>
      <c r="K78" s="34" t="s">
        <v>1225</v>
      </c>
      <c r="L78" s="34" t="s">
        <v>1686</v>
      </c>
      <c r="M78" s="34" t="s">
        <v>1687</v>
      </c>
      <c r="N78" s="34" t="s">
        <v>1225</v>
      </c>
      <c r="O78" s="34" t="s">
        <v>1225</v>
      </c>
      <c r="P78" s="34" t="s">
        <v>1225</v>
      </c>
      <c r="Q78" s="34" t="s">
        <v>1688</v>
      </c>
      <c r="R78" s="34" t="s">
        <v>1225</v>
      </c>
      <c r="S78" s="34" t="s">
        <v>1225</v>
      </c>
      <c r="T78" s="34" t="s">
        <v>1225</v>
      </c>
      <c r="U78" s="34" t="s">
        <v>1225</v>
      </c>
      <c r="V78" s="34" t="s">
        <v>1225</v>
      </c>
      <c r="W78" s="34" t="s">
        <v>1689</v>
      </c>
      <c r="X78" s="34" t="s">
        <v>1690</v>
      </c>
      <c r="Y78" s="34" t="s">
        <v>1691</v>
      </c>
      <c r="Z78" s="34" t="s">
        <v>1225</v>
      </c>
      <c r="AA78" s="34" t="s">
        <v>1225</v>
      </c>
      <c r="AB78" s="34" t="s">
        <v>1225</v>
      </c>
      <c r="AC78" s="34" t="s">
        <v>1225</v>
      </c>
      <c r="AD78" s="34" t="s">
        <v>1225</v>
      </c>
      <c r="AE78" s="34" t="s">
        <v>1225</v>
      </c>
      <c r="AF78" s="34" t="s">
        <v>1225</v>
      </c>
      <c r="AG78" s="34" t="s">
        <v>1225</v>
      </c>
      <c r="AH78" s="34" t="s">
        <v>1225</v>
      </c>
      <c r="AI78" s="34" t="s">
        <v>1225</v>
      </c>
      <c r="AJ78" s="34" t="s">
        <v>1225</v>
      </c>
      <c r="AK78" s="34" t="s">
        <v>1225</v>
      </c>
      <c r="AL78" s="34" t="s">
        <v>1225</v>
      </c>
      <c r="AM78" s="34" t="s">
        <v>1225</v>
      </c>
      <c r="AN78" s="34" t="s">
        <v>1225</v>
      </c>
      <c r="AO78" s="34" t="s">
        <v>1225</v>
      </c>
      <c r="AP78" s="34" t="s">
        <v>1225</v>
      </c>
      <c r="AQ78" s="34" t="s">
        <v>1225</v>
      </c>
      <c r="AR78" s="34" t="s">
        <v>1225</v>
      </c>
      <c r="AS78" s="34" t="s">
        <v>1225</v>
      </c>
      <c r="AT78" s="34" t="s">
        <v>1225</v>
      </c>
      <c r="AU78" s="34" t="s">
        <v>1225</v>
      </c>
      <c r="AV78" s="34" t="s">
        <v>1225</v>
      </c>
      <c r="AW78" s="34" t="s">
        <v>1225</v>
      </c>
      <c r="AX78" s="34" t="s">
        <v>1225</v>
      </c>
      <c r="AY78" s="34" t="s">
        <v>1225</v>
      </c>
      <c r="AZ78" s="34" t="s">
        <v>1225</v>
      </c>
      <c r="BA78" s="34" t="s">
        <v>1225</v>
      </c>
      <c r="BB78" s="34" t="s">
        <v>1225</v>
      </c>
      <c r="BC78" s="34" t="s">
        <v>1225</v>
      </c>
      <c r="BD78" s="34" t="s">
        <v>1225</v>
      </c>
      <c r="BE78" s="34" t="s">
        <v>1225</v>
      </c>
      <c r="BF78" s="34" t="s">
        <v>1225</v>
      </c>
      <c r="BG78" s="34">
        <v>20720920931427</v>
      </c>
      <c r="BH78" s="34" t="s">
        <v>1692</v>
      </c>
      <c r="BI78" s="34" t="str">
        <f>HYPERLINK("http://dx.doi.org/10.1177/0020720920931427","http://dx.doi.org/10.1177/0020720920931427")</f>
        <v>http://dx.doi.org/10.1177/0020720920931427</v>
      </c>
      <c r="BJ78" s="34" t="s">
        <v>1225</v>
      </c>
      <c r="BK78" s="34" t="s">
        <v>1693</v>
      </c>
      <c r="BL78" s="34" t="s">
        <v>1225</v>
      </c>
      <c r="BM78" s="34" t="s">
        <v>1225</v>
      </c>
      <c r="BN78" s="34" t="s">
        <v>1225</v>
      </c>
      <c r="BO78" s="34" t="s">
        <v>1225</v>
      </c>
      <c r="BP78" s="34" t="s">
        <v>1225</v>
      </c>
      <c r="BQ78" s="34" t="s">
        <v>1225</v>
      </c>
      <c r="BR78" s="34" t="s">
        <v>1225</v>
      </c>
      <c r="BS78" s="34" t="s">
        <v>1225</v>
      </c>
      <c r="BT78" s="34" t="s">
        <v>1225</v>
      </c>
      <c r="BU78" s="34" t="s">
        <v>1225</v>
      </c>
      <c r="BV78" s="34" t="s">
        <v>1225</v>
      </c>
      <c r="BW78" s="34" t="str">
        <f t="shared" si="2"/>
        <v>View Full Record in Web of Science</v>
      </c>
      <c r="BX78" s="34"/>
      <c r="BY78" s="41" t="str">
        <f>IF(Deletion!J78=TRUE,"Yes","No")</f>
        <v>No</v>
      </c>
    </row>
    <row r="79" spans="1:77" x14ac:dyDescent="0.15">
      <c r="A79" s="34">
        <f t="shared" si="3"/>
        <v>78</v>
      </c>
      <c r="B79" s="35" t="s">
        <v>1694</v>
      </c>
      <c r="C79" s="34" t="s">
        <v>1232</v>
      </c>
      <c r="D79" s="34" t="s">
        <v>1223</v>
      </c>
      <c r="E79" s="34" t="s">
        <v>1695</v>
      </c>
      <c r="F79" s="34" t="s">
        <v>1225</v>
      </c>
      <c r="G79" s="34" t="s">
        <v>1225</v>
      </c>
      <c r="H79" s="34" t="s">
        <v>1225</v>
      </c>
      <c r="I79" s="34" t="s">
        <v>1696</v>
      </c>
      <c r="J79" s="34" t="s">
        <v>1225</v>
      </c>
      <c r="K79" s="34" t="s">
        <v>1225</v>
      </c>
      <c r="L79" s="34" t="s">
        <v>1697</v>
      </c>
      <c r="M79" s="34" t="s">
        <v>1698</v>
      </c>
      <c r="N79" s="34" t="s">
        <v>1225</v>
      </c>
      <c r="O79" s="34" t="s">
        <v>1225</v>
      </c>
      <c r="P79" s="34" t="s">
        <v>1225</v>
      </c>
      <c r="Q79" s="34" t="s">
        <v>1227</v>
      </c>
      <c r="R79" s="34" t="s">
        <v>1225</v>
      </c>
      <c r="S79" s="34" t="s">
        <v>1225</v>
      </c>
      <c r="T79" s="34" t="s">
        <v>1225</v>
      </c>
      <c r="U79" s="34" t="s">
        <v>1225</v>
      </c>
      <c r="V79" s="34" t="s">
        <v>1225</v>
      </c>
      <c r="W79" s="34" t="s">
        <v>1699</v>
      </c>
      <c r="X79" s="34" t="s">
        <v>1700</v>
      </c>
      <c r="Y79" s="34" t="s">
        <v>1701</v>
      </c>
      <c r="Z79" s="34" t="s">
        <v>1225</v>
      </c>
      <c r="AA79" s="34" t="s">
        <v>1225</v>
      </c>
      <c r="AB79" s="34" t="s">
        <v>1225</v>
      </c>
      <c r="AC79" s="34" t="s">
        <v>1225</v>
      </c>
      <c r="AD79" s="34" t="s">
        <v>1225</v>
      </c>
      <c r="AE79" s="34" t="s">
        <v>1225</v>
      </c>
      <c r="AF79" s="34" t="s">
        <v>1225</v>
      </c>
      <c r="AG79" s="34" t="s">
        <v>1225</v>
      </c>
      <c r="AH79" s="34" t="s">
        <v>1225</v>
      </c>
      <c r="AI79" s="34" t="s">
        <v>1225</v>
      </c>
      <c r="AJ79" s="34" t="s">
        <v>1225</v>
      </c>
      <c r="AK79" s="34" t="s">
        <v>1225</v>
      </c>
      <c r="AL79" s="34" t="s">
        <v>1225</v>
      </c>
      <c r="AM79" s="34" t="s">
        <v>1225</v>
      </c>
      <c r="AN79" s="34" t="s">
        <v>1225</v>
      </c>
      <c r="AO79" s="34" t="s">
        <v>1225</v>
      </c>
      <c r="AP79" s="34" t="s">
        <v>1225</v>
      </c>
      <c r="AQ79" s="34" t="s">
        <v>1225</v>
      </c>
      <c r="AR79" s="34" t="s">
        <v>1225</v>
      </c>
      <c r="AS79" s="34" t="s">
        <v>1225</v>
      </c>
      <c r="AT79" s="34" t="s">
        <v>1225</v>
      </c>
      <c r="AU79" s="34" t="s">
        <v>1225</v>
      </c>
      <c r="AV79" s="34" t="s">
        <v>1225</v>
      </c>
      <c r="AW79" s="34" t="s">
        <v>1356</v>
      </c>
      <c r="AX79" s="34">
        <v>2022</v>
      </c>
      <c r="AY79" s="34">
        <v>13</v>
      </c>
      <c r="AZ79" s="34" t="s">
        <v>1225</v>
      </c>
      <c r="BA79" s="34" t="s">
        <v>1225</v>
      </c>
      <c r="BB79" s="34" t="s">
        <v>1225</v>
      </c>
      <c r="BC79" s="34" t="s">
        <v>1225</v>
      </c>
      <c r="BD79" s="34" t="s">
        <v>1225</v>
      </c>
      <c r="BE79" s="34" t="s">
        <v>1225</v>
      </c>
      <c r="BF79" s="34" t="s">
        <v>1225</v>
      </c>
      <c r="BG79" s="34">
        <v>100180</v>
      </c>
      <c r="BH79" s="34" t="s">
        <v>1702</v>
      </c>
      <c r="BI79" s="34" t="str">
        <f>HYPERLINK("http://dx.doi.org/10.1016/j.etran.2022.100180","http://dx.doi.org/10.1016/j.etran.2022.100180")</f>
        <v>http://dx.doi.org/10.1016/j.etran.2022.100180</v>
      </c>
      <c r="BJ79" s="34" t="s">
        <v>1225</v>
      </c>
      <c r="BK79" s="34" t="s">
        <v>1225</v>
      </c>
      <c r="BL79" s="34" t="s">
        <v>1225</v>
      </c>
      <c r="BM79" s="34" t="s">
        <v>1225</v>
      </c>
      <c r="BN79" s="34" t="s">
        <v>1225</v>
      </c>
      <c r="BO79" s="34" t="s">
        <v>1225</v>
      </c>
      <c r="BP79" s="34" t="s">
        <v>1225</v>
      </c>
      <c r="BQ79" s="34" t="s">
        <v>1225</v>
      </c>
      <c r="BR79" s="34" t="s">
        <v>1225</v>
      </c>
      <c r="BS79" s="34" t="s">
        <v>1225</v>
      </c>
      <c r="BT79" s="34" t="s">
        <v>1225</v>
      </c>
      <c r="BU79" s="34" t="s">
        <v>1225</v>
      </c>
      <c r="BV79" s="34" t="s">
        <v>1225</v>
      </c>
      <c r="BW79" s="34" t="str">
        <f t="shared" si="2"/>
        <v>View Full Record in Web of Science</v>
      </c>
      <c r="BX79" s="34"/>
      <c r="BY79" s="41" t="str">
        <f>IF(Deletion!J79=TRUE,"Yes","No")</f>
        <v>Yes</v>
      </c>
    </row>
    <row r="80" spans="1:77" x14ac:dyDescent="0.15">
      <c r="A80" s="34">
        <f t="shared" si="3"/>
        <v>79</v>
      </c>
      <c r="B80" s="35" t="s">
        <v>1703</v>
      </c>
      <c r="C80" s="34" t="s">
        <v>1232</v>
      </c>
      <c r="D80" s="34" t="s">
        <v>1223</v>
      </c>
      <c r="E80" s="34" t="s">
        <v>1704</v>
      </c>
      <c r="F80" s="34" t="s">
        <v>1225</v>
      </c>
      <c r="G80" s="34" t="s">
        <v>1225</v>
      </c>
      <c r="H80" s="34" t="s">
        <v>1225</v>
      </c>
      <c r="I80" s="34" t="s">
        <v>1705</v>
      </c>
      <c r="J80" s="34" t="s">
        <v>1225</v>
      </c>
      <c r="K80" s="34" t="s">
        <v>1225</v>
      </c>
      <c r="L80" s="34" t="s">
        <v>1706</v>
      </c>
      <c r="M80" s="34" t="s">
        <v>422</v>
      </c>
      <c r="N80" s="34" t="s">
        <v>1225</v>
      </c>
      <c r="O80" s="34" t="s">
        <v>1225</v>
      </c>
      <c r="P80" s="34" t="s">
        <v>1225</v>
      </c>
      <c r="Q80" s="34" t="s">
        <v>1227</v>
      </c>
      <c r="R80" s="34" t="s">
        <v>1225</v>
      </c>
      <c r="S80" s="34" t="s">
        <v>1225</v>
      </c>
      <c r="T80" s="34" t="s">
        <v>1225</v>
      </c>
      <c r="U80" s="34" t="s">
        <v>1225</v>
      </c>
      <c r="V80" s="34" t="s">
        <v>1225</v>
      </c>
      <c r="W80" s="34" t="s">
        <v>1707</v>
      </c>
      <c r="X80" s="34" t="s">
        <v>1708</v>
      </c>
      <c r="Y80" s="34" t="s">
        <v>1709</v>
      </c>
      <c r="Z80" s="34" t="s">
        <v>1225</v>
      </c>
      <c r="AA80" s="34" t="s">
        <v>1225</v>
      </c>
      <c r="AB80" s="34" t="s">
        <v>1225</v>
      </c>
      <c r="AC80" s="34" t="s">
        <v>1225</v>
      </c>
      <c r="AD80" s="34" t="s">
        <v>1225</v>
      </c>
      <c r="AE80" s="34" t="s">
        <v>1225</v>
      </c>
      <c r="AF80" s="34" t="s">
        <v>1225</v>
      </c>
      <c r="AG80" s="34" t="s">
        <v>1225</v>
      </c>
      <c r="AH80" s="34" t="s">
        <v>1225</v>
      </c>
      <c r="AI80" s="34" t="s">
        <v>1225</v>
      </c>
      <c r="AJ80" s="34" t="s">
        <v>1225</v>
      </c>
      <c r="AK80" s="34" t="s">
        <v>1225</v>
      </c>
      <c r="AL80" s="34" t="s">
        <v>1225</v>
      </c>
      <c r="AM80" s="34" t="s">
        <v>1225</v>
      </c>
      <c r="AN80" s="34" t="s">
        <v>1225</v>
      </c>
      <c r="AO80" s="34" t="s">
        <v>1225</v>
      </c>
      <c r="AP80" s="34" t="s">
        <v>1225</v>
      </c>
      <c r="AQ80" s="34" t="s">
        <v>1225</v>
      </c>
      <c r="AR80" s="34" t="s">
        <v>1225</v>
      </c>
      <c r="AS80" s="34" t="s">
        <v>1225</v>
      </c>
      <c r="AT80" s="34" t="s">
        <v>1225</v>
      </c>
      <c r="AU80" s="34" t="s">
        <v>1225</v>
      </c>
      <c r="AV80" s="34" t="s">
        <v>1225</v>
      </c>
      <c r="AW80" s="34" t="s">
        <v>1393</v>
      </c>
      <c r="AX80" s="34">
        <v>2020</v>
      </c>
      <c r="AY80" s="34">
        <v>13</v>
      </c>
      <c r="AZ80" s="34">
        <v>12</v>
      </c>
      <c r="BA80" s="34" t="s">
        <v>1225</v>
      </c>
      <c r="BB80" s="34" t="s">
        <v>1225</v>
      </c>
      <c r="BC80" s="34" t="s">
        <v>1225</v>
      </c>
      <c r="BD80" s="34" t="s">
        <v>1225</v>
      </c>
      <c r="BE80" s="34" t="s">
        <v>1225</v>
      </c>
      <c r="BF80" s="34" t="s">
        <v>1225</v>
      </c>
      <c r="BG80" s="34">
        <v>3263</v>
      </c>
      <c r="BH80" s="34" t="s">
        <v>1710</v>
      </c>
      <c r="BI80" s="34" t="str">
        <f>HYPERLINK("http://dx.doi.org/10.3390/en13123263","http://dx.doi.org/10.3390/en13123263")</f>
        <v>http://dx.doi.org/10.3390/en13123263</v>
      </c>
      <c r="BJ80" s="34" t="s">
        <v>1225</v>
      </c>
      <c r="BK80" s="34" t="s">
        <v>1225</v>
      </c>
      <c r="BL80" s="34" t="s">
        <v>1225</v>
      </c>
      <c r="BM80" s="34" t="s">
        <v>1225</v>
      </c>
      <c r="BN80" s="34" t="s">
        <v>1225</v>
      </c>
      <c r="BO80" s="34" t="s">
        <v>1225</v>
      </c>
      <c r="BP80" s="34" t="s">
        <v>1225</v>
      </c>
      <c r="BQ80" s="34" t="s">
        <v>1225</v>
      </c>
      <c r="BR80" s="34" t="s">
        <v>1225</v>
      </c>
      <c r="BS80" s="34" t="s">
        <v>1225</v>
      </c>
      <c r="BT80" s="34" t="s">
        <v>1225</v>
      </c>
      <c r="BU80" s="34" t="s">
        <v>1225</v>
      </c>
      <c r="BV80" s="34" t="s">
        <v>1225</v>
      </c>
      <c r="BW80" s="34" t="str">
        <f t="shared" si="2"/>
        <v>View Full Record in Web of Science</v>
      </c>
      <c r="BX80" s="34"/>
      <c r="BY80" s="41" t="str">
        <f>IF(Deletion!J80=TRUE,"Yes","No")</f>
        <v>Yes</v>
      </c>
    </row>
    <row r="81" spans="1:77" x14ac:dyDescent="0.15">
      <c r="A81" s="34">
        <f t="shared" si="3"/>
        <v>80</v>
      </c>
      <c r="B81" s="35" t="s">
        <v>1711</v>
      </c>
      <c r="C81" s="34" t="s">
        <v>1232</v>
      </c>
      <c r="D81" s="34" t="s">
        <v>1223</v>
      </c>
      <c r="E81" s="34" t="s">
        <v>1712</v>
      </c>
      <c r="F81" s="34" t="s">
        <v>1225</v>
      </c>
      <c r="G81" s="34" t="s">
        <v>1225</v>
      </c>
      <c r="H81" s="34" t="s">
        <v>1225</v>
      </c>
      <c r="I81" s="34" t="s">
        <v>1713</v>
      </c>
      <c r="J81" s="34" t="s">
        <v>1225</v>
      </c>
      <c r="K81" s="34" t="s">
        <v>1225</v>
      </c>
      <c r="L81" s="34" t="s">
        <v>1714</v>
      </c>
      <c r="M81" s="34" t="s">
        <v>1698</v>
      </c>
      <c r="N81" s="34" t="s">
        <v>1225</v>
      </c>
      <c r="O81" s="34" t="s">
        <v>1225</v>
      </c>
      <c r="P81" s="34" t="s">
        <v>1225</v>
      </c>
      <c r="Q81" s="34" t="s">
        <v>1227</v>
      </c>
      <c r="R81" s="34" t="s">
        <v>1225</v>
      </c>
      <c r="S81" s="34" t="s">
        <v>1225</v>
      </c>
      <c r="T81" s="34" t="s">
        <v>1225</v>
      </c>
      <c r="U81" s="34" t="s">
        <v>1225</v>
      </c>
      <c r="V81" s="34" t="s">
        <v>1225</v>
      </c>
      <c r="W81" s="34" t="s">
        <v>1715</v>
      </c>
      <c r="X81" s="34" t="s">
        <v>1716</v>
      </c>
      <c r="Y81" s="34" t="s">
        <v>1717</v>
      </c>
      <c r="Z81" s="34" t="s">
        <v>1225</v>
      </c>
      <c r="AA81" s="34" t="s">
        <v>1225</v>
      </c>
      <c r="AB81" s="34" t="s">
        <v>1225</v>
      </c>
      <c r="AC81" s="34" t="s">
        <v>1225</v>
      </c>
      <c r="AD81" s="34" t="s">
        <v>1225</v>
      </c>
      <c r="AE81" s="34" t="s">
        <v>1225</v>
      </c>
      <c r="AF81" s="34" t="s">
        <v>1225</v>
      </c>
      <c r="AG81" s="34" t="s">
        <v>1225</v>
      </c>
      <c r="AH81" s="34" t="s">
        <v>1225</v>
      </c>
      <c r="AI81" s="34" t="s">
        <v>1225</v>
      </c>
      <c r="AJ81" s="34" t="s">
        <v>1225</v>
      </c>
      <c r="AK81" s="34" t="s">
        <v>1225</v>
      </c>
      <c r="AL81" s="34" t="s">
        <v>1225</v>
      </c>
      <c r="AM81" s="34" t="s">
        <v>1225</v>
      </c>
      <c r="AN81" s="34" t="s">
        <v>1225</v>
      </c>
      <c r="AO81" s="34" t="s">
        <v>1225</v>
      </c>
      <c r="AP81" s="34" t="s">
        <v>1225</v>
      </c>
      <c r="AQ81" s="34" t="s">
        <v>1225</v>
      </c>
      <c r="AR81" s="34" t="s">
        <v>1225</v>
      </c>
      <c r="AS81" s="34" t="s">
        <v>1225</v>
      </c>
      <c r="AT81" s="34" t="s">
        <v>1225</v>
      </c>
      <c r="AU81" s="34" t="s">
        <v>1225</v>
      </c>
      <c r="AV81" s="34" t="s">
        <v>1225</v>
      </c>
      <c r="AW81" s="34" t="s">
        <v>1356</v>
      </c>
      <c r="AX81" s="34">
        <v>2022</v>
      </c>
      <c r="AY81" s="34">
        <v>13</v>
      </c>
      <c r="AZ81" s="34" t="s">
        <v>1225</v>
      </c>
      <c r="BA81" s="34" t="s">
        <v>1225</v>
      </c>
      <c r="BB81" s="34" t="s">
        <v>1225</v>
      </c>
      <c r="BC81" s="34" t="s">
        <v>1225</v>
      </c>
      <c r="BD81" s="34" t="s">
        <v>1225</v>
      </c>
      <c r="BE81" s="34" t="s">
        <v>1225</v>
      </c>
      <c r="BF81" s="34" t="s">
        <v>1225</v>
      </c>
      <c r="BG81" s="34">
        <v>100182</v>
      </c>
      <c r="BH81" s="34" t="s">
        <v>1718</v>
      </c>
      <c r="BI81" s="34" t="str">
        <f>HYPERLINK("http://dx.doi.org/10.1016/j.etran.2022.100182","http://dx.doi.org/10.1016/j.etran.2022.100182")</f>
        <v>http://dx.doi.org/10.1016/j.etran.2022.100182</v>
      </c>
      <c r="BJ81" s="34" t="s">
        <v>1225</v>
      </c>
      <c r="BK81" s="34" t="s">
        <v>1225</v>
      </c>
      <c r="BL81" s="34" t="s">
        <v>1225</v>
      </c>
      <c r="BM81" s="34" t="s">
        <v>1225</v>
      </c>
      <c r="BN81" s="34" t="s">
        <v>1225</v>
      </c>
      <c r="BO81" s="34" t="s">
        <v>1225</v>
      </c>
      <c r="BP81" s="34" t="s">
        <v>1225</v>
      </c>
      <c r="BQ81" s="34" t="s">
        <v>1225</v>
      </c>
      <c r="BR81" s="34" t="s">
        <v>1225</v>
      </c>
      <c r="BS81" s="34" t="s">
        <v>1225</v>
      </c>
      <c r="BT81" s="34" t="s">
        <v>1225</v>
      </c>
      <c r="BU81" s="34" t="s">
        <v>1225</v>
      </c>
      <c r="BV81" s="34" t="s">
        <v>1225</v>
      </c>
      <c r="BW81" s="34" t="str">
        <f t="shared" si="2"/>
        <v>View Full Record in Web of Science</v>
      </c>
      <c r="BX81" s="34"/>
      <c r="BY81" s="41" t="str">
        <f>IF(Deletion!J81=TRUE,"Yes","No")</f>
        <v>No</v>
      </c>
    </row>
    <row r="82" spans="1:77" x14ac:dyDescent="0.15">
      <c r="A82" s="34">
        <f t="shared" si="3"/>
        <v>81</v>
      </c>
      <c r="B82" s="35" t="s">
        <v>1590</v>
      </c>
      <c r="C82" s="34" t="s">
        <v>1232</v>
      </c>
      <c r="D82" s="34" t="s">
        <v>1223</v>
      </c>
      <c r="E82" s="34" t="s">
        <v>1719</v>
      </c>
      <c r="F82" s="34" t="s">
        <v>1225</v>
      </c>
      <c r="G82" s="34" t="s">
        <v>1225</v>
      </c>
      <c r="H82" s="34" t="s">
        <v>1225</v>
      </c>
      <c r="I82" s="34" t="s">
        <v>1720</v>
      </c>
      <c r="J82" s="34" t="s">
        <v>1225</v>
      </c>
      <c r="K82" s="34" t="s">
        <v>1225</v>
      </c>
      <c r="L82" s="34" t="s">
        <v>1721</v>
      </c>
      <c r="M82" s="34" t="s">
        <v>1722</v>
      </c>
      <c r="N82" s="34" t="s">
        <v>1225</v>
      </c>
      <c r="O82" s="34" t="s">
        <v>1225</v>
      </c>
      <c r="P82" s="34" t="s">
        <v>1225</v>
      </c>
      <c r="Q82" s="34" t="s">
        <v>1227</v>
      </c>
      <c r="R82" s="34" t="s">
        <v>1225</v>
      </c>
      <c r="S82" s="34" t="s">
        <v>1225</v>
      </c>
      <c r="T82" s="34" t="s">
        <v>1225</v>
      </c>
      <c r="U82" s="34" t="s">
        <v>1225</v>
      </c>
      <c r="V82" s="34" t="s">
        <v>1225</v>
      </c>
      <c r="W82" s="34" t="s">
        <v>1723</v>
      </c>
      <c r="X82" s="34" t="s">
        <v>1724</v>
      </c>
      <c r="Y82" s="34" t="s">
        <v>1725</v>
      </c>
      <c r="Z82" s="34" t="s">
        <v>1225</v>
      </c>
      <c r="AA82" s="34" t="s">
        <v>1225</v>
      </c>
      <c r="AB82" s="34" t="s">
        <v>1225</v>
      </c>
      <c r="AC82" s="34" t="s">
        <v>1225</v>
      </c>
      <c r="AD82" s="34" t="s">
        <v>1225</v>
      </c>
      <c r="AE82" s="34" t="s">
        <v>1225</v>
      </c>
      <c r="AF82" s="34" t="s">
        <v>1225</v>
      </c>
      <c r="AG82" s="34" t="s">
        <v>1225</v>
      </c>
      <c r="AH82" s="34" t="s">
        <v>1225</v>
      </c>
      <c r="AI82" s="34" t="s">
        <v>1225</v>
      </c>
      <c r="AJ82" s="34" t="s">
        <v>1225</v>
      </c>
      <c r="AK82" s="34" t="s">
        <v>1225</v>
      </c>
      <c r="AL82" s="34" t="s">
        <v>1225</v>
      </c>
      <c r="AM82" s="34" t="s">
        <v>1225</v>
      </c>
      <c r="AN82" s="34" t="s">
        <v>1225</v>
      </c>
      <c r="AO82" s="34" t="s">
        <v>1225</v>
      </c>
      <c r="AP82" s="34" t="s">
        <v>1225</v>
      </c>
      <c r="AQ82" s="34" t="s">
        <v>1225</v>
      </c>
      <c r="AR82" s="34" t="s">
        <v>1225</v>
      </c>
      <c r="AS82" s="34" t="s">
        <v>1225</v>
      </c>
      <c r="AT82" s="34" t="s">
        <v>1225</v>
      </c>
      <c r="AU82" s="34" t="s">
        <v>1225</v>
      </c>
      <c r="AV82" s="34" t="s">
        <v>1225</v>
      </c>
      <c r="AW82" s="34" t="s">
        <v>1726</v>
      </c>
      <c r="AX82" s="34">
        <v>2021</v>
      </c>
      <c r="AY82" s="34">
        <v>28</v>
      </c>
      <c r="AZ82" s="34">
        <v>15</v>
      </c>
      <c r="BA82" s="34" t="s">
        <v>1225</v>
      </c>
      <c r="BB82" s="34" t="s">
        <v>1225</v>
      </c>
      <c r="BC82" s="34" t="s">
        <v>1225</v>
      </c>
      <c r="BD82" s="34" t="s">
        <v>1225</v>
      </c>
      <c r="BE82" s="34">
        <v>18790</v>
      </c>
      <c r="BF82" s="34">
        <v>18806</v>
      </c>
      <c r="BG82" s="34" t="s">
        <v>1225</v>
      </c>
      <c r="BH82" s="34" t="s">
        <v>1727</v>
      </c>
      <c r="BI82" s="34" t="str">
        <f>HYPERLINK("http://dx.doi.org/10.1007/s11356-020-08901-2","http://dx.doi.org/10.1007/s11356-020-08901-2")</f>
        <v>http://dx.doi.org/10.1007/s11356-020-08901-2</v>
      </c>
      <c r="BJ82" s="34" t="s">
        <v>1225</v>
      </c>
      <c r="BK82" s="34" t="s">
        <v>1728</v>
      </c>
      <c r="BL82" s="34" t="s">
        <v>1225</v>
      </c>
      <c r="BM82" s="34" t="s">
        <v>1225</v>
      </c>
      <c r="BN82" s="34" t="s">
        <v>1225</v>
      </c>
      <c r="BO82" s="34" t="s">
        <v>1225</v>
      </c>
      <c r="BP82" s="34" t="s">
        <v>1225</v>
      </c>
      <c r="BQ82" s="34" t="s">
        <v>1225</v>
      </c>
      <c r="BR82" s="34" t="s">
        <v>1225</v>
      </c>
      <c r="BS82" s="34" t="s">
        <v>1225</v>
      </c>
      <c r="BT82" s="34" t="s">
        <v>1225</v>
      </c>
      <c r="BU82" s="34" t="s">
        <v>1225</v>
      </c>
      <c r="BV82" s="34" t="s">
        <v>1225</v>
      </c>
      <c r="BW82" s="34" t="str">
        <f t="shared" si="2"/>
        <v>View Full Record in Web of Science</v>
      </c>
      <c r="BX82" s="34"/>
      <c r="BY82" s="41" t="str">
        <f>IF(Deletion!J82=TRUE,"Yes","No")</f>
        <v>No</v>
      </c>
    </row>
    <row r="83" spans="1:77" x14ac:dyDescent="0.15">
      <c r="A83" s="33">
        <f t="shared" si="3"/>
        <v>82</v>
      </c>
      <c r="B83" s="33" t="s">
        <v>1222</v>
      </c>
      <c r="C83" s="33" t="s">
        <v>1222</v>
      </c>
      <c r="D83" s="33" t="s">
        <v>1223</v>
      </c>
      <c r="E83" s="33" t="s">
        <v>1729</v>
      </c>
      <c r="F83" s="33" t="s">
        <v>1225</v>
      </c>
      <c r="G83" s="33" t="s">
        <v>1225</v>
      </c>
      <c r="H83" s="33" t="s">
        <v>1225</v>
      </c>
      <c r="I83" s="33" t="s">
        <v>531</v>
      </c>
      <c r="J83" s="33" t="s">
        <v>1225</v>
      </c>
      <c r="K83" s="33" t="s">
        <v>1225</v>
      </c>
      <c r="L83" s="33" t="s">
        <v>529</v>
      </c>
      <c r="M83" s="33" t="s">
        <v>530</v>
      </c>
      <c r="N83" s="33" t="s">
        <v>1225</v>
      </c>
      <c r="O83" s="33" t="s">
        <v>1225</v>
      </c>
      <c r="P83" s="33" t="s">
        <v>1225</v>
      </c>
      <c r="Q83" s="33" t="s">
        <v>1227</v>
      </c>
      <c r="R83" s="33" t="s">
        <v>1225</v>
      </c>
      <c r="S83" s="33" t="s">
        <v>1225</v>
      </c>
      <c r="T83" s="33" t="s">
        <v>1225</v>
      </c>
      <c r="U83" s="33" t="s">
        <v>1225</v>
      </c>
      <c r="V83" s="33" t="s">
        <v>1225</v>
      </c>
      <c r="W83" s="33" t="s">
        <v>533</v>
      </c>
      <c r="X83" s="33" t="s">
        <v>1225</v>
      </c>
      <c r="Y83" s="33" t="s">
        <v>532</v>
      </c>
      <c r="Z83" s="33" t="s">
        <v>1225</v>
      </c>
      <c r="AA83" s="33" t="s">
        <v>1225</v>
      </c>
      <c r="AB83" s="33" t="s">
        <v>1225</v>
      </c>
      <c r="AC83" s="33" t="s">
        <v>1225</v>
      </c>
      <c r="AD83" s="33" t="s">
        <v>1225</v>
      </c>
      <c r="AE83" s="33" t="s">
        <v>1225</v>
      </c>
      <c r="AF83" s="33" t="s">
        <v>1225</v>
      </c>
      <c r="AG83" s="33" t="s">
        <v>1225</v>
      </c>
      <c r="AH83" s="33" t="s">
        <v>1225</v>
      </c>
      <c r="AI83" s="33" t="s">
        <v>1225</v>
      </c>
      <c r="AJ83" s="33" t="s">
        <v>1225</v>
      </c>
      <c r="AK83" s="33" t="s">
        <v>1225</v>
      </c>
      <c r="AL83" s="33" t="s">
        <v>1225</v>
      </c>
      <c r="AM83" s="33" t="s">
        <v>1225</v>
      </c>
      <c r="AN83" s="33" t="s">
        <v>1225</v>
      </c>
      <c r="AO83" s="33" t="s">
        <v>1225</v>
      </c>
      <c r="AP83" s="33" t="s">
        <v>1225</v>
      </c>
      <c r="AQ83" s="33" t="s">
        <v>1225</v>
      </c>
      <c r="AR83" s="33" t="s">
        <v>1225</v>
      </c>
      <c r="AS83" s="33" t="s">
        <v>1225</v>
      </c>
      <c r="AT83" s="33" t="s">
        <v>1225</v>
      </c>
      <c r="AU83" s="33" t="s">
        <v>1225</v>
      </c>
      <c r="AV83" s="33" t="s">
        <v>1225</v>
      </c>
      <c r="AW83" s="33" t="s">
        <v>1317</v>
      </c>
      <c r="AX83" s="33">
        <v>2020</v>
      </c>
      <c r="AY83" s="33">
        <v>11</v>
      </c>
      <c r="AZ83" s="33">
        <v>1</v>
      </c>
      <c r="BA83" s="33" t="s">
        <v>1225</v>
      </c>
      <c r="BB83" s="33" t="s">
        <v>1225</v>
      </c>
      <c r="BC83" s="33" t="s">
        <v>1225</v>
      </c>
      <c r="BD83" s="33" t="s">
        <v>1225</v>
      </c>
      <c r="BE83" s="33" t="s">
        <v>1225</v>
      </c>
      <c r="BF83" s="33" t="s">
        <v>1225</v>
      </c>
      <c r="BG83" s="33">
        <v>49</v>
      </c>
      <c r="BH83" s="33" t="s">
        <v>1730</v>
      </c>
      <c r="BI83" s="33" t="str">
        <f>HYPERLINK("http://dx.doi.org/10.3390/info11010049","http://dx.doi.org/10.3390/info11010049")</f>
        <v>http://dx.doi.org/10.3390/info11010049</v>
      </c>
      <c r="BJ83" s="33" t="s">
        <v>1225</v>
      </c>
      <c r="BK83" s="33" t="s">
        <v>1225</v>
      </c>
      <c r="BL83" s="33" t="s">
        <v>1225</v>
      </c>
      <c r="BM83" s="33" t="s">
        <v>1225</v>
      </c>
      <c r="BN83" s="33" t="s">
        <v>1225</v>
      </c>
      <c r="BO83" s="33" t="s">
        <v>1225</v>
      </c>
      <c r="BP83" s="33" t="s">
        <v>1225</v>
      </c>
      <c r="BQ83" s="33" t="s">
        <v>1225</v>
      </c>
      <c r="BR83" s="33" t="s">
        <v>1225</v>
      </c>
      <c r="BS83" s="33" t="s">
        <v>1225</v>
      </c>
      <c r="BT83" s="33" t="s">
        <v>1225</v>
      </c>
      <c r="BU83" s="33" t="s">
        <v>1225</v>
      </c>
      <c r="BV83" s="33" t="s">
        <v>1225</v>
      </c>
      <c r="BW83" s="33" t="str">
        <f t="shared" si="2"/>
        <v>View Full Record in Web of Science</v>
      </c>
      <c r="BX83" s="33"/>
      <c r="BY83" s="41" t="str">
        <f>IF(Deletion!J83=TRUE,"Yes","No")</f>
        <v>No</v>
      </c>
    </row>
    <row r="84" spans="1:77" x14ac:dyDescent="0.15">
      <c r="A84" s="34">
        <f t="shared" si="3"/>
        <v>83</v>
      </c>
      <c r="B84" s="35" t="s">
        <v>1359</v>
      </c>
      <c r="C84" s="34" t="s">
        <v>4</v>
      </c>
      <c r="D84" s="34" t="s">
        <v>1223</v>
      </c>
      <c r="E84" s="34" t="s">
        <v>1731</v>
      </c>
      <c r="F84" s="34" t="s">
        <v>1225</v>
      </c>
      <c r="G84" s="34" t="s">
        <v>1225</v>
      </c>
      <c r="H84" s="34" t="s">
        <v>1225</v>
      </c>
      <c r="I84" s="34" t="s">
        <v>1732</v>
      </c>
      <c r="J84" s="34" t="s">
        <v>1225</v>
      </c>
      <c r="K84" s="34" t="s">
        <v>1225</v>
      </c>
      <c r="L84" s="34" t="s">
        <v>1733</v>
      </c>
      <c r="M84" s="34" t="s">
        <v>1734</v>
      </c>
      <c r="N84" s="34" t="s">
        <v>1225</v>
      </c>
      <c r="O84" s="34" t="s">
        <v>1225</v>
      </c>
      <c r="P84" s="34" t="s">
        <v>1225</v>
      </c>
      <c r="Q84" s="34" t="s">
        <v>1227</v>
      </c>
      <c r="R84" s="34" t="s">
        <v>1225</v>
      </c>
      <c r="S84" s="34" t="s">
        <v>1225</v>
      </c>
      <c r="T84" s="34" t="s">
        <v>1225</v>
      </c>
      <c r="U84" s="34" t="s">
        <v>1225</v>
      </c>
      <c r="V84" s="34" t="s">
        <v>1225</v>
      </c>
      <c r="W84" s="34" t="s">
        <v>1735</v>
      </c>
      <c r="X84" s="34" t="s">
        <v>1736</v>
      </c>
      <c r="Y84" s="34" t="s">
        <v>1737</v>
      </c>
      <c r="Z84" s="34" t="s">
        <v>1225</v>
      </c>
      <c r="AA84" s="34" t="s">
        <v>1225</v>
      </c>
      <c r="AB84" s="34" t="s">
        <v>1225</v>
      </c>
      <c r="AC84" s="34" t="s">
        <v>1225</v>
      </c>
      <c r="AD84" s="34" t="s">
        <v>1225</v>
      </c>
      <c r="AE84" s="34" t="s">
        <v>1225</v>
      </c>
      <c r="AF84" s="34" t="s">
        <v>1225</v>
      </c>
      <c r="AG84" s="34" t="s">
        <v>1225</v>
      </c>
      <c r="AH84" s="34" t="s">
        <v>1225</v>
      </c>
      <c r="AI84" s="34" t="s">
        <v>1225</v>
      </c>
      <c r="AJ84" s="34" t="s">
        <v>1225</v>
      </c>
      <c r="AK84" s="34" t="s">
        <v>1225</v>
      </c>
      <c r="AL84" s="34" t="s">
        <v>1225</v>
      </c>
      <c r="AM84" s="34" t="s">
        <v>1225</v>
      </c>
      <c r="AN84" s="34" t="s">
        <v>1225</v>
      </c>
      <c r="AO84" s="34" t="s">
        <v>1225</v>
      </c>
      <c r="AP84" s="34" t="s">
        <v>1225</v>
      </c>
      <c r="AQ84" s="34" t="s">
        <v>1225</v>
      </c>
      <c r="AR84" s="34" t="s">
        <v>1225</v>
      </c>
      <c r="AS84" s="34" t="s">
        <v>1225</v>
      </c>
      <c r="AT84" s="34" t="s">
        <v>1225</v>
      </c>
      <c r="AU84" s="34" t="s">
        <v>1225</v>
      </c>
      <c r="AV84" s="34" t="s">
        <v>1225</v>
      </c>
      <c r="AW84" s="34" t="s">
        <v>1726</v>
      </c>
      <c r="AX84" s="34">
        <v>2022</v>
      </c>
      <c r="AY84" s="34">
        <v>104</v>
      </c>
      <c r="AZ84" s="34">
        <v>2</v>
      </c>
      <c r="BA84" s="34" t="s">
        <v>1225</v>
      </c>
      <c r="BB84" s="34" t="s">
        <v>1225</v>
      </c>
      <c r="BC84" s="34" t="s">
        <v>1225</v>
      </c>
      <c r="BD84" s="34" t="s">
        <v>1225</v>
      </c>
      <c r="BE84" s="34">
        <v>667</v>
      </c>
      <c r="BF84" s="34">
        <v>680</v>
      </c>
      <c r="BG84" s="34" t="s">
        <v>1225</v>
      </c>
      <c r="BH84" s="34" t="s">
        <v>1738</v>
      </c>
      <c r="BI84" s="34" t="str">
        <f>HYPERLINK("http://dx.doi.org/10.1007/s00202-021-01327-0","http://dx.doi.org/10.1007/s00202-021-01327-0")</f>
        <v>http://dx.doi.org/10.1007/s00202-021-01327-0</v>
      </c>
      <c r="BJ84" s="34" t="s">
        <v>1225</v>
      </c>
      <c r="BK84" s="34" t="s">
        <v>1553</v>
      </c>
      <c r="BL84" s="34" t="s">
        <v>1225</v>
      </c>
      <c r="BM84" s="34" t="s">
        <v>1225</v>
      </c>
      <c r="BN84" s="34" t="s">
        <v>1225</v>
      </c>
      <c r="BO84" s="34" t="s">
        <v>1225</v>
      </c>
      <c r="BP84" s="34" t="s">
        <v>1225</v>
      </c>
      <c r="BQ84" s="34" t="s">
        <v>1225</v>
      </c>
      <c r="BR84" s="34" t="s">
        <v>1225</v>
      </c>
      <c r="BS84" s="34" t="s">
        <v>1225</v>
      </c>
      <c r="BT84" s="34" t="s">
        <v>1225</v>
      </c>
      <c r="BU84" s="34" t="s">
        <v>1225</v>
      </c>
      <c r="BV84" s="34" t="s">
        <v>1225</v>
      </c>
      <c r="BW84" s="34" t="str">
        <f t="shared" si="2"/>
        <v>View Full Record in Web of Science</v>
      </c>
      <c r="BX84" s="34"/>
      <c r="BY84" s="41" t="str">
        <f>IF(Deletion!J84=TRUE,"Yes","No")</f>
        <v>Yes</v>
      </c>
    </row>
    <row r="85" spans="1:77" x14ac:dyDescent="0.15">
      <c r="A85" s="34">
        <f t="shared" si="3"/>
        <v>84</v>
      </c>
      <c r="B85" s="37" t="s">
        <v>1739</v>
      </c>
      <c r="C85" s="34" t="s">
        <v>1232</v>
      </c>
      <c r="D85" s="34" t="s">
        <v>1223</v>
      </c>
      <c r="E85" s="34" t="s">
        <v>1740</v>
      </c>
      <c r="F85" s="34" t="s">
        <v>1225</v>
      </c>
      <c r="G85" s="34" t="s">
        <v>1225</v>
      </c>
      <c r="H85" s="34" t="s">
        <v>1225</v>
      </c>
      <c r="I85" s="34" t="s">
        <v>1741</v>
      </c>
      <c r="J85" s="34" t="s">
        <v>1225</v>
      </c>
      <c r="K85" s="34" t="s">
        <v>1225</v>
      </c>
      <c r="L85" s="34" t="s">
        <v>1742</v>
      </c>
      <c r="M85" s="34" t="s">
        <v>1743</v>
      </c>
      <c r="N85" s="34" t="s">
        <v>1225</v>
      </c>
      <c r="O85" s="34" t="s">
        <v>1225</v>
      </c>
      <c r="P85" s="34" t="s">
        <v>1225</v>
      </c>
      <c r="Q85" s="34" t="s">
        <v>1227</v>
      </c>
      <c r="R85" s="34" t="s">
        <v>1225</v>
      </c>
      <c r="S85" s="34" t="s">
        <v>1225</v>
      </c>
      <c r="T85" s="34" t="s">
        <v>1225</v>
      </c>
      <c r="U85" s="34" t="s">
        <v>1225</v>
      </c>
      <c r="V85" s="34" t="s">
        <v>1225</v>
      </c>
      <c r="W85" s="34" t="s">
        <v>1744</v>
      </c>
      <c r="X85" s="34" t="s">
        <v>1259</v>
      </c>
      <c r="Y85" s="34" t="s">
        <v>1745</v>
      </c>
      <c r="Z85" s="34" t="s">
        <v>1225</v>
      </c>
      <c r="AA85" s="34" t="s">
        <v>1225</v>
      </c>
      <c r="AB85" s="34" t="s">
        <v>1225</v>
      </c>
      <c r="AC85" s="34" t="s">
        <v>1225</v>
      </c>
      <c r="AD85" s="34" t="s">
        <v>1225</v>
      </c>
      <c r="AE85" s="34" t="s">
        <v>1225</v>
      </c>
      <c r="AF85" s="34" t="s">
        <v>1225</v>
      </c>
      <c r="AG85" s="34" t="s">
        <v>1225</v>
      </c>
      <c r="AH85" s="34" t="s">
        <v>1225</v>
      </c>
      <c r="AI85" s="34" t="s">
        <v>1225</v>
      </c>
      <c r="AJ85" s="34" t="s">
        <v>1225</v>
      </c>
      <c r="AK85" s="34" t="s">
        <v>1225</v>
      </c>
      <c r="AL85" s="34" t="s">
        <v>1225</v>
      </c>
      <c r="AM85" s="34" t="s">
        <v>1225</v>
      </c>
      <c r="AN85" s="34" t="s">
        <v>1225</v>
      </c>
      <c r="AO85" s="34" t="s">
        <v>1225</v>
      </c>
      <c r="AP85" s="34" t="s">
        <v>1225</v>
      </c>
      <c r="AQ85" s="34" t="s">
        <v>1225</v>
      </c>
      <c r="AR85" s="34" t="s">
        <v>1225</v>
      </c>
      <c r="AS85" s="34" t="s">
        <v>1225</v>
      </c>
      <c r="AT85" s="34" t="s">
        <v>1225</v>
      </c>
      <c r="AU85" s="34" t="s">
        <v>1225</v>
      </c>
      <c r="AV85" s="34" t="s">
        <v>1225</v>
      </c>
      <c r="AW85" s="34" t="s">
        <v>1746</v>
      </c>
      <c r="AX85" s="34">
        <v>2020</v>
      </c>
      <c r="AY85" s="34">
        <v>56</v>
      </c>
      <c r="AZ85" s="34">
        <v>5</v>
      </c>
      <c r="BA85" s="34" t="s">
        <v>1747</v>
      </c>
      <c r="BB85" s="34" t="s">
        <v>1225</v>
      </c>
      <c r="BC85" s="34" t="s">
        <v>1225</v>
      </c>
      <c r="BD85" s="34" t="s">
        <v>1225</v>
      </c>
      <c r="BE85" s="34">
        <v>5704</v>
      </c>
      <c r="BF85" s="34">
        <v>5715</v>
      </c>
      <c r="BG85" s="34" t="s">
        <v>1225</v>
      </c>
      <c r="BH85" s="34" t="s">
        <v>1748</v>
      </c>
      <c r="BI85" s="34" t="str">
        <f>HYPERLINK("http://dx.doi.org/10.1109/TIA.2020.2993988","http://dx.doi.org/10.1109/TIA.2020.2993988")</f>
        <v>http://dx.doi.org/10.1109/TIA.2020.2993988</v>
      </c>
      <c r="BJ85" s="34" t="s">
        <v>1225</v>
      </c>
      <c r="BK85" s="34" t="s">
        <v>1225</v>
      </c>
      <c r="BL85" s="34" t="s">
        <v>1225</v>
      </c>
      <c r="BM85" s="34" t="s">
        <v>1225</v>
      </c>
      <c r="BN85" s="34" t="s">
        <v>1225</v>
      </c>
      <c r="BO85" s="34" t="s">
        <v>1225</v>
      </c>
      <c r="BP85" s="34" t="s">
        <v>1225</v>
      </c>
      <c r="BQ85" s="34" t="s">
        <v>1225</v>
      </c>
      <c r="BR85" s="34" t="s">
        <v>1225</v>
      </c>
      <c r="BS85" s="34" t="s">
        <v>1225</v>
      </c>
      <c r="BT85" s="34" t="s">
        <v>1225</v>
      </c>
      <c r="BU85" s="34" t="s">
        <v>1225</v>
      </c>
      <c r="BV85" s="34" t="s">
        <v>1225</v>
      </c>
      <c r="BW85" s="34" t="str">
        <f t="shared" si="2"/>
        <v>View Full Record in Web of Science</v>
      </c>
      <c r="BX85" s="34"/>
      <c r="BY85" s="41" t="str">
        <f>IF(Deletion!J85=TRUE,"Yes","No")</f>
        <v>Yes</v>
      </c>
    </row>
    <row r="86" spans="1:77" x14ac:dyDescent="0.15">
      <c r="A86" s="33">
        <f t="shared" si="3"/>
        <v>85</v>
      </c>
      <c r="B86" s="33" t="s">
        <v>1222</v>
      </c>
      <c r="C86" s="33" t="s">
        <v>1222</v>
      </c>
      <c r="D86" s="33" t="s">
        <v>1223</v>
      </c>
      <c r="E86" s="33" t="s">
        <v>1639</v>
      </c>
      <c r="F86" s="33" t="s">
        <v>1225</v>
      </c>
      <c r="G86" s="33" t="s">
        <v>1225</v>
      </c>
      <c r="H86" s="33" t="s">
        <v>1225</v>
      </c>
      <c r="I86" s="33" t="s">
        <v>544</v>
      </c>
      <c r="J86" s="33" t="s">
        <v>1225</v>
      </c>
      <c r="K86" s="33" t="s">
        <v>1225</v>
      </c>
      <c r="L86" s="33" t="s">
        <v>543</v>
      </c>
      <c r="M86" s="33" t="s">
        <v>68</v>
      </c>
      <c r="N86" s="33" t="s">
        <v>1225</v>
      </c>
      <c r="O86" s="33" t="s">
        <v>1225</v>
      </c>
      <c r="P86" s="33" t="s">
        <v>1225</v>
      </c>
      <c r="Q86" s="33" t="s">
        <v>1227</v>
      </c>
      <c r="R86" s="33" t="s">
        <v>1225</v>
      </c>
      <c r="S86" s="33" t="s">
        <v>1225</v>
      </c>
      <c r="T86" s="33" t="s">
        <v>1225</v>
      </c>
      <c r="U86" s="33" t="s">
        <v>1225</v>
      </c>
      <c r="V86" s="33" t="s">
        <v>1225</v>
      </c>
      <c r="W86" s="33" t="s">
        <v>546</v>
      </c>
      <c r="X86" s="33" t="s">
        <v>1749</v>
      </c>
      <c r="Y86" s="33" t="s">
        <v>545</v>
      </c>
      <c r="Z86" s="33" t="s">
        <v>1225</v>
      </c>
      <c r="AA86" s="33" t="s">
        <v>1225</v>
      </c>
      <c r="AB86" s="33" t="s">
        <v>1225</v>
      </c>
      <c r="AC86" s="33" t="s">
        <v>1225</v>
      </c>
      <c r="AD86" s="33" t="s">
        <v>1225</v>
      </c>
      <c r="AE86" s="33" t="s">
        <v>1225</v>
      </c>
      <c r="AF86" s="33" t="s">
        <v>1225</v>
      </c>
      <c r="AG86" s="33" t="s">
        <v>1225</v>
      </c>
      <c r="AH86" s="33" t="s">
        <v>1225</v>
      </c>
      <c r="AI86" s="33" t="s">
        <v>1225</v>
      </c>
      <c r="AJ86" s="33" t="s">
        <v>1225</v>
      </c>
      <c r="AK86" s="33" t="s">
        <v>1225</v>
      </c>
      <c r="AL86" s="33" t="s">
        <v>1225</v>
      </c>
      <c r="AM86" s="33" t="s">
        <v>1225</v>
      </c>
      <c r="AN86" s="33" t="s">
        <v>1225</v>
      </c>
      <c r="AO86" s="33" t="s">
        <v>1225</v>
      </c>
      <c r="AP86" s="33" t="s">
        <v>1225</v>
      </c>
      <c r="AQ86" s="33" t="s">
        <v>1225</v>
      </c>
      <c r="AR86" s="33" t="s">
        <v>1225</v>
      </c>
      <c r="AS86" s="33" t="s">
        <v>1225</v>
      </c>
      <c r="AT86" s="33" t="s">
        <v>1225</v>
      </c>
      <c r="AU86" s="33" t="s">
        <v>1225</v>
      </c>
      <c r="AV86" s="33" t="s">
        <v>1225</v>
      </c>
      <c r="AW86" s="33" t="s">
        <v>1225</v>
      </c>
      <c r="AX86" s="33">
        <v>2018</v>
      </c>
      <c r="AY86" s="33">
        <v>6</v>
      </c>
      <c r="AZ86" s="33" t="s">
        <v>1225</v>
      </c>
      <c r="BA86" s="33" t="s">
        <v>1225</v>
      </c>
      <c r="BB86" s="33" t="s">
        <v>1225</v>
      </c>
      <c r="BC86" s="33" t="s">
        <v>1225</v>
      </c>
      <c r="BD86" s="33" t="s">
        <v>1225</v>
      </c>
      <c r="BE86" s="33">
        <v>54624</v>
      </c>
      <c r="BF86" s="33">
        <v>54635</v>
      </c>
      <c r="BG86" s="33" t="s">
        <v>1225</v>
      </c>
      <c r="BH86" s="33" t="s">
        <v>1750</v>
      </c>
      <c r="BI86" s="33" t="str">
        <f>HYPERLINK("http://dx.doi.org/10.1109/ACCESS.2018.2872725","http://dx.doi.org/10.1109/ACCESS.2018.2872725")</f>
        <v>http://dx.doi.org/10.1109/ACCESS.2018.2872725</v>
      </c>
      <c r="BJ86" s="33" t="s">
        <v>1225</v>
      </c>
      <c r="BK86" s="33" t="s">
        <v>1225</v>
      </c>
      <c r="BL86" s="33" t="s">
        <v>1225</v>
      </c>
      <c r="BM86" s="33" t="s">
        <v>1225</v>
      </c>
      <c r="BN86" s="33" t="s">
        <v>1225</v>
      </c>
      <c r="BO86" s="33" t="s">
        <v>1225</v>
      </c>
      <c r="BP86" s="33" t="s">
        <v>1225</v>
      </c>
      <c r="BQ86" s="33" t="s">
        <v>1225</v>
      </c>
      <c r="BR86" s="33" t="s">
        <v>1225</v>
      </c>
      <c r="BS86" s="33" t="s">
        <v>1225</v>
      </c>
      <c r="BT86" s="33" t="s">
        <v>1225</v>
      </c>
      <c r="BU86" s="33" t="s">
        <v>1225</v>
      </c>
      <c r="BV86" s="33" t="s">
        <v>1225</v>
      </c>
      <c r="BW86" s="33" t="str">
        <f t="shared" si="2"/>
        <v>View Full Record in Web of Science</v>
      </c>
      <c r="BX86" s="33"/>
      <c r="BY86" s="41" t="str">
        <f>IF(Deletion!J86=TRUE,"Yes","No")</f>
        <v>Yes</v>
      </c>
    </row>
    <row r="87" spans="1:77" x14ac:dyDescent="0.15">
      <c r="A87" s="34">
        <f t="shared" si="3"/>
        <v>86</v>
      </c>
      <c r="B87" s="35" t="s">
        <v>1751</v>
      </c>
      <c r="C87" s="34" t="s">
        <v>1232</v>
      </c>
      <c r="D87" s="34" t="s">
        <v>1223</v>
      </c>
      <c r="E87" s="34" t="s">
        <v>1752</v>
      </c>
      <c r="F87" s="34" t="s">
        <v>1225</v>
      </c>
      <c r="G87" s="34" t="s">
        <v>1225</v>
      </c>
      <c r="H87" s="34" t="s">
        <v>1225</v>
      </c>
      <c r="I87" s="34" t="s">
        <v>1753</v>
      </c>
      <c r="J87" s="34" t="s">
        <v>1225</v>
      </c>
      <c r="K87" s="34" t="s">
        <v>1225</v>
      </c>
      <c r="L87" s="34" t="s">
        <v>1754</v>
      </c>
      <c r="M87" s="34" t="s">
        <v>1755</v>
      </c>
      <c r="N87" s="34" t="s">
        <v>1225</v>
      </c>
      <c r="O87" s="34" t="s">
        <v>1225</v>
      </c>
      <c r="P87" s="34" t="s">
        <v>1225</v>
      </c>
      <c r="Q87" s="34" t="s">
        <v>1688</v>
      </c>
      <c r="R87" s="34" t="s">
        <v>1225</v>
      </c>
      <c r="S87" s="34" t="s">
        <v>1225</v>
      </c>
      <c r="T87" s="34" t="s">
        <v>1225</v>
      </c>
      <c r="U87" s="34" t="s">
        <v>1225</v>
      </c>
      <c r="V87" s="34" t="s">
        <v>1225</v>
      </c>
      <c r="W87" s="34" t="s">
        <v>1756</v>
      </c>
      <c r="X87" s="34" t="s">
        <v>1757</v>
      </c>
      <c r="Y87" s="34" t="s">
        <v>1758</v>
      </c>
      <c r="Z87" s="34" t="s">
        <v>1225</v>
      </c>
      <c r="AA87" s="34" t="s">
        <v>1225</v>
      </c>
      <c r="AB87" s="34" t="s">
        <v>1225</v>
      </c>
      <c r="AC87" s="34" t="s">
        <v>1225</v>
      </c>
      <c r="AD87" s="34" t="s">
        <v>1225</v>
      </c>
      <c r="AE87" s="34" t="s">
        <v>1225</v>
      </c>
      <c r="AF87" s="34" t="s">
        <v>1225</v>
      </c>
      <c r="AG87" s="34" t="s">
        <v>1225</v>
      </c>
      <c r="AH87" s="34" t="s">
        <v>1225</v>
      </c>
      <c r="AI87" s="34" t="s">
        <v>1225</v>
      </c>
      <c r="AJ87" s="34" t="s">
        <v>1225</v>
      </c>
      <c r="AK87" s="34" t="s">
        <v>1225</v>
      </c>
      <c r="AL87" s="34" t="s">
        <v>1225</v>
      </c>
      <c r="AM87" s="34" t="s">
        <v>1225</v>
      </c>
      <c r="AN87" s="34" t="s">
        <v>1225</v>
      </c>
      <c r="AO87" s="34" t="s">
        <v>1225</v>
      </c>
      <c r="AP87" s="34" t="s">
        <v>1225</v>
      </c>
      <c r="AQ87" s="34" t="s">
        <v>1225</v>
      </c>
      <c r="AR87" s="34" t="s">
        <v>1225</v>
      </c>
      <c r="AS87" s="34" t="s">
        <v>1225</v>
      </c>
      <c r="AT87" s="34" t="s">
        <v>1225</v>
      </c>
      <c r="AU87" s="34" t="s">
        <v>1225</v>
      </c>
      <c r="AV87" s="34" t="s">
        <v>1225</v>
      </c>
      <c r="AW87" s="34" t="s">
        <v>1225</v>
      </c>
      <c r="AX87" s="34" t="s">
        <v>1225</v>
      </c>
      <c r="AY87" s="34" t="s">
        <v>1225</v>
      </c>
      <c r="AZ87" s="34" t="s">
        <v>1225</v>
      </c>
      <c r="BA87" s="34" t="s">
        <v>1225</v>
      </c>
      <c r="BB87" s="34" t="s">
        <v>1225</v>
      </c>
      <c r="BC87" s="34" t="s">
        <v>1225</v>
      </c>
      <c r="BD87" s="34" t="s">
        <v>1225</v>
      </c>
      <c r="BE87" s="34" t="s">
        <v>1225</v>
      </c>
      <c r="BF87" s="34" t="s">
        <v>1225</v>
      </c>
      <c r="BG87" s="34" t="s">
        <v>1225</v>
      </c>
      <c r="BH87" s="34" t="s">
        <v>1759</v>
      </c>
      <c r="BI87" s="34" t="str">
        <f>HYPERLINK("http://dx.doi.org/10.1080/15567036.2021.1974983","http://dx.doi.org/10.1080/15567036.2021.1974983")</f>
        <v>http://dx.doi.org/10.1080/15567036.2021.1974983</v>
      </c>
      <c r="BJ87" s="34" t="s">
        <v>1225</v>
      </c>
      <c r="BK87" s="34" t="s">
        <v>1502</v>
      </c>
      <c r="BL87" s="34" t="s">
        <v>1225</v>
      </c>
      <c r="BM87" s="34" t="s">
        <v>1225</v>
      </c>
      <c r="BN87" s="34" t="s">
        <v>1225</v>
      </c>
      <c r="BO87" s="34" t="s">
        <v>1225</v>
      </c>
      <c r="BP87" s="34" t="s">
        <v>1225</v>
      </c>
      <c r="BQ87" s="34" t="s">
        <v>1225</v>
      </c>
      <c r="BR87" s="34" t="s">
        <v>1225</v>
      </c>
      <c r="BS87" s="34" t="s">
        <v>1225</v>
      </c>
      <c r="BT87" s="34" t="s">
        <v>1225</v>
      </c>
      <c r="BU87" s="34" t="s">
        <v>1225</v>
      </c>
      <c r="BV87" s="34" t="s">
        <v>1225</v>
      </c>
      <c r="BW87" s="34" t="str">
        <f t="shared" si="2"/>
        <v>View Full Record in Web of Science</v>
      </c>
      <c r="BX87" s="34"/>
      <c r="BY87" s="41" t="str">
        <f>IF(Deletion!J87=TRUE,"Yes","No")</f>
        <v>Yes</v>
      </c>
    </row>
    <row r="88" spans="1:77" x14ac:dyDescent="0.15">
      <c r="A88" s="38">
        <f t="shared" si="3"/>
        <v>87</v>
      </c>
      <c r="B88" s="38" t="s">
        <v>1413</v>
      </c>
      <c r="C88" s="38" t="s">
        <v>1413</v>
      </c>
      <c r="D88" s="38" t="s">
        <v>1223</v>
      </c>
      <c r="E88" s="38" t="s">
        <v>1760</v>
      </c>
      <c r="F88" s="39" t="s">
        <v>1225</v>
      </c>
      <c r="G88" s="39" t="s">
        <v>1225</v>
      </c>
      <c r="H88" s="39" t="s">
        <v>1225</v>
      </c>
      <c r="I88" s="38" t="s">
        <v>1761</v>
      </c>
      <c r="J88" s="39" t="s">
        <v>1225</v>
      </c>
      <c r="K88" s="39" t="s">
        <v>1225</v>
      </c>
      <c r="L88" s="38" t="s">
        <v>1762</v>
      </c>
      <c r="M88" s="38" t="s">
        <v>1451</v>
      </c>
      <c r="N88" s="39" t="s">
        <v>1225</v>
      </c>
      <c r="O88" s="39" t="s">
        <v>1225</v>
      </c>
      <c r="P88" s="39" t="s">
        <v>1225</v>
      </c>
      <c r="Q88" s="38" t="s">
        <v>1417</v>
      </c>
      <c r="R88" s="39" t="s">
        <v>1225</v>
      </c>
      <c r="S88" s="39" t="s">
        <v>1225</v>
      </c>
      <c r="T88" s="39" t="s">
        <v>1225</v>
      </c>
      <c r="U88" s="39" t="s">
        <v>1225</v>
      </c>
      <c r="V88" s="39" t="s">
        <v>1225</v>
      </c>
      <c r="W88" s="38" t="s">
        <v>1763</v>
      </c>
      <c r="X88" s="38" t="s">
        <v>1764</v>
      </c>
      <c r="Y88" s="38" t="s">
        <v>1765</v>
      </c>
      <c r="Z88" s="39" t="s">
        <v>1225</v>
      </c>
      <c r="AA88" s="39" t="s">
        <v>1225</v>
      </c>
      <c r="AB88" s="39" t="s">
        <v>1225</v>
      </c>
      <c r="AC88" s="39" t="s">
        <v>1225</v>
      </c>
      <c r="AD88" s="39" t="s">
        <v>1225</v>
      </c>
      <c r="AE88" s="39" t="s">
        <v>1225</v>
      </c>
      <c r="AF88" s="39" t="s">
        <v>1225</v>
      </c>
      <c r="AG88" s="39" t="s">
        <v>1225</v>
      </c>
      <c r="AH88" s="39" t="s">
        <v>1225</v>
      </c>
      <c r="AI88" s="39" t="s">
        <v>1225</v>
      </c>
      <c r="AJ88" s="39" t="s">
        <v>1225</v>
      </c>
      <c r="AK88" s="39" t="s">
        <v>1225</v>
      </c>
      <c r="AL88" s="39" t="s">
        <v>1225</v>
      </c>
      <c r="AM88" s="39" t="s">
        <v>1225</v>
      </c>
      <c r="AN88" s="39" t="s">
        <v>1225</v>
      </c>
      <c r="AO88" s="39" t="s">
        <v>1225</v>
      </c>
      <c r="AP88" s="39" t="s">
        <v>1225</v>
      </c>
      <c r="AQ88" s="39" t="s">
        <v>1225</v>
      </c>
      <c r="AR88" s="39" t="s">
        <v>1225</v>
      </c>
      <c r="AS88" s="39" t="s">
        <v>1225</v>
      </c>
      <c r="AT88" s="39" t="s">
        <v>1225</v>
      </c>
      <c r="AU88" s="39" t="s">
        <v>1225</v>
      </c>
      <c r="AV88" s="39" t="s">
        <v>1225</v>
      </c>
      <c r="AW88" s="38" t="s">
        <v>1276</v>
      </c>
      <c r="AX88" s="38">
        <v>2014</v>
      </c>
      <c r="AY88" s="39">
        <v>38</v>
      </c>
      <c r="AZ88" s="39" t="s">
        <v>1225</v>
      </c>
      <c r="BA88" s="39" t="s">
        <v>1225</v>
      </c>
      <c r="BB88" s="39" t="s">
        <v>1225</v>
      </c>
      <c r="BC88" s="39" t="s">
        <v>1225</v>
      </c>
      <c r="BD88" s="39" t="s">
        <v>1225</v>
      </c>
      <c r="BE88" s="39">
        <v>717</v>
      </c>
      <c r="BF88" s="39">
        <v>731</v>
      </c>
      <c r="BG88" s="39" t="s">
        <v>1225</v>
      </c>
      <c r="BH88" s="38" t="s">
        <v>1766</v>
      </c>
      <c r="BI88" s="38" t="str">
        <f>HYPERLINK("http://dx.doi.org/10.1016/j.rser.2014.07.040","http://dx.doi.org/10.1016/j.rser.2014.07.040")</f>
        <v>http://dx.doi.org/10.1016/j.rser.2014.07.040</v>
      </c>
      <c r="BJ88" s="39" t="s">
        <v>1225</v>
      </c>
      <c r="BK88" s="39" t="s">
        <v>1225</v>
      </c>
      <c r="BL88" s="39" t="s">
        <v>1225</v>
      </c>
      <c r="BM88" s="39" t="s">
        <v>1225</v>
      </c>
      <c r="BN88" s="39" t="s">
        <v>1225</v>
      </c>
      <c r="BO88" s="39" t="s">
        <v>1225</v>
      </c>
      <c r="BP88" s="39" t="s">
        <v>1225</v>
      </c>
      <c r="BQ88" s="39" t="s">
        <v>1225</v>
      </c>
      <c r="BR88" s="39" t="s">
        <v>1225</v>
      </c>
      <c r="BS88" s="39" t="s">
        <v>1225</v>
      </c>
      <c r="BT88" s="39" t="s">
        <v>1225</v>
      </c>
      <c r="BU88" s="39" t="s">
        <v>1225</v>
      </c>
      <c r="BV88" s="39" t="s">
        <v>1225</v>
      </c>
      <c r="BW88" s="39" t="str">
        <f t="shared" si="2"/>
        <v>View Full Record in Web of Science</v>
      </c>
      <c r="BX88" s="39"/>
      <c r="BY88" s="41" t="str">
        <f>IF(Deletion!J88=TRUE,"Yes","No")</f>
        <v>No</v>
      </c>
    </row>
    <row r="89" spans="1:77" x14ac:dyDescent="0.15">
      <c r="A89" s="34">
        <f t="shared" si="3"/>
        <v>88</v>
      </c>
      <c r="B89" s="34" t="s">
        <v>1767</v>
      </c>
      <c r="C89" s="34" t="s">
        <v>4</v>
      </c>
      <c r="D89" s="34" t="s">
        <v>1223</v>
      </c>
      <c r="E89" s="34" t="s">
        <v>1768</v>
      </c>
      <c r="F89" s="34" t="s">
        <v>1225</v>
      </c>
      <c r="G89" s="34" t="s">
        <v>1225</v>
      </c>
      <c r="H89" s="34" t="s">
        <v>1225</v>
      </c>
      <c r="I89" s="34" t="s">
        <v>1769</v>
      </c>
      <c r="J89" s="34" t="s">
        <v>1225</v>
      </c>
      <c r="K89" s="34" t="s">
        <v>1225</v>
      </c>
      <c r="L89" s="34" t="s">
        <v>1770</v>
      </c>
      <c r="M89" s="34" t="s">
        <v>1771</v>
      </c>
      <c r="N89" s="34" t="s">
        <v>1225</v>
      </c>
      <c r="O89" s="34" t="s">
        <v>1225</v>
      </c>
      <c r="P89" s="34" t="s">
        <v>1225</v>
      </c>
      <c r="Q89" s="34" t="s">
        <v>1227</v>
      </c>
      <c r="R89" s="34" t="s">
        <v>1225</v>
      </c>
      <c r="S89" s="34" t="s">
        <v>1225</v>
      </c>
      <c r="T89" s="34" t="s">
        <v>1225</v>
      </c>
      <c r="U89" s="34" t="s">
        <v>1225</v>
      </c>
      <c r="V89" s="34" t="s">
        <v>1225</v>
      </c>
      <c r="W89" s="34" t="s">
        <v>1772</v>
      </c>
      <c r="X89" s="34" t="s">
        <v>1773</v>
      </c>
      <c r="Y89" s="34" t="s">
        <v>1774</v>
      </c>
      <c r="Z89" s="34" t="s">
        <v>1225</v>
      </c>
      <c r="AA89" s="34" t="s">
        <v>1225</v>
      </c>
      <c r="AB89" s="34" t="s">
        <v>1225</v>
      </c>
      <c r="AC89" s="34" t="s">
        <v>1225</v>
      </c>
      <c r="AD89" s="34" t="s">
        <v>1225</v>
      </c>
      <c r="AE89" s="34" t="s">
        <v>1225</v>
      </c>
      <c r="AF89" s="34" t="s">
        <v>1225</v>
      </c>
      <c r="AG89" s="34" t="s">
        <v>1225</v>
      </c>
      <c r="AH89" s="34" t="s">
        <v>1225</v>
      </c>
      <c r="AI89" s="34" t="s">
        <v>1225</v>
      </c>
      <c r="AJ89" s="34" t="s">
        <v>1225</v>
      </c>
      <c r="AK89" s="34" t="s">
        <v>1225</v>
      </c>
      <c r="AL89" s="34" t="s">
        <v>1225</v>
      </c>
      <c r="AM89" s="34" t="s">
        <v>1225</v>
      </c>
      <c r="AN89" s="34" t="s">
        <v>1225</v>
      </c>
      <c r="AO89" s="34" t="s">
        <v>1225</v>
      </c>
      <c r="AP89" s="34" t="s">
        <v>1225</v>
      </c>
      <c r="AQ89" s="34" t="s">
        <v>1225</v>
      </c>
      <c r="AR89" s="34" t="s">
        <v>1225</v>
      </c>
      <c r="AS89" s="34" t="s">
        <v>1225</v>
      </c>
      <c r="AT89" s="34" t="s">
        <v>1225</v>
      </c>
      <c r="AU89" s="34" t="s">
        <v>1225</v>
      </c>
      <c r="AV89" s="34" t="s">
        <v>1225</v>
      </c>
      <c r="AW89" s="34" t="s">
        <v>1256</v>
      </c>
      <c r="AX89" s="34">
        <v>2021</v>
      </c>
      <c r="AY89" s="34">
        <v>28</v>
      </c>
      <c r="AZ89" s="34" t="s">
        <v>1225</v>
      </c>
      <c r="BA89" s="34" t="s">
        <v>1225</v>
      </c>
      <c r="BB89" s="34" t="s">
        <v>1225</v>
      </c>
      <c r="BC89" s="34" t="s">
        <v>1225</v>
      </c>
      <c r="BD89" s="34" t="s">
        <v>1225</v>
      </c>
      <c r="BE89" s="34" t="s">
        <v>1225</v>
      </c>
      <c r="BF89" s="34" t="s">
        <v>1225</v>
      </c>
      <c r="BG89" s="34">
        <v>100533</v>
      </c>
      <c r="BH89" s="34" t="s">
        <v>1775</v>
      </c>
      <c r="BI89" s="34" t="str">
        <f>HYPERLINK("http://dx.doi.org/10.1016/j.segan.2021.100533","http://dx.doi.org/10.1016/j.segan.2021.100533")</f>
        <v>http://dx.doi.org/10.1016/j.segan.2021.100533</v>
      </c>
      <c r="BJ89" s="34" t="s">
        <v>1225</v>
      </c>
      <c r="BK89" s="34" t="s">
        <v>1776</v>
      </c>
      <c r="BL89" s="34" t="s">
        <v>1225</v>
      </c>
      <c r="BM89" s="34" t="s">
        <v>1225</v>
      </c>
      <c r="BN89" s="34" t="s">
        <v>1225</v>
      </c>
      <c r="BO89" s="34" t="s">
        <v>1225</v>
      </c>
      <c r="BP89" s="34" t="s">
        <v>1225</v>
      </c>
      <c r="BQ89" s="34" t="s">
        <v>1225</v>
      </c>
      <c r="BR89" s="34" t="s">
        <v>1225</v>
      </c>
      <c r="BS89" s="34" t="s">
        <v>1225</v>
      </c>
      <c r="BT89" s="34" t="s">
        <v>1225</v>
      </c>
      <c r="BU89" s="34" t="s">
        <v>1225</v>
      </c>
      <c r="BV89" s="34" t="s">
        <v>1225</v>
      </c>
      <c r="BW89" s="34" t="str">
        <f t="shared" si="2"/>
        <v>View Full Record in Web of Science</v>
      </c>
      <c r="BX89" s="34"/>
      <c r="BY89" s="41" t="str">
        <f>IF(Deletion!J89=TRUE,"Yes","No")</f>
        <v>Yes</v>
      </c>
    </row>
    <row r="90" spans="1:77" x14ac:dyDescent="0.15">
      <c r="A90" s="33">
        <f t="shared" si="3"/>
        <v>89</v>
      </c>
      <c r="B90" s="33" t="s">
        <v>1222</v>
      </c>
      <c r="C90" s="33" t="s">
        <v>1222</v>
      </c>
      <c r="D90" s="33" t="s">
        <v>1223</v>
      </c>
      <c r="E90" s="33" t="s">
        <v>1777</v>
      </c>
      <c r="F90" s="33" t="s">
        <v>1225</v>
      </c>
      <c r="G90" s="33" t="s">
        <v>1225</v>
      </c>
      <c r="H90" s="33" t="s">
        <v>1225</v>
      </c>
      <c r="I90" s="33" t="s">
        <v>554</v>
      </c>
      <c r="J90" s="33" t="s">
        <v>1225</v>
      </c>
      <c r="K90" s="33" t="s">
        <v>1225</v>
      </c>
      <c r="L90" s="33" t="s">
        <v>552</v>
      </c>
      <c r="M90" s="33" t="s">
        <v>553</v>
      </c>
      <c r="N90" s="33" t="s">
        <v>1225</v>
      </c>
      <c r="O90" s="33" t="s">
        <v>1225</v>
      </c>
      <c r="P90" s="33" t="s">
        <v>1225</v>
      </c>
      <c r="Q90" s="33" t="s">
        <v>1227</v>
      </c>
      <c r="R90" s="33" t="s">
        <v>1225</v>
      </c>
      <c r="S90" s="33" t="s">
        <v>1225</v>
      </c>
      <c r="T90" s="33" t="s">
        <v>1225</v>
      </c>
      <c r="U90" s="33" t="s">
        <v>1225</v>
      </c>
      <c r="V90" s="33" t="s">
        <v>1225</v>
      </c>
      <c r="W90" s="33" t="s">
        <v>556</v>
      </c>
      <c r="X90" s="33" t="s">
        <v>1225</v>
      </c>
      <c r="Y90" s="33" t="s">
        <v>555</v>
      </c>
      <c r="Z90" s="33" t="s">
        <v>1225</v>
      </c>
      <c r="AA90" s="33" t="s">
        <v>1225</v>
      </c>
      <c r="AB90" s="33" t="s">
        <v>1225</v>
      </c>
      <c r="AC90" s="33" t="s">
        <v>1225</v>
      </c>
      <c r="AD90" s="33" t="s">
        <v>1225</v>
      </c>
      <c r="AE90" s="33" t="s">
        <v>1225</v>
      </c>
      <c r="AF90" s="33" t="s">
        <v>1225</v>
      </c>
      <c r="AG90" s="33" t="s">
        <v>1225</v>
      </c>
      <c r="AH90" s="33" t="s">
        <v>1225</v>
      </c>
      <c r="AI90" s="33" t="s">
        <v>1225</v>
      </c>
      <c r="AJ90" s="33" t="s">
        <v>1225</v>
      </c>
      <c r="AK90" s="33" t="s">
        <v>1225</v>
      </c>
      <c r="AL90" s="33" t="s">
        <v>1225</v>
      </c>
      <c r="AM90" s="33" t="s">
        <v>1225</v>
      </c>
      <c r="AN90" s="33" t="s">
        <v>1225</v>
      </c>
      <c r="AO90" s="33" t="s">
        <v>1225</v>
      </c>
      <c r="AP90" s="33" t="s">
        <v>1225</v>
      </c>
      <c r="AQ90" s="33" t="s">
        <v>1225</v>
      </c>
      <c r="AR90" s="33" t="s">
        <v>1225</v>
      </c>
      <c r="AS90" s="33" t="s">
        <v>1225</v>
      </c>
      <c r="AT90" s="33" t="s">
        <v>1225</v>
      </c>
      <c r="AU90" s="33" t="s">
        <v>1225</v>
      </c>
      <c r="AV90" s="33" t="s">
        <v>1225</v>
      </c>
      <c r="AW90" s="33" t="s">
        <v>1276</v>
      </c>
      <c r="AX90" s="33">
        <v>2020</v>
      </c>
      <c r="AY90" s="33">
        <v>87</v>
      </c>
      <c r="AZ90" s="33" t="s">
        <v>1225</v>
      </c>
      <c r="BA90" s="33" t="s">
        <v>1225</v>
      </c>
      <c r="BB90" s="33" t="s">
        <v>1225</v>
      </c>
      <c r="BC90" s="33" t="s">
        <v>1225</v>
      </c>
      <c r="BD90" s="33" t="s">
        <v>1225</v>
      </c>
      <c r="BE90" s="33" t="s">
        <v>1225</v>
      </c>
      <c r="BF90" s="33" t="s">
        <v>1225</v>
      </c>
      <c r="BG90" s="33">
        <v>102481</v>
      </c>
      <c r="BH90" s="33" t="s">
        <v>1778</v>
      </c>
      <c r="BI90" s="33" t="str">
        <f>HYPERLINK("http://dx.doi.org/10.1016/j.trd.2020.102481","http://dx.doi.org/10.1016/j.trd.2020.102481")</f>
        <v>http://dx.doi.org/10.1016/j.trd.2020.102481</v>
      </c>
      <c r="BJ90" s="33" t="s">
        <v>1225</v>
      </c>
      <c r="BK90" s="33" t="s">
        <v>1225</v>
      </c>
      <c r="BL90" s="33" t="s">
        <v>1225</v>
      </c>
      <c r="BM90" s="33" t="s">
        <v>1225</v>
      </c>
      <c r="BN90" s="33" t="s">
        <v>1225</v>
      </c>
      <c r="BO90" s="33" t="s">
        <v>1225</v>
      </c>
      <c r="BP90" s="33" t="s">
        <v>1225</v>
      </c>
      <c r="BQ90" s="33" t="s">
        <v>1225</v>
      </c>
      <c r="BR90" s="33" t="s">
        <v>1225</v>
      </c>
      <c r="BS90" s="33" t="s">
        <v>1225</v>
      </c>
      <c r="BT90" s="33" t="s">
        <v>1225</v>
      </c>
      <c r="BU90" s="33" t="s">
        <v>1225</v>
      </c>
      <c r="BV90" s="33" t="s">
        <v>1225</v>
      </c>
      <c r="BW90" s="33" t="str">
        <f t="shared" si="2"/>
        <v>View Full Record in Web of Science</v>
      </c>
      <c r="BX90" s="33"/>
      <c r="BY90" s="41" t="str">
        <f>IF(Deletion!J90=TRUE,"Yes","No")</f>
        <v>Yes</v>
      </c>
    </row>
    <row r="91" spans="1:77" x14ac:dyDescent="0.15">
      <c r="A91" s="34">
        <f t="shared" si="3"/>
        <v>90</v>
      </c>
      <c r="B91" s="34" t="s">
        <v>1779</v>
      </c>
      <c r="C91" s="34" t="s">
        <v>1232</v>
      </c>
      <c r="D91" s="34" t="s">
        <v>1223</v>
      </c>
      <c r="E91" s="34" t="s">
        <v>1780</v>
      </c>
      <c r="F91" s="34" t="s">
        <v>1225</v>
      </c>
      <c r="G91" s="34" t="s">
        <v>1225</v>
      </c>
      <c r="H91" s="34" t="s">
        <v>1225</v>
      </c>
      <c r="I91" s="34" t="s">
        <v>1781</v>
      </c>
      <c r="J91" s="34" t="s">
        <v>1225</v>
      </c>
      <c r="K91" s="34" t="s">
        <v>1225</v>
      </c>
      <c r="L91" s="34" t="s">
        <v>1782</v>
      </c>
      <c r="M91" s="34" t="s">
        <v>124</v>
      </c>
      <c r="N91" s="34" t="s">
        <v>1225</v>
      </c>
      <c r="O91" s="34" t="s">
        <v>1225</v>
      </c>
      <c r="P91" s="34" t="s">
        <v>1225</v>
      </c>
      <c r="Q91" s="34" t="s">
        <v>1227</v>
      </c>
      <c r="R91" s="34" t="s">
        <v>1225</v>
      </c>
      <c r="S91" s="34" t="s">
        <v>1225</v>
      </c>
      <c r="T91" s="34" t="s">
        <v>1225</v>
      </c>
      <c r="U91" s="34" t="s">
        <v>1225</v>
      </c>
      <c r="V91" s="34" t="s">
        <v>1225</v>
      </c>
      <c r="W91" s="34" t="s">
        <v>1783</v>
      </c>
      <c r="X91" s="34" t="s">
        <v>1784</v>
      </c>
      <c r="Y91" s="34" t="s">
        <v>1785</v>
      </c>
      <c r="Z91" s="34" t="s">
        <v>1225</v>
      </c>
      <c r="AA91" s="34" t="s">
        <v>1225</v>
      </c>
      <c r="AB91" s="34" t="s">
        <v>1225</v>
      </c>
      <c r="AC91" s="34" t="s">
        <v>1225</v>
      </c>
      <c r="AD91" s="34" t="s">
        <v>1225</v>
      </c>
      <c r="AE91" s="34" t="s">
        <v>1225</v>
      </c>
      <c r="AF91" s="34" t="s">
        <v>1225</v>
      </c>
      <c r="AG91" s="34" t="s">
        <v>1225</v>
      </c>
      <c r="AH91" s="34" t="s">
        <v>1225</v>
      </c>
      <c r="AI91" s="34" t="s">
        <v>1225</v>
      </c>
      <c r="AJ91" s="34" t="s">
        <v>1225</v>
      </c>
      <c r="AK91" s="34" t="s">
        <v>1225</v>
      </c>
      <c r="AL91" s="34" t="s">
        <v>1225</v>
      </c>
      <c r="AM91" s="34" t="s">
        <v>1225</v>
      </c>
      <c r="AN91" s="34" t="s">
        <v>1225</v>
      </c>
      <c r="AO91" s="34" t="s">
        <v>1225</v>
      </c>
      <c r="AP91" s="34" t="s">
        <v>1225</v>
      </c>
      <c r="AQ91" s="34" t="s">
        <v>1225</v>
      </c>
      <c r="AR91" s="34" t="s">
        <v>1225</v>
      </c>
      <c r="AS91" s="34" t="s">
        <v>1225</v>
      </c>
      <c r="AT91" s="34" t="s">
        <v>1225</v>
      </c>
      <c r="AU91" s="34" t="s">
        <v>1225</v>
      </c>
      <c r="AV91" s="34" t="s">
        <v>1225</v>
      </c>
      <c r="AW91" s="34" t="s">
        <v>1272</v>
      </c>
      <c r="AX91" s="34">
        <v>2014</v>
      </c>
      <c r="AY91" s="34">
        <v>5</v>
      </c>
      <c r="AZ91" s="34">
        <v>2</v>
      </c>
      <c r="BA91" s="34" t="s">
        <v>1225</v>
      </c>
      <c r="BB91" s="34" t="s">
        <v>1225</v>
      </c>
      <c r="BC91" s="34" t="s">
        <v>1225</v>
      </c>
      <c r="BD91" s="34" t="s">
        <v>1225</v>
      </c>
      <c r="BE91" s="34">
        <v>642</v>
      </c>
      <c r="BF91" s="34">
        <v>650</v>
      </c>
      <c r="BG91" s="34" t="s">
        <v>1225</v>
      </c>
      <c r="BH91" s="34" t="s">
        <v>1786</v>
      </c>
      <c r="BI91" s="34" t="str">
        <f>HYPERLINK("http://dx.doi.org/10.1109/TSG.2013.2291384","http://dx.doi.org/10.1109/TSG.2013.2291384")</f>
        <v>http://dx.doi.org/10.1109/TSG.2013.2291384</v>
      </c>
      <c r="BJ91" s="34" t="s">
        <v>1225</v>
      </c>
      <c r="BK91" s="34" t="s">
        <v>1225</v>
      </c>
      <c r="BL91" s="34" t="s">
        <v>1225</v>
      </c>
      <c r="BM91" s="34" t="s">
        <v>1225</v>
      </c>
      <c r="BN91" s="34" t="s">
        <v>1225</v>
      </c>
      <c r="BO91" s="34" t="s">
        <v>1225</v>
      </c>
      <c r="BP91" s="34" t="s">
        <v>1225</v>
      </c>
      <c r="BQ91" s="34" t="s">
        <v>1225</v>
      </c>
      <c r="BR91" s="34" t="s">
        <v>1225</v>
      </c>
      <c r="BS91" s="34" t="s">
        <v>1225</v>
      </c>
      <c r="BT91" s="34" t="s">
        <v>1225</v>
      </c>
      <c r="BU91" s="34" t="s">
        <v>1225</v>
      </c>
      <c r="BV91" s="34" t="s">
        <v>1225</v>
      </c>
      <c r="BW91" s="34" t="str">
        <f t="shared" si="2"/>
        <v>View Full Record in Web of Science</v>
      </c>
      <c r="BX91" s="34"/>
      <c r="BY91" s="41" t="str">
        <f>IF(Deletion!J91=TRUE,"Yes","No")</f>
        <v>Yes</v>
      </c>
    </row>
    <row r="92" spans="1:77" x14ac:dyDescent="0.15">
      <c r="A92" s="33">
        <f t="shared" si="3"/>
        <v>91</v>
      </c>
      <c r="B92" s="33" t="s">
        <v>1222</v>
      </c>
      <c r="C92" s="33" t="s">
        <v>1222</v>
      </c>
      <c r="D92" s="33" t="s">
        <v>1223</v>
      </c>
      <c r="E92" s="33" t="s">
        <v>1787</v>
      </c>
      <c r="F92" s="33" t="s">
        <v>1225</v>
      </c>
      <c r="G92" s="33" t="s">
        <v>1225</v>
      </c>
      <c r="H92" s="33" t="s">
        <v>1225</v>
      </c>
      <c r="I92" s="33" t="s">
        <v>573</v>
      </c>
      <c r="J92" s="33" t="s">
        <v>1225</v>
      </c>
      <c r="K92" s="33" t="s">
        <v>1225</v>
      </c>
      <c r="L92" s="33" t="s">
        <v>571</v>
      </c>
      <c r="M92" s="33" t="s">
        <v>572</v>
      </c>
      <c r="N92" s="33" t="s">
        <v>1225</v>
      </c>
      <c r="O92" s="33" t="s">
        <v>1225</v>
      </c>
      <c r="P92" s="33" t="s">
        <v>1225</v>
      </c>
      <c r="Q92" s="33" t="s">
        <v>1227</v>
      </c>
      <c r="R92" s="33" t="s">
        <v>1225</v>
      </c>
      <c r="S92" s="33" t="s">
        <v>1225</v>
      </c>
      <c r="T92" s="33" t="s">
        <v>1225</v>
      </c>
      <c r="U92" s="33" t="s">
        <v>1225</v>
      </c>
      <c r="V92" s="33" t="s">
        <v>1225</v>
      </c>
      <c r="W92" s="33" t="s">
        <v>575</v>
      </c>
      <c r="X92" s="33" t="s">
        <v>1788</v>
      </c>
      <c r="Y92" s="33" t="s">
        <v>574</v>
      </c>
      <c r="Z92" s="33" t="s">
        <v>1225</v>
      </c>
      <c r="AA92" s="33" t="s">
        <v>1225</v>
      </c>
      <c r="AB92" s="33" t="s">
        <v>1225</v>
      </c>
      <c r="AC92" s="33" t="s">
        <v>1225</v>
      </c>
      <c r="AD92" s="33" t="s">
        <v>1225</v>
      </c>
      <c r="AE92" s="33" t="s">
        <v>1225</v>
      </c>
      <c r="AF92" s="33" t="s">
        <v>1225</v>
      </c>
      <c r="AG92" s="33" t="s">
        <v>1225</v>
      </c>
      <c r="AH92" s="33" t="s">
        <v>1225</v>
      </c>
      <c r="AI92" s="33" t="s">
        <v>1225</v>
      </c>
      <c r="AJ92" s="33" t="s">
        <v>1225</v>
      </c>
      <c r="AK92" s="33" t="s">
        <v>1225</v>
      </c>
      <c r="AL92" s="33" t="s">
        <v>1225</v>
      </c>
      <c r="AM92" s="33" t="s">
        <v>1225</v>
      </c>
      <c r="AN92" s="33" t="s">
        <v>1225</v>
      </c>
      <c r="AO92" s="33" t="s">
        <v>1225</v>
      </c>
      <c r="AP92" s="33" t="s">
        <v>1225</v>
      </c>
      <c r="AQ92" s="33" t="s">
        <v>1225</v>
      </c>
      <c r="AR92" s="33" t="s">
        <v>1225</v>
      </c>
      <c r="AS92" s="33" t="s">
        <v>1225</v>
      </c>
      <c r="AT92" s="33" t="s">
        <v>1225</v>
      </c>
      <c r="AU92" s="33" t="s">
        <v>1225</v>
      </c>
      <c r="AV92" s="33" t="s">
        <v>1225</v>
      </c>
      <c r="AW92" s="33" t="s">
        <v>1272</v>
      </c>
      <c r="AX92" s="33">
        <v>2018</v>
      </c>
      <c r="AY92" s="33">
        <v>65</v>
      </c>
      <c r="AZ92" s="33">
        <v>3</v>
      </c>
      <c r="BA92" s="33" t="s">
        <v>1225</v>
      </c>
      <c r="BB92" s="33" t="s">
        <v>1225</v>
      </c>
      <c r="BC92" s="33" t="s">
        <v>1225</v>
      </c>
      <c r="BD92" s="33" t="s">
        <v>1225</v>
      </c>
      <c r="BE92" s="33">
        <v>2806</v>
      </c>
      <c r="BF92" s="33">
        <v>2816</v>
      </c>
      <c r="BG92" s="33" t="s">
        <v>1225</v>
      </c>
      <c r="BH92" s="33" t="s">
        <v>1789</v>
      </c>
      <c r="BI92" s="33" t="str">
        <f>HYPERLINK("http://dx.doi.org/10.1109/TIE.2017.2740834","http://dx.doi.org/10.1109/TIE.2017.2740834")</f>
        <v>http://dx.doi.org/10.1109/TIE.2017.2740834</v>
      </c>
      <c r="BJ92" s="33" t="s">
        <v>1225</v>
      </c>
      <c r="BK92" s="33" t="s">
        <v>1225</v>
      </c>
      <c r="BL92" s="33" t="s">
        <v>1225</v>
      </c>
      <c r="BM92" s="33" t="s">
        <v>1225</v>
      </c>
      <c r="BN92" s="33" t="s">
        <v>1225</v>
      </c>
      <c r="BO92" s="33" t="s">
        <v>1225</v>
      </c>
      <c r="BP92" s="33" t="s">
        <v>1225</v>
      </c>
      <c r="BQ92" s="33" t="s">
        <v>1225</v>
      </c>
      <c r="BR92" s="33" t="s">
        <v>1225</v>
      </c>
      <c r="BS92" s="33" t="s">
        <v>1225</v>
      </c>
      <c r="BT92" s="33" t="s">
        <v>1225</v>
      </c>
      <c r="BU92" s="33" t="s">
        <v>1225</v>
      </c>
      <c r="BV92" s="33" t="s">
        <v>1225</v>
      </c>
      <c r="BW92" s="33" t="str">
        <f t="shared" si="2"/>
        <v>View Full Record in Web of Science</v>
      </c>
      <c r="BX92" s="33"/>
      <c r="BY92" s="41" t="str">
        <f>IF(Deletion!J92=TRUE,"Yes","No")</f>
        <v>Yes</v>
      </c>
    </row>
    <row r="93" spans="1:77" x14ac:dyDescent="0.15">
      <c r="A93" s="34">
        <f t="shared" si="3"/>
        <v>92</v>
      </c>
      <c r="B93" s="34" t="s">
        <v>1790</v>
      </c>
      <c r="C93" s="34" t="s">
        <v>1232</v>
      </c>
      <c r="D93" s="34" t="s">
        <v>1223</v>
      </c>
      <c r="E93" s="34" t="s">
        <v>1791</v>
      </c>
      <c r="F93" s="34" t="s">
        <v>1225</v>
      </c>
      <c r="G93" s="34" t="s">
        <v>1225</v>
      </c>
      <c r="H93" s="34" t="s">
        <v>1225</v>
      </c>
      <c r="I93" s="34" t="s">
        <v>1792</v>
      </c>
      <c r="J93" s="34" t="s">
        <v>1225</v>
      </c>
      <c r="K93" s="34" t="s">
        <v>1225</v>
      </c>
      <c r="L93" s="34" t="s">
        <v>1793</v>
      </c>
      <c r="M93" s="34" t="s">
        <v>1794</v>
      </c>
      <c r="N93" s="34" t="s">
        <v>1225</v>
      </c>
      <c r="O93" s="34" t="s">
        <v>1225</v>
      </c>
      <c r="P93" s="34" t="s">
        <v>1225</v>
      </c>
      <c r="Q93" s="34" t="s">
        <v>1795</v>
      </c>
      <c r="R93" s="34" t="s">
        <v>1225</v>
      </c>
      <c r="S93" s="34" t="s">
        <v>1225</v>
      </c>
      <c r="T93" s="34" t="s">
        <v>1225</v>
      </c>
      <c r="U93" s="34" t="s">
        <v>1225</v>
      </c>
      <c r="V93" s="34" t="s">
        <v>1225</v>
      </c>
      <c r="W93" s="34" t="s">
        <v>1796</v>
      </c>
      <c r="X93" s="34" t="s">
        <v>1225</v>
      </c>
      <c r="Y93" s="34" t="s">
        <v>1797</v>
      </c>
      <c r="Z93" s="34" t="s">
        <v>1225</v>
      </c>
      <c r="AA93" s="34" t="s">
        <v>1225</v>
      </c>
      <c r="AB93" s="34" t="s">
        <v>1225</v>
      </c>
      <c r="AC93" s="34" t="s">
        <v>1225</v>
      </c>
      <c r="AD93" s="34" t="s">
        <v>1225</v>
      </c>
      <c r="AE93" s="34" t="s">
        <v>1225</v>
      </c>
      <c r="AF93" s="34" t="s">
        <v>1225</v>
      </c>
      <c r="AG93" s="34" t="s">
        <v>1225</v>
      </c>
      <c r="AH93" s="34" t="s">
        <v>1225</v>
      </c>
      <c r="AI93" s="34" t="s">
        <v>1225</v>
      </c>
      <c r="AJ93" s="34" t="s">
        <v>1225</v>
      </c>
      <c r="AK93" s="34" t="s">
        <v>1225</v>
      </c>
      <c r="AL93" s="34" t="s">
        <v>1225</v>
      </c>
      <c r="AM93" s="34" t="s">
        <v>1225</v>
      </c>
      <c r="AN93" s="34" t="s">
        <v>1225</v>
      </c>
      <c r="AO93" s="34" t="s">
        <v>1225</v>
      </c>
      <c r="AP93" s="34" t="s">
        <v>1225</v>
      </c>
      <c r="AQ93" s="34" t="s">
        <v>1225</v>
      </c>
      <c r="AR93" s="34" t="s">
        <v>1225</v>
      </c>
      <c r="AS93" s="34" t="s">
        <v>1225</v>
      </c>
      <c r="AT93" s="34" t="s">
        <v>1225</v>
      </c>
      <c r="AU93" s="34" t="s">
        <v>1225</v>
      </c>
      <c r="AV93" s="34" t="s">
        <v>1225</v>
      </c>
      <c r="AW93" s="34" t="s">
        <v>1393</v>
      </c>
      <c r="AX93" s="34">
        <v>2022</v>
      </c>
      <c r="AY93" s="34">
        <v>8</v>
      </c>
      <c r="AZ93" s="34" t="s">
        <v>1225</v>
      </c>
      <c r="BA93" s="34" t="s">
        <v>1225</v>
      </c>
      <c r="BB93" s="34">
        <v>3</v>
      </c>
      <c r="BC93" s="34" t="s">
        <v>1225</v>
      </c>
      <c r="BD93" s="34" t="s">
        <v>1225</v>
      </c>
      <c r="BE93" s="34">
        <v>62</v>
      </c>
      <c r="BF93" s="34">
        <v>69</v>
      </c>
      <c r="BG93" s="34" t="s">
        <v>1225</v>
      </c>
      <c r="BH93" s="34" t="s">
        <v>1798</v>
      </c>
      <c r="BI93" s="34" t="str">
        <f>HYPERLINK("http://dx.doi.org/10.1016/j.egyr.2022.01.036","http://dx.doi.org/10.1016/j.egyr.2022.01.036")</f>
        <v>http://dx.doi.org/10.1016/j.egyr.2022.01.036</v>
      </c>
      <c r="BJ93" s="34" t="s">
        <v>1225</v>
      </c>
      <c r="BK93" s="34" t="s">
        <v>1225</v>
      </c>
      <c r="BL93" s="34" t="s">
        <v>1225</v>
      </c>
      <c r="BM93" s="34" t="s">
        <v>1225</v>
      </c>
      <c r="BN93" s="34" t="s">
        <v>1225</v>
      </c>
      <c r="BO93" s="34" t="s">
        <v>1225</v>
      </c>
      <c r="BP93" s="34" t="s">
        <v>1225</v>
      </c>
      <c r="BQ93" s="34" t="s">
        <v>1225</v>
      </c>
      <c r="BR93" s="34" t="s">
        <v>1225</v>
      </c>
      <c r="BS93" s="34" t="s">
        <v>1225</v>
      </c>
      <c r="BT93" s="34" t="s">
        <v>1225</v>
      </c>
      <c r="BU93" s="34" t="s">
        <v>1225</v>
      </c>
      <c r="BV93" s="34" t="s">
        <v>1225</v>
      </c>
      <c r="BW93" s="34" t="str">
        <f t="shared" si="2"/>
        <v>View Full Record in Web of Science</v>
      </c>
      <c r="BX93" s="34"/>
      <c r="BY93" s="41" t="str">
        <f>IF(Deletion!J93=TRUE,"Yes","No")</f>
        <v>Yes</v>
      </c>
    </row>
    <row r="94" spans="1:77" x14ac:dyDescent="0.15">
      <c r="A94" s="34">
        <f t="shared" si="3"/>
        <v>93</v>
      </c>
      <c r="B94" s="34" t="s">
        <v>1799</v>
      </c>
      <c r="C94" s="34" t="s">
        <v>1232</v>
      </c>
      <c r="D94" s="34" t="s">
        <v>1223</v>
      </c>
      <c r="E94" s="34" t="s">
        <v>1800</v>
      </c>
      <c r="F94" s="34" t="s">
        <v>1225</v>
      </c>
      <c r="G94" s="34" t="s">
        <v>1225</v>
      </c>
      <c r="H94" s="34" t="s">
        <v>1225</v>
      </c>
      <c r="I94" s="34" t="s">
        <v>1801</v>
      </c>
      <c r="J94" s="34" t="s">
        <v>1225</v>
      </c>
      <c r="K94" s="34" t="s">
        <v>1225</v>
      </c>
      <c r="L94" s="34" t="s">
        <v>1802</v>
      </c>
      <c r="M94" s="34" t="s">
        <v>1803</v>
      </c>
      <c r="N94" s="34" t="s">
        <v>1225</v>
      </c>
      <c r="O94" s="34" t="s">
        <v>1225</v>
      </c>
      <c r="P94" s="34" t="s">
        <v>1225</v>
      </c>
      <c r="Q94" s="34" t="s">
        <v>1227</v>
      </c>
      <c r="R94" s="34" t="s">
        <v>1225</v>
      </c>
      <c r="S94" s="34" t="s">
        <v>1225</v>
      </c>
      <c r="T94" s="34" t="s">
        <v>1225</v>
      </c>
      <c r="U94" s="34" t="s">
        <v>1225</v>
      </c>
      <c r="V94" s="34" t="s">
        <v>1225</v>
      </c>
      <c r="W94" s="34" t="s">
        <v>1804</v>
      </c>
      <c r="X94" s="34" t="s">
        <v>1805</v>
      </c>
      <c r="Y94" s="34" t="s">
        <v>1806</v>
      </c>
      <c r="Z94" s="34" t="s">
        <v>1225</v>
      </c>
      <c r="AA94" s="34" t="s">
        <v>1225</v>
      </c>
      <c r="AB94" s="34" t="s">
        <v>1225</v>
      </c>
      <c r="AC94" s="34" t="s">
        <v>1225</v>
      </c>
      <c r="AD94" s="34" t="s">
        <v>1225</v>
      </c>
      <c r="AE94" s="34" t="s">
        <v>1225</v>
      </c>
      <c r="AF94" s="34" t="s">
        <v>1225</v>
      </c>
      <c r="AG94" s="34" t="s">
        <v>1225</v>
      </c>
      <c r="AH94" s="34" t="s">
        <v>1225</v>
      </c>
      <c r="AI94" s="34" t="s">
        <v>1225</v>
      </c>
      <c r="AJ94" s="34" t="s">
        <v>1225</v>
      </c>
      <c r="AK94" s="34" t="s">
        <v>1225</v>
      </c>
      <c r="AL94" s="34" t="s">
        <v>1225</v>
      </c>
      <c r="AM94" s="34" t="s">
        <v>1225</v>
      </c>
      <c r="AN94" s="34" t="s">
        <v>1225</v>
      </c>
      <c r="AO94" s="34" t="s">
        <v>1225</v>
      </c>
      <c r="AP94" s="34" t="s">
        <v>1225</v>
      </c>
      <c r="AQ94" s="34" t="s">
        <v>1225</v>
      </c>
      <c r="AR94" s="34" t="s">
        <v>1225</v>
      </c>
      <c r="AS94" s="34" t="s">
        <v>1225</v>
      </c>
      <c r="AT94" s="34" t="s">
        <v>1225</v>
      </c>
      <c r="AU94" s="34" t="s">
        <v>1225</v>
      </c>
      <c r="AV94" s="34" t="s">
        <v>1225</v>
      </c>
      <c r="AW94" s="34" t="s">
        <v>1565</v>
      </c>
      <c r="AX94" s="34">
        <v>2021</v>
      </c>
      <c r="AY94" s="34">
        <v>284</v>
      </c>
      <c r="AZ94" s="34" t="s">
        <v>1225</v>
      </c>
      <c r="BA94" s="34" t="s">
        <v>1225</v>
      </c>
      <c r="BB94" s="34" t="s">
        <v>1225</v>
      </c>
      <c r="BC94" s="34" t="s">
        <v>1225</v>
      </c>
      <c r="BD94" s="34" t="s">
        <v>1225</v>
      </c>
      <c r="BE94" s="34" t="s">
        <v>1225</v>
      </c>
      <c r="BF94" s="34" t="s">
        <v>1225</v>
      </c>
      <c r="BG94" s="34">
        <v>124766</v>
      </c>
      <c r="BH94" s="34" t="s">
        <v>1807</v>
      </c>
      <c r="BI94" s="34" t="str">
        <f>HYPERLINK("http://dx.doi.org/10.1016/j.jclepro.2020.124766","http://dx.doi.org/10.1016/j.jclepro.2020.124766")</f>
        <v>http://dx.doi.org/10.1016/j.jclepro.2020.124766</v>
      </c>
      <c r="BJ94" s="34" t="s">
        <v>1225</v>
      </c>
      <c r="BK94" s="34" t="s">
        <v>1679</v>
      </c>
      <c r="BL94" s="34" t="s">
        <v>1225</v>
      </c>
      <c r="BM94" s="34" t="s">
        <v>1225</v>
      </c>
      <c r="BN94" s="34" t="s">
        <v>1225</v>
      </c>
      <c r="BO94" s="34" t="s">
        <v>1225</v>
      </c>
      <c r="BP94" s="34" t="s">
        <v>1225</v>
      </c>
      <c r="BQ94" s="34" t="s">
        <v>1225</v>
      </c>
      <c r="BR94" s="34" t="s">
        <v>1225</v>
      </c>
      <c r="BS94" s="34" t="s">
        <v>1225</v>
      </c>
      <c r="BT94" s="34" t="s">
        <v>1225</v>
      </c>
      <c r="BU94" s="34" t="s">
        <v>1225</v>
      </c>
      <c r="BV94" s="34" t="s">
        <v>1225</v>
      </c>
      <c r="BW94" s="34" t="str">
        <f t="shared" si="2"/>
        <v>View Full Record in Web of Science</v>
      </c>
      <c r="BX94" s="34"/>
      <c r="BY94" s="41" t="str">
        <f>IF(Deletion!J94=TRUE,"Yes","No")</f>
        <v>Yes</v>
      </c>
    </row>
    <row r="95" spans="1:77" x14ac:dyDescent="0.15">
      <c r="A95" s="34">
        <f t="shared" si="3"/>
        <v>94</v>
      </c>
      <c r="B95" s="34" t="s">
        <v>1808</v>
      </c>
      <c r="C95" s="34" t="s">
        <v>1232</v>
      </c>
      <c r="D95" s="34" t="s">
        <v>1223</v>
      </c>
      <c r="E95" s="34" t="s">
        <v>1809</v>
      </c>
      <c r="F95" s="34" t="s">
        <v>1225</v>
      </c>
      <c r="G95" s="34" t="s">
        <v>1225</v>
      </c>
      <c r="H95" s="34" t="s">
        <v>1225</v>
      </c>
      <c r="I95" s="34" t="s">
        <v>1810</v>
      </c>
      <c r="J95" s="34" t="s">
        <v>1225</v>
      </c>
      <c r="K95" s="34" t="s">
        <v>1225</v>
      </c>
      <c r="L95" s="34" t="s">
        <v>1811</v>
      </c>
      <c r="M95" s="34" t="s">
        <v>97</v>
      </c>
      <c r="N95" s="34" t="s">
        <v>1225</v>
      </c>
      <c r="O95" s="34" t="s">
        <v>1225</v>
      </c>
      <c r="P95" s="34" t="s">
        <v>1225</v>
      </c>
      <c r="Q95" s="34" t="s">
        <v>1227</v>
      </c>
      <c r="R95" s="34" t="s">
        <v>1225</v>
      </c>
      <c r="S95" s="34" t="s">
        <v>1225</v>
      </c>
      <c r="T95" s="34" t="s">
        <v>1225</v>
      </c>
      <c r="U95" s="34" t="s">
        <v>1225</v>
      </c>
      <c r="V95" s="34" t="s">
        <v>1225</v>
      </c>
      <c r="W95" s="34" t="s">
        <v>1812</v>
      </c>
      <c r="X95" s="34" t="s">
        <v>1813</v>
      </c>
      <c r="Y95" s="34" t="s">
        <v>1814</v>
      </c>
      <c r="Z95" s="34" t="s">
        <v>1225</v>
      </c>
      <c r="AA95" s="34" t="s">
        <v>1225</v>
      </c>
      <c r="AB95" s="34" t="s">
        <v>1225</v>
      </c>
      <c r="AC95" s="34" t="s">
        <v>1225</v>
      </c>
      <c r="AD95" s="34" t="s">
        <v>1225</v>
      </c>
      <c r="AE95" s="34" t="s">
        <v>1225</v>
      </c>
      <c r="AF95" s="34" t="s">
        <v>1225</v>
      </c>
      <c r="AG95" s="34" t="s">
        <v>1225</v>
      </c>
      <c r="AH95" s="34" t="s">
        <v>1225</v>
      </c>
      <c r="AI95" s="34" t="s">
        <v>1225</v>
      </c>
      <c r="AJ95" s="34" t="s">
        <v>1225</v>
      </c>
      <c r="AK95" s="34" t="s">
        <v>1225</v>
      </c>
      <c r="AL95" s="34" t="s">
        <v>1225</v>
      </c>
      <c r="AM95" s="34" t="s">
        <v>1225</v>
      </c>
      <c r="AN95" s="34" t="s">
        <v>1225</v>
      </c>
      <c r="AO95" s="34" t="s">
        <v>1225</v>
      </c>
      <c r="AP95" s="34" t="s">
        <v>1225</v>
      </c>
      <c r="AQ95" s="34" t="s">
        <v>1225</v>
      </c>
      <c r="AR95" s="34" t="s">
        <v>1225</v>
      </c>
      <c r="AS95" s="34" t="s">
        <v>1225</v>
      </c>
      <c r="AT95" s="34" t="s">
        <v>1225</v>
      </c>
      <c r="AU95" s="34" t="s">
        <v>1225</v>
      </c>
      <c r="AV95" s="34" t="s">
        <v>1225</v>
      </c>
      <c r="AW95" s="34" t="s">
        <v>1815</v>
      </c>
      <c r="AX95" s="34">
        <v>2020</v>
      </c>
      <c r="AY95" s="34">
        <v>268</v>
      </c>
      <c r="AZ95" s="34" t="s">
        <v>1225</v>
      </c>
      <c r="BA95" s="34" t="s">
        <v>1225</v>
      </c>
      <c r="BB95" s="34" t="s">
        <v>1225</v>
      </c>
      <c r="BC95" s="34" t="s">
        <v>1225</v>
      </c>
      <c r="BD95" s="34" t="s">
        <v>1225</v>
      </c>
      <c r="BE95" s="34" t="s">
        <v>1225</v>
      </c>
      <c r="BF95" s="34" t="s">
        <v>1225</v>
      </c>
      <c r="BG95" s="34">
        <v>114973</v>
      </c>
      <c r="BH95" s="34" t="s">
        <v>1816</v>
      </c>
      <c r="BI95" s="34" t="str">
        <f>HYPERLINK("http://dx.doi.org/10.1016/j.apenergy.2020.114973","http://dx.doi.org/10.1016/j.apenergy.2020.114973")</f>
        <v>http://dx.doi.org/10.1016/j.apenergy.2020.114973</v>
      </c>
      <c r="BJ95" s="34" t="s">
        <v>1225</v>
      </c>
      <c r="BK95" s="34" t="s">
        <v>1225</v>
      </c>
      <c r="BL95" s="34" t="s">
        <v>1225</v>
      </c>
      <c r="BM95" s="34" t="s">
        <v>1225</v>
      </c>
      <c r="BN95" s="34" t="s">
        <v>1225</v>
      </c>
      <c r="BO95" s="34" t="s">
        <v>1225</v>
      </c>
      <c r="BP95" s="34" t="s">
        <v>1225</v>
      </c>
      <c r="BQ95" s="34" t="s">
        <v>1225</v>
      </c>
      <c r="BR95" s="34" t="s">
        <v>1225</v>
      </c>
      <c r="BS95" s="34" t="s">
        <v>1225</v>
      </c>
      <c r="BT95" s="34" t="s">
        <v>1225</v>
      </c>
      <c r="BU95" s="34" t="s">
        <v>1225</v>
      </c>
      <c r="BV95" s="34" t="s">
        <v>1225</v>
      </c>
      <c r="BW95" s="34" t="str">
        <f t="shared" si="2"/>
        <v>View Full Record in Web of Science</v>
      </c>
      <c r="BX95" s="34"/>
      <c r="BY95" s="41" t="str">
        <f>IF(Deletion!J95=TRUE,"Yes","No")</f>
        <v>Yes</v>
      </c>
    </row>
    <row r="96" spans="1:77" x14ac:dyDescent="0.15">
      <c r="A96" s="34">
        <f t="shared" si="3"/>
        <v>95</v>
      </c>
      <c r="B96" s="34" t="s">
        <v>1327</v>
      </c>
      <c r="C96" s="34" t="s">
        <v>4</v>
      </c>
      <c r="D96" s="34" t="s">
        <v>1223</v>
      </c>
      <c r="E96" s="34" t="s">
        <v>1817</v>
      </c>
      <c r="F96" s="34" t="s">
        <v>1225</v>
      </c>
      <c r="G96" s="34" t="s">
        <v>1225</v>
      </c>
      <c r="H96" s="34" t="s">
        <v>1225</v>
      </c>
      <c r="I96" s="34" t="s">
        <v>1818</v>
      </c>
      <c r="J96" s="34" t="s">
        <v>1225</v>
      </c>
      <c r="K96" s="34" t="s">
        <v>1225</v>
      </c>
      <c r="L96" s="34" t="s">
        <v>1819</v>
      </c>
      <c r="M96" s="34" t="s">
        <v>124</v>
      </c>
      <c r="N96" s="34" t="s">
        <v>1225</v>
      </c>
      <c r="O96" s="34" t="s">
        <v>1225</v>
      </c>
      <c r="P96" s="34" t="s">
        <v>1225</v>
      </c>
      <c r="Q96" s="34" t="s">
        <v>1227</v>
      </c>
      <c r="R96" s="34" t="s">
        <v>1225</v>
      </c>
      <c r="S96" s="34" t="s">
        <v>1225</v>
      </c>
      <c r="T96" s="34" t="s">
        <v>1225</v>
      </c>
      <c r="U96" s="34" t="s">
        <v>1225</v>
      </c>
      <c r="V96" s="34" t="s">
        <v>1225</v>
      </c>
      <c r="W96" s="34" t="s">
        <v>1820</v>
      </c>
      <c r="X96" s="34" t="s">
        <v>1821</v>
      </c>
      <c r="Y96" s="34" t="s">
        <v>1822</v>
      </c>
      <c r="Z96" s="34" t="s">
        <v>1225</v>
      </c>
      <c r="AA96" s="34" t="s">
        <v>1225</v>
      </c>
      <c r="AB96" s="34" t="s">
        <v>1225</v>
      </c>
      <c r="AC96" s="34" t="s">
        <v>1225</v>
      </c>
      <c r="AD96" s="34" t="s">
        <v>1225</v>
      </c>
      <c r="AE96" s="34" t="s">
        <v>1225</v>
      </c>
      <c r="AF96" s="34" t="s">
        <v>1225</v>
      </c>
      <c r="AG96" s="34" t="s">
        <v>1225</v>
      </c>
      <c r="AH96" s="34" t="s">
        <v>1225</v>
      </c>
      <c r="AI96" s="34" t="s">
        <v>1225</v>
      </c>
      <c r="AJ96" s="34" t="s">
        <v>1225</v>
      </c>
      <c r="AK96" s="34" t="s">
        <v>1225</v>
      </c>
      <c r="AL96" s="34" t="s">
        <v>1225</v>
      </c>
      <c r="AM96" s="34" t="s">
        <v>1225</v>
      </c>
      <c r="AN96" s="34" t="s">
        <v>1225</v>
      </c>
      <c r="AO96" s="34" t="s">
        <v>1225</v>
      </c>
      <c r="AP96" s="34" t="s">
        <v>1225</v>
      </c>
      <c r="AQ96" s="34" t="s">
        <v>1225</v>
      </c>
      <c r="AR96" s="34" t="s">
        <v>1225</v>
      </c>
      <c r="AS96" s="34" t="s">
        <v>1225</v>
      </c>
      <c r="AT96" s="34" t="s">
        <v>1225</v>
      </c>
      <c r="AU96" s="34" t="s">
        <v>1225</v>
      </c>
      <c r="AV96" s="34" t="s">
        <v>1225</v>
      </c>
      <c r="AW96" s="34" t="s">
        <v>1272</v>
      </c>
      <c r="AX96" s="34">
        <v>2021</v>
      </c>
      <c r="AY96" s="34">
        <v>12</v>
      </c>
      <c r="AZ96" s="34">
        <v>2</v>
      </c>
      <c r="BA96" s="34" t="s">
        <v>1225</v>
      </c>
      <c r="BB96" s="34" t="s">
        <v>1225</v>
      </c>
      <c r="BC96" s="34" t="s">
        <v>1225</v>
      </c>
      <c r="BD96" s="34" t="s">
        <v>1225</v>
      </c>
      <c r="BE96" s="34">
        <v>1380</v>
      </c>
      <c r="BF96" s="34">
        <v>1393</v>
      </c>
      <c r="BG96" s="34" t="s">
        <v>1225</v>
      </c>
      <c r="BH96" s="34" t="s">
        <v>1823</v>
      </c>
      <c r="BI96" s="34" t="str">
        <f>HYPERLINK("http://dx.doi.org/10.1109/TSG.2020.3025082","http://dx.doi.org/10.1109/TSG.2020.3025082")</f>
        <v>http://dx.doi.org/10.1109/TSG.2020.3025082</v>
      </c>
      <c r="BJ96" s="34" t="s">
        <v>1225</v>
      </c>
      <c r="BK96" s="34" t="s">
        <v>1225</v>
      </c>
      <c r="BL96" s="34" t="s">
        <v>1225</v>
      </c>
      <c r="BM96" s="34" t="s">
        <v>1225</v>
      </c>
      <c r="BN96" s="34" t="s">
        <v>1225</v>
      </c>
      <c r="BO96" s="34" t="s">
        <v>1225</v>
      </c>
      <c r="BP96" s="34" t="s">
        <v>1225</v>
      </c>
      <c r="BQ96" s="34" t="s">
        <v>1225</v>
      </c>
      <c r="BR96" s="34" t="s">
        <v>1225</v>
      </c>
      <c r="BS96" s="34" t="s">
        <v>1225</v>
      </c>
      <c r="BT96" s="34" t="s">
        <v>1225</v>
      </c>
      <c r="BU96" s="34" t="s">
        <v>1225</v>
      </c>
      <c r="BV96" s="34" t="s">
        <v>1225</v>
      </c>
      <c r="BW96" s="34" t="str">
        <f t="shared" si="2"/>
        <v>View Full Record in Web of Science</v>
      </c>
      <c r="BX96" s="34"/>
      <c r="BY96" s="41" t="str">
        <f>IF(Deletion!J96=TRUE,"Yes","No")</f>
        <v>Yes</v>
      </c>
    </row>
    <row r="97" spans="1:77" x14ac:dyDescent="0.15">
      <c r="A97" s="33">
        <f t="shared" si="3"/>
        <v>96</v>
      </c>
      <c r="B97" s="33" t="s">
        <v>1222</v>
      </c>
      <c r="C97" s="33" t="s">
        <v>1222</v>
      </c>
      <c r="D97" s="33" t="s">
        <v>1223</v>
      </c>
      <c r="E97" s="33" t="s">
        <v>1824</v>
      </c>
      <c r="F97" s="33" t="s">
        <v>1225</v>
      </c>
      <c r="G97" s="33" t="s">
        <v>1225</v>
      </c>
      <c r="H97" s="33" t="s">
        <v>1225</v>
      </c>
      <c r="I97" s="33" t="s">
        <v>588</v>
      </c>
      <c r="J97" s="33" t="s">
        <v>1225</v>
      </c>
      <c r="K97" s="33" t="s">
        <v>1225</v>
      </c>
      <c r="L97" s="33" t="s">
        <v>586</v>
      </c>
      <c r="M97" s="33" t="s">
        <v>587</v>
      </c>
      <c r="N97" s="33" t="s">
        <v>1225</v>
      </c>
      <c r="O97" s="33" t="s">
        <v>1225</v>
      </c>
      <c r="P97" s="33" t="s">
        <v>1225</v>
      </c>
      <c r="Q97" s="33" t="s">
        <v>1227</v>
      </c>
      <c r="R97" s="33" t="s">
        <v>1225</v>
      </c>
      <c r="S97" s="33" t="s">
        <v>1225</v>
      </c>
      <c r="T97" s="33" t="s">
        <v>1225</v>
      </c>
      <c r="U97" s="33" t="s">
        <v>1225</v>
      </c>
      <c r="V97" s="33" t="s">
        <v>1225</v>
      </c>
      <c r="W97" s="33" t="s">
        <v>590</v>
      </c>
      <c r="X97" s="33" t="s">
        <v>1825</v>
      </c>
      <c r="Y97" s="33" t="s">
        <v>589</v>
      </c>
      <c r="Z97" s="33" t="s">
        <v>1225</v>
      </c>
      <c r="AA97" s="33" t="s">
        <v>1225</v>
      </c>
      <c r="AB97" s="33" t="s">
        <v>1225</v>
      </c>
      <c r="AC97" s="33" t="s">
        <v>1225</v>
      </c>
      <c r="AD97" s="33" t="s">
        <v>1225</v>
      </c>
      <c r="AE97" s="33" t="s">
        <v>1225</v>
      </c>
      <c r="AF97" s="33" t="s">
        <v>1225</v>
      </c>
      <c r="AG97" s="33" t="s">
        <v>1225</v>
      </c>
      <c r="AH97" s="33" t="s">
        <v>1225</v>
      </c>
      <c r="AI97" s="33" t="s">
        <v>1225</v>
      </c>
      <c r="AJ97" s="33" t="s">
        <v>1225</v>
      </c>
      <c r="AK97" s="33" t="s">
        <v>1225</v>
      </c>
      <c r="AL97" s="33" t="s">
        <v>1225</v>
      </c>
      <c r="AM97" s="33" t="s">
        <v>1225</v>
      </c>
      <c r="AN97" s="33" t="s">
        <v>1225</v>
      </c>
      <c r="AO97" s="33" t="s">
        <v>1225</v>
      </c>
      <c r="AP97" s="33" t="s">
        <v>1225</v>
      </c>
      <c r="AQ97" s="33" t="s">
        <v>1225</v>
      </c>
      <c r="AR97" s="33" t="s">
        <v>1225</v>
      </c>
      <c r="AS97" s="33" t="s">
        <v>1225</v>
      </c>
      <c r="AT97" s="33" t="s">
        <v>1225</v>
      </c>
      <c r="AU97" s="33" t="s">
        <v>1225</v>
      </c>
      <c r="AV97" s="33" t="s">
        <v>1225</v>
      </c>
      <c r="AW97" s="33" t="s">
        <v>1256</v>
      </c>
      <c r="AX97" s="33">
        <v>2018</v>
      </c>
      <c r="AY97" s="33">
        <v>64</v>
      </c>
      <c r="AZ97" s="33" t="s">
        <v>1225</v>
      </c>
      <c r="BA97" s="33" t="s">
        <v>1225</v>
      </c>
      <c r="BB97" s="33" t="s">
        <v>1225</v>
      </c>
      <c r="BC97" s="33" t="s">
        <v>1225</v>
      </c>
      <c r="BD97" s="33" t="s">
        <v>1225</v>
      </c>
      <c r="BE97" s="33">
        <v>603</v>
      </c>
      <c r="BF97" s="33">
        <v>614</v>
      </c>
      <c r="BG97" s="33" t="s">
        <v>1225</v>
      </c>
      <c r="BH97" s="33" t="s">
        <v>1826</v>
      </c>
      <c r="BI97" s="33" t="str">
        <f>HYPERLINK("http://dx.doi.org/10.1016/j.apm.2018.07.060","http://dx.doi.org/10.1016/j.apm.2018.07.060")</f>
        <v>http://dx.doi.org/10.1016/j.apm.2018.07.060</v>
      </c>
      <c r="BJ97" s="33" t="s">
        <v>1225</v>
      </c>
      <c r="BK97" s="33" t="s">
        <v>1225</v>
      </c>
      <c r="BL97" s="33" t="s">
        <v>1225</v>
      </c>
      <c r="BM97" s="33" t="s">
        <v>1225</v>
      </c>
      <c r="BN97" s="33" t="s">
        <v>1225</v>
      </c>
      <c r="BO97" s="33" t="s">
        <v>1225</v>
      </c>
      <c r="BP97" s="33" t="s">
        <v>1225</v>
      </c>
      <c r="BQ97" s="33" t="s">
        <v>1225</v>
      </c>
      <c r="BR97" s="33" t="s">
        <v>1225</v>
      </c>
      <c r="BS97" s="33" t="s">
        <v>1225</v>
      </c>
      <c r="BT97" s="33" t="s">
        <v>1225</v>
      </c>
      <c r="BU97" s="33" t="s">
        <v>1225</v>
      </c>
      <c r="BV97" s="33" t="s">
        <v>1225</v>
      </c>
      <c r="BW97" s="33" t="str">
        <f t="shared" si="2"/>
        <v>View Full Record in Web of Science</v>
      </c>
      <c r="BX97" s="33"/>
      <c r="BY97" s="41" t="str">
        <f>IF(Deletion!J97=TRUE,"Yes","No")</f>
        <v>No</v>
      </c>
    </row>
    <row r="98" spans="1:77" x14ac:dyDescent="0.15">
      <c r="A98" s="34">
        <f t="shared" si="3"/>
        <v>97</v>
      </c>
      <c r="B98" s="34" t="s">
        <v>1827</v>
      </c>
      <c r="C98" s="34" t="s">
        <v>1232</v>
      </c>
      <c r="D98" s="34" t="s">
        <v>1223</v>
      </c>
      <c r="E98" s="34" t="s">
        <v>1828</v>
      </c>
      <c r="F98" s="34" t="s">
        <v>1225</v>
      </c>
      <c r="G98" s="34" t="s">
        <v>1225</v>
      </c>
      <c r="H98" s="34" t="s">
        <v>1225</v>
      </c>
      <c r="I98" s="34" t="s">
        <v>1829</v>
      </c>
      <c r="J98" s="34" t="s">
        <v>1225</v>
      </c>
      <c r="K98" s="34" t="s">
        <v>1225</v>
      </c>
      <c r="L98" s="34" t="s">
        <v>1830</v>
      </c>
      <c r="M98" s="34" t="s">
        <v>1831</v>
      </c>
      <c r="N98" s="34" t="s">
        <v>1225</v>
      </c>
      <c r="O98" s="34" t="s">
        <v>1225</v>
      </c>
      <c r="P98" s="34" t="s">
        <v>1225</v>
      </c>
      <c r="Q98" s="34" t="s">
        <v>1227</v>
      </c>
      <c r="R98" s="34" t="s">
        <v>1225</v>
      </c>
      <c r="S98" s="34" t="s">
        <v>1225</v>
      </c>
      <c r="T98" s="34" t="s">
        <v>1225</v>
      </c>
      <c r="U98" s="34" t="s">
        <v>1225</v>
      </c>
      <c r="V98" s="34" t="s">
        <v>1225</v>
      </c>
      <c r="W98" s="34" t="s">
        <v>1832</v>
      </c>
      <c r="X98" s="34" t="s">
        <v>1346</v>
      </c>
      <c r="Y98" s="34" t="s">
        <v>1833</v>
      </c>
      <c r="Z98" s="34" t="s">
        <v>1225</v>
      </c>
      <c r="AA98" s="34" t="s">
        <v>1225</v>
      </c>
      <c r="AB98" s="34" t="s">
        <v>1225</v>
      </c>
      <c r="AC98" s="34" t="s">
        <v>1225</v>
      </c>
      <c r="AD98" s="34" t="s">
        <v>1225</v>
      </c>
      <c r="AE98" s="34" t="s">
        <v>1225</v>
      </c>
      <c r="AF98" s="34" t="s">
        <v>1225</v>
      </c>
      <c r="AG98" s="34" t="s">
        <v>1225</v>
      </c>
      <c r="AH98" s="34" t="s">
        <v>1225</v>
      </c>
      <c r="AI98" s="34" t="s">
        <v>1225</v>
      </c>
      <c r="AJ98" s="34" t="s">
        <v>1225</v>
      </c>
      <c r="AK98" s="34" t="s">
        <v>1225</v>
      </c>
      <c r="AL98" s="34" t="s">
        <v>1225</v>
      </c>
      <c r="AM98" s="34" t="s">
        <v>1225</v>
      </c>
      <c r="AN98" s="34" t="s">
        <v>1225</v>
      </c>
      <c r="AO98" s="34" t="s">
        <v>1225</v>
      </c>
      <c r="AP98" s="34" t="s">
        <v>1225</v>
      </c>
      <c r="AQ98" s="34" t="s">
        <v>1225</v>
      </c>
      <c r="AR98" s="34" t="s">
        <v>1225</v>
      </c>
      <c r="AS98" s="34" t="s">
        <v>1225</v>
      </c>
      <c r="AT98" s="34" t="s">
        <v>1225</v>
      </c>
      <c r="AU98" s="34" t="s">
        <v>1225</v>
      </c>
      <c r="AV98" s="34" t="s">
        <v>1225</v>
      </c>
      <c r="AW98" s="34" t="s">
        <v>1834</v>
      </c>
      <c r="AX98" s="34">
        <v>2019</v>
      </c>
      <c r="AY98" s="34">
        <v>19</v>
      </c>
      <c r="AZ98" s="34">
        <v>6</v>
      </c>
      <c r="BA98" s="34" t="s">
        <v>1225</v>
      </c>
      <c r="BB98" s="34" t="s">
        <v>1225</v>
      </c>
      <c r="BC98" s="34" t="s">
        <v>1225</v>
      </c>
      <c r="BD98" s="34" t="s">
        <v>1225</v>
      </c>
      <c r="BE98" s="34">
        <v>141</v>
      </c>
      <c r="BF98" s="34">
        <v>148</v>
      </c>
      <c r="BG98" s="34" t="s">
        <v>1225</v>
      </c>
      <c r="BH98" s="34" t="s">
        <v>1225</v>
      </c>
      <c r="BI98" s="34" t="s">
        <v>1225</v>
      </c>
      <c r="BJ98" s="34" t="s">
        <v>1225</v>
      </c>
      <c r="BK98" s="34" t="s">
        <v>1225</v>
      </c>
      <c r="BL98" s="34" t="s">
        <v>1225</v>
      </c>
      <c r="BM98" s="34" t="s">
        <v>1225</v>
      </c>
      <c r="BN98" s="34" t="s">
        <v>1225</v>
      </c>
      <c r="BO98" s="34" t="s">
        <v>1225</v>
      </c>
      <c r="BP98" s="34" t="s">
        <v>1225</v>
      </c>
      <c r="BQ98" s="34" t="s">
        <v>1225</v>
      </c>
      <c r="BR98" s="34" t="s">
        <v>1225</v>
      </c>
      <c r="BS98" s="34" t="s">
        <v>1225</v>
      </c>
      <c r="BT98" s="34" t="s">
        <v>1225</v>
      </c>
      <c r="BU98" s="34" t="s">
        <v>1225</v>
      </c>
      <c r="BV98" s="34" t="s">
        <v>1225</v>
      </c>
      <c r="BW98" s="34" t="str">
        <f t="shared" si="2"/>
        <v>View Full Record in Web of Science</v>
      </c>
      <c r="BX98" s="34"/>
      <c r="BY98" s="41" t="str">
        <f>IF(Deletion!J98=TRUE,"Yes","No")</f>
        <v>No</v>
      </c>
    </row>
    <row r="99" spans="1:77" x14ac:dyDescent="0.15">
      <c r="A99" s="34">
        <f t="shared" si="3"/>
        <v>98</v>
      </c>
      <c r="B99" s="34" t="s">
        <v>1835</v>
      </c>
      <c r="C99" s="34" t="s">
        <v>1232</v>
      </c>
      <c r="D99" s="34" t="s">
        <v>1223</v>
      </c>
      <c r="E99" s="34" t="s">
        <v>1836</v>
      </c>
      <c r="F99" s="34" t="s">
        <v>1225</v>
      </c>
      <c r="G99" s="34" t="s">
        <v>1225</v>
      </c>
      <c r="H99" s="34" t="s">
        <v>1225</v>
      </c>
      <c r="I99" s="34" t="s">
        <v>1837</v>
      </c>
      <c r="J99" s="34" t="s">
        <v>1225</v>
      </c>
      <c r="K99" s="34" t="s">
        <v>1225</v>
      </c>
      <c r="L99" s="34" t="s">
        <v>1838</v>
      </c>
      <c r="M99" s="34" t="s">
        <v>124</v>
      </c>
      <c r="N99" s="34" t="s">
        <v>1225</v>
      </c>
      <c r="O99" s="34" t="s">
        <v>1225</v>
      </c>
      <c r="P99" s="34" t="s">
        <v>1225</v>
      </c>
      <c r="Q99" s="34" t="s">
        <v>1227</v>
      </c>
      <c r="R99" s="34" t="s">
        <v>1225</v>
      </c>
      <c r="S99" s="34" t="s">
        <v>1225</v>
      </c>
      <c r="T99" s="34" t="s">
        <v>1225</v>
      </c>
      <c r="U99" s="34" t="s">
        <v>1225</v>
      </c>
      <c r="V99" s="34" t="s">
        <v>1225</v>
      </c>
      <c r="W99" s="34" t="s">
        <v>1839</v>
      </c>
      <c r="X99" s="34" t="s">
        <v>1840</v>
      </c>
      <c r="Y99" s="34" t="s">
        <v>1841</v>
      </c>
      <c r="Z99" s="34" t="s">
        <v>1225</v>
      </c>
      <c r="AA99" s="34" t="s">
        <v>1225</v>
      </c>
      <c r="AB99" s="34" t="s">
        <v>1225</v>
      </c>
      <c r="AC99" s="34" t="s">
        <v>1225</v>
      </c>
      <c r="AD99" s="34" t="s">
        <v>1225</v>
      </c>
      <c r="AE99" s="34" t="s">
        <v>1225</v>
      </c>
      <c r="AF99" s="34" t="s">
        <v>1225</v>
      </c>
      <c r="AG99" s="34" t="s">
        <v>1225</v>
      </c>
      <c r="AH99" s="34" t="s">
        <v>1225</v>
      </c>
      <c r="AI99" s="34" t="s">
        <v>1225</v>
      </c>
      <c r="AJ99" s="34" t="s">
        <v>1225</v>
      </c>
      <c r="AK99" s="34" t="s">
        <v>1225</v>
      </c>
      <c r="AL99" s="34" t="s">
        <v>1225</v>
      </c>
      <c r="AM99" s="34" t="s">
        <v>1225</v>
      </c>
      <c r="AN99" s="34" t="s">
        <v>1225</v>
      </c>
      <c r="AO99" s="34" t="s">
        <v>1225</v>
      </c>
      <c r="AP99" s="34" t="s">
        <v>1225</v>
      </c>
      <c r="AQ99" s="34" t="s">
        <v>1225</v>
      </c>
      <c r="AR99" s="34" t="s">
        <v>1225</v>
      </c>
      <c r="AS99" s="34" t="s">
        <v>1225</v>
      </c>
      <c r="AT99" s="34" t="s">
        <v>1225</v>
      </c>
      <c r="AU99" s="34" t="s">
        <v>1225</v>
      </c>
      <c r="AV99" s="34" t="s">
        <v>1225</v>
      </c>
      <c r="AW99" s="34" t="s">
        <v>1272</v>
      </c>
      <c r="AX99" s="34">
        <v>2014</v>
      </c>
      <c r="AY99" s="34">
        <v>5</v>
      </c>
      <c r="AZ99" s="34">
        <v>2</v>
      </c>
      <c r="BA99" s="34" t="s">
        <v>1225</v>
      </c>
      <c r="BB99" s="34" t="s">
        <v>1225</v>
      </c>
      <c r="BC99" s="34" t="s">
        <v>1225</v>
      </c>
      <c r="BD99" s="34" t="s">
        <v>1225</v>
      </c>
      <c r="BE99" s="34">
        <v>693</v>
      </c>
      <c r="BF99" s="34">
        <v>702</v>
      </c>
      <c r="BG99" s="34" t="s">
        <v>1225</v>
      </c>
      <c r="BH99" s="34" t="s">
        <v>1842</v>
      </c>
      <c r="BI99" s="34" t="str">
        <f>HYPERLINK("http://dx.doi.org/10.1109/TSG.2013.2290862","http://dx.doi.org/10.1109/TSG.2013.2290862")</f>
        <v>http://dx.doi.org/10.1109/TSG.2013.2290862</v>
      </c>
      <c r="BJ99" s="34" t="s">
        <v>1225</v>
      </c>
      <c r="BK99" s="34" t="s">
        <v>1225</v>
      </c>
      <c r="BL99" s="34" t="s">
        <v>1225</v>
      </c>
      <c r="BM99" s="34" t="s">
        <v>1225</v>
      </c>
      <c r="BN99" s="34" t="s">
        <v>1225</v>
      </c>
      <c r="BO99" s="34" t="s">
        <v>1225</v>
      </c>
      <c r="BP99" s="34" t="s">
        <v>1225</v>
      </c>
      <c r="BQ99" s="34" t="s">
        <v>1225</v>
      </c>
      <c r="BR99" s="34" t="s">
        <v>1225</v>
      </c>
      <c r="BS99" s="34" t="s">
        <v>1225</v>
      </c>
      <c r="BT99" s="34" t="s">
        <v>1225</v>
      </c>
      <c r="BU99" s="34" t="s">
        <v>1225</v>
      </c>
      <c r="BV99" s="34" t="s">
        <v>1225</v>
      </c>
      <c r="BW99" s="34" t="str">
        <f t="shared" si="2"/>
        <v>View Full Record in Web of Science</v>
      </c>
      <c r="BX99" s="34"/>
      <c r="BY99" s="41" t="str">
        <f>IF(Deletion!J99=TRUE,"Yes","No")</f>
        <v>Yes</v>
      </c>
    </row>
    <row r="100" spans="1:77" x14ac:dyDescent="0.15">
      <c r="A100" s="34">
        <f t="shared" si="3"/>
        <v>99</v>
      </c>
      <c r="B100" s="34" t="s">
        <v>1843</v>
      </c>
      <c r="C100" s="34" t="s">
        <v>1232</v>
      </c>
      <c r="D100" s="34" t="s">
        <v>1223</v>
      </c>
      <c r="E100" s="34" t="s">
        <v>1844</v>
      </c>
      <c r="F100" s="34" t="s">
        <v>1225</v>
      </c>
      <c r="G100" s="34" t="s">
        <v>1225</v>
      </c>
      <c r="H100" s="34" t="s">
        <v>1225</v>
      </c>
      <c r="I100" s="34" t="s">
        <v>1845</v>
      </c>
      <c r="J100" s="34" t="s">
        <v>1225</v>
      </c>
      <c r="K100" s="34" t="s">
        <v>1225</v>
      </c>
      <c r="L100" s="34" t="s">
        <v>1846</v>
      </c>
      <c r="M100" s="34" t="s">
        <v>73</v>
      </c>
      <c r="N100" s="34" t="s">
        <v>1225</v>
      </c>
      <c r="O100" s="34" t="s">
        <v>1225</v>
      </c>
      <c r="P100" s="34" t="s">
        <v>1225</v>
      </c>
      <c r="Q100" s="34" t="s">
        <v>1227</v>
      </c>
      <c r="R100" s="34" t="s">
        <v>1225</v>
      </c>
      <c r="S100" s="34" t="s">
        <v>1225</v>
      </c>
      <c r="T100" s="34" t="s">
        <v>1225</v>
      </c>
      <c r="U100" s="34" t="s">
        <v>1225</v>
      </c>
      <c r="V100" s="34" t="s">
        <v>1225</v>
      </c>
      <c r="W100" s="34" t="s">
        <v>1847</v>
      </c>
      <c r="X100" s="34" t="s">
        <v>1225</v>
      </c>
      <c r="Y100" s="34" t="s">
        <v>1848</v>
      </c>
      <c r="Z100" s="34" t="s">
        <v>1225</v>
      </c>
      <c r="AA100" s="34" t="s">
        <v>1225</v>
      </c>
      <c r="AB100" s="34" t="s">
        <v>1225</v>
      </c>
      <c r="AC100" s="34" t="s">
        <v>1225</v>
      </c>
      <c r="AD100" s="34" t="s">
        <v>1225</v>
      </c>
      <c r="AE100" s="34" t="s">
        <v>1225</v>
      </c>
      <c r="AF100" s="34" t="s">
        <v>1225</v>
      </c>
      <c r="AG100" s="34" t="s">
        <v>1225</v>
      </c>
      <c r="AH100" s="34" t="s">
        <v>1225</v>
      </c>
      <c r="AI100" s="34" t="s">
        <v>1225</v>
      </c>
      <c r="AJ100" s="34" t="s">
        <v>1225</v>
      </c>
      <c r="AK100" s="34" t="s">
        <v>1225</v>
      </c>
      <c r="AL100" s="34" t="s">
        <v>1225</v>
      </c>
      <c r="AM100" s="34" t="s">
        <v>1225</v>
      </c>
      <c r="AN100" s="34" t="s">
        <v>1225</v>
      </c>
      <c r="AO100" s="34" t="s">
        <v>1225</v>
      </c>
      <c r="AP100" s="34" t="s">
        <v>1225</v>
      </c>
      <c r="AQ100" s="34" t="s">
        <v>1225</v>
      </c>
      <c r="AR100" s="34" t="s">
        <v>1225</v>
      </c>
      <c r="AS100" s="34" t="s">
        <v>1225</v>
      </c>
      <c r="AT100" s="34" t="s">
        <v>1225</v>
      </c>
      <c r="AU100" s="34" t="s">
        <v>1225</v>
      </c>
      <c r="AV100" s="34" t="s">
        <v>1225</v>
      </c>
      <c r="AW100" s="34" t="s">
        <v>1393</v>
      </c>
      <c r="AX100" s="34">
        <v>2015</v>
      </c>
      <c r="AY100" s="34">
        <v>1</v>
      </c>
      <c r="AZ100" s="34">
        <v>1</v>
      </c>
      <c r="BA100" s="34" t="s">
        <v>1225</v>
      </c>
      <c r="BB100" s="34" t="s">
        <v>1225</v>
      </c>
      <c r="BC100" s="34" t="s">
        <v>1225</v>
      </c>
      <c r="BD100" s="34" t="s">
        <v>1225</v>
      </c>
      <c r="BE100" s="34">
        <v>18</v>
      </c>
      <c r="BF100" s="34">
        <v>25</v>
      </c>
      <c r="BG100" s="34" t="s">
        <v>1225</v>
      </c>
      <c r="BH100" s="34" t="s">
        <v>1849</v>
      </c>
      <c r="BI100" s="34" t="str">
        <f>HYPERLINK("http://dx.doi.org/10.1109/TTE.2015.2426571","http://dx.doi.org/10.1109/TTE.2015.2426571")</f>
        <v>http://dx.doi.org/10.1109/TTE.2015.2426571</v>
      </c>
      <c r="BJ100" s="34" t="s">
        <v>1225</v>
      </c>
      <c r="BK100" s="34" t="s">
        <v>1225</v>
      </c>
      <c r="BL100" s="34" t="s">
        <v>1225</v>
      </c>
      <c r="BM100" s="34" t="s">
        <v>1225</v>
      </c>
      <c r="BN100" s="34" t="s">
        <v>1225</v>
      </c>
      <c r="BO100" s="34" t="s">
        <v>1225</v>
      </c>
      <c r="BP100" s="34" t="s">
        <v>1225</v>
      </c>
      <c r="BQ100" s="34" t="s">
        <v>1225</v>
      </c>
      <c r="BR100" s="34" t="s">
        <v>1225</v>
      </c>
      <c r="BS100" s="34" t="s">
        <v>1225</v>
      </c>
      <c r="BT100" s="34" t="s">
        <v>1225</v>
      </c>
      <c r="BU100" s="34" t="s">
        <v>1225</v>
      </c>
      <c r="BV100" s="34" t="s">
        <v>1225</v>
      </c>
      <c r="BW100" s="34" t="str">
        <f t="shared" si="2"/>
        <v>View Full Record in Web of Science</v>
      </c>
      <c r="BX100" s="34"/>
      <c r="BY100" s="41" t="str">
        <f>IF(Deletion!J100=TRUE,"Yes","No")</f>
        <v>Yes</v>
      </c>
    </row>
    <row r="101" spans="1:77" x14ac:dyDescent="0.15">
      <c r="A101" s="34">
        <f t="shared" si="3"/>
        <v>100</v>
      </c>
      <c r="B101" s="34" t="s">
        <v>1850</v>
      </c>
      <c r="C101" s="34" t="s">
        <v>1232</v>
      </c>
      <c r="D101" s="34" t="s">
        <v>1223</v>
      </c>
      <c r="E101" s="34" t="s">
        <v>1851</v>
      </c>
      <c r="F101" s="34" t="s">
        <v>1225</v>
      </c>
      <c r="G101" s="34" t="s">
        <v>1225</v>
      </c>
      <c r="H101" s="34" t="s">
        <v>1225</v>
      </c>
      <c r="I101" s="34" t="s">
        <v>1852</v>
      </c>
      <c r="J101" s="34" t="s">
        <v>1225</v>
      </c>
      <c r="K101" s="34" t="s">
        <v>1225</v>
      </c>
      <c r="L101" s="34" t="s">
        <v>1853</v>
      </c>
      <c r="M101" s="34" t="s">
        <v>422</v>
      </c>
      <c r="N101" s="34" t="s">
        <v>1225</v>
      </c>
      <c r="O101" s="34" t="s">
        <v>1225</v>
      </c>
      <c r="P101" s="34" t="s">
        <v>1225</v>
      </c>
      <c r="Q101" s="34" t="s">
        <v>1227</v>
      </c>
      <c r="R101" s="34" t="s">
        <v>1225</v>
      </c>
      <c r="S101" s="34" t="s">
        <v>1225</v>
      </c>
      <c r="T101" s="34" t="s">
        <v>1225</v>
      </c>
      <c r="U101" s="34" t="s">
        <v>1225</v>
      </c>
      <c r="V101" s="34" t="s">
        <v>1225</v>
      </c>
      <c r="W101" s="34" t="s">
        <v>1854</v>
      </c>
      <c r="X101" s="34" t="s">
        <v>1855</v>
      </c>
      <c r="Y101" s="34" t="s">
        <v>1856</v>
      </c>
      <c r="Z101" s="34" t="s">
        <v>1225</v>
      </c>
      <c r="AA101" s="34" t="s">
        <v>1225</v>
      </c>
      <c r="AB101" s="34" t="s">
        <v>1225</v>
      </c>
      <c r="AC101" s="34" t="s">
        <v>1225</v>
      </c>
      <c r="AD101" s="34" t="s">
        <v>1225</v>
      </c>
      <c r="AE101" s="34" t="s">
        <v>1225</v>
      </c>
      <c r="AF101" s="34" t="s">
        <v>1225</v>
      </c>
      <c r="AG101" s="34" t="s">
        <v>1225</v>
      </c>
      <c r="AH101" s="34" t="s">
        <v>1225</v>
      </c>
      <c r="AI101" s="34" t="s">
        <v>1225</v>
      </c>
      <c r="AJ101" s="34" t="s">
        <v>1225</v>
      </c>
      <c r="AK101" s="34" t="s">
        <v>1225</v>
      </c>
      <c r="AL101" s="34" t="s">
        <v>1225</v>
      </c>
      <c r="AM101" s="34" t="s">
        <v>1225</v>
      </c>
      <c r="AN101" s="34" t="s">
        <v>1225</v>
      </c>
      <c r="AO101" s="34" t="s">
        <v>1225</v>
      </c>
      <c r="AP101" s="34" t="s">
        <v>1225</v>
      </c>
      <c r="AQ101" s="34" t="s">
        <v>1225</v>
      </c>
      <c r="AR101" s="34" t="s">
        <v>1225</v>
      </c>
      <c r="AS101" s="34" t="s">
        <v>1225</v>
      </c>
      <c r="AT101" s="34" t="s">
        <v>1225</v>
      </c>
      <c r="AU101" s="34" t="s">
        <v>1225</v>
      </c>
      <c r="AV101" s="34" t="s">
        <v>1225</v>
      </c>
      <c r="AW101" s="34" t="s">
        <v>1393</v>
      </c>
      <c r="AX101" s="34">
        <v>2022</v>
      </c>
      <c r="AY101" s="34">
        <v>15</v>
      </c>
      <c r="AZ101" s="34">
        <v>12</v>
      </c>
      <c r="BA101" s="34" t="s">
        <v>1225</v>
      </c>
      <c r="BB101" s="34" t="s">
        <v>1225</v>
      </c>
      <c r="BC101" s="34" t="s">
        <v>1225</v>
      </c>
      <c r="BD101" s="34" t="s">
        <v>1225</v>
      </c>
      <c r="BE101" s="34" t="s">
        <v>1225</v>
      </c>
      <c r="BF101" s="34" t="s">
        <v>1225</v>
      </c>
      <c r="BG101" s="34">
        <v>4454</v>
      </c>
      <c r="BH101" s="34" t="s">
        <v>1857</v>
      </c>
      <c r="BI101" s="34" t="str">
        <f>HYPERLINK("http://dx.doi.org/10.3390/en15124454","http://dx.doi.org/10.3390/en15124454")</f>
        <v>http://dx.doi.org/10.3390/en15124454</v>
      </c>
      <c r="BJ101" s="34" t="s">
        <v>1225</v>
      </c>
      <c r="BK101" s="34" t="s">
        <v>1225</v>
      </c>
      <c r="BL101" s="34" t="s">
        <v>1225</v>
      </c>
      <c r="BM101" s="34" t="s">
        <v>1225</v>
      </c>
      <c r="BN101" s="34" t="s">
        <v>1225</v>
      </c>
      <c r="BO101" s="34" t="s">
        <v>1225</v>
      </c>
      <c r="BP101" s="34" t="s">
        <v>1225</v>
      </c>
      <c r="BQ101" s="34" t="s">
        <v>1225</v>
      </c>
      <c r="BR101" s="34" t="s">
        <v>1225</v>
      </c>
      <c r="BS101" s="34" t="s">
        <v>1225</v>
      </c>
      <c r="BT101" s="34" t="s">
        <v>1225</v>
      </c>
      <c r="BU101" s="34" t="s">
        <v>1225</v>
      </c>
      <c r="BV101" s="34" t="s">
        <v>1225</v>
      </c>
      <c r="BW101" s="34" t="str">
        <f t="shared" si="2"/>
        <v>View Full Record in Web of Science</v>
      </c>
      <c r="BX101" s="34"/>
      <c r="BY101" s="41" t="str">
        <f>IF(Deletion!J101=TRUE,"Yes","No")</f>
        <v>Yes</v>
      </c>
    </row>
    <row r="102" spans="1:77" x14ac:dyDescent="0.15">
      <c r="A102" s="33">
        <f t="shared" si="3"/>
        <v>101</v>
      </c>
      <c r="B102" s="41" t="s">
        <v>1222</v>
      </c>
      <c r="C102" s="41" t="s">
        <v>1222</v>
      </c>
      <c r="D102" s="33" t="s">
        <v>1223</v>
      </c>
      <c r="E102" s="33" t="s">
        <v>1858</v>
      </c>
      <c r="F102" s="32" t="s">
        <v>1225</v>
      </c>
      <c r="G102" s="32" t="s">
        <v>1225</v>
      </c>
      <c r="H102" s="32" t="s">
        <v>1225</v>
      </c>
      <c r="I102" s="33" t="s">
        <v>883</v>
      </c>
      <c r="J102" s="32" t="s">
        <v>1225</v>
      </c>
      <c r="K102" s="32" t="s">
        <v>1225</v>
      </c>
      <c r="L102" s="33" t="s">
        <v>881</v>
      </c>
      <c r="M102" s="33" t="s">
        <v>882</v>
      </c>
      <c r="N102" s="32" t="s">
        <v>1225</v>
      </c>
      <c r="O102" s="32" t="s">
        <v>1225</v>
      </c>
      <c r="P102" s="32" t="s">
        <v>1225</v>
      </c>
      <c r="Q102" s="33" t="s">
        <v>1227</v>
      </c>
      <c r="R102" s="32" t="s">
        <v>1225</v>
      </c>
      <c r="S102" s="32" t="s">
        <v>1225</v>
      </c>
      <c r="T102" s="32" t="s">
        <v>1225</v>
      </c>
      <c r="U102" s="32" t="s">
        <v>1225</v>
      </c>
      <c r="V102" s="32" t="s">
        <v>1225</v>
      </c>
      <c r="W102" s="33" t="s">
        <v>885</v>
      </c>
      <c r="X102" s="33" t="s">
        <v>1859</v>
      </c>
      <c r="Y102" s="33" t="s">
        <v>884</v>
      </c>
      <c r="Z102" s="32" t="s">
        <v>1225</v>
      </c>
      <c r="AA102" s="32" t="s">
        <v>1225</v>
      </c>
      <c r="AB102" s="32" t="s">
        <v>1225</v>
      </c>
      <c r="AC102" s="32" t="s">
        <v>1225</v>
      </c>
      <c r="AD102" s="32" t="s">
        <v>1225</v>
      </c>
      <c r="AE102" s="32" t="s">
        <v>1225</v>
      </c>
      <c r="AF102" s="32" t="s">
        <v>1225</v>
      </c>
      <c r="AG102" s="32" t="s">
        <v>1225</v>
      </c>
      <c r="AH102" s="32" t="s">
        <v>1225</v>
      </c>
      <c r="AI102" s="32" t="s">
        <v>1225</v>
      </c>
      <c r="AJ102" s="32" t="s">
        <v>1225</v>
      </c>
      <c r="AK102" s="32" t="s">
        <v>1225</v>
      </c>
      <c r="AL102" s="32" t="s">
        <v>1225</v>
      </c>
      <c r="AM102" s="32" t="s">
        <v>1225</v>
      </c>
      <c r="AN102" s="32" t="s">
        <v>1225</v>
      </c>
      <c r="AO102" s="32" t="s">
        <v>1225</v>
      </c>
      <c r="AP102" s="32" t="s">
        <v>1225</v>
      </c>
      <c r="AQ102" s="32" t="s">
        <v>1225</v>
      </c>
      <c r="AR102" s="32" t="s">
        <v>1225</v>
      </c>
      <c r="AS102" s="32" t="s">
        <v>1225</v>
      </c>
      <c r="AT102" s="32" t="s">
        <v>1225</v>
      </c>
      <c r="AU102" s="32" t="s">
        <v>1225</v>
      </c>
      <c r="AV102" s="32" t="s">
        <v>1225</v>
      </c>
      <c r="AW102" s="33" t="s">
        <v>1860</v>
      </c>
      <c r="AX102" s="33">
        <v>2019</v>
      </c>
      <c r="AY102" s="32">
        <v>13</v>
      </c>
      <c r="AZ102" s="32">
        <v>15</v>
      </c>
      <c r="BA102" s="32" t="s">
        <v>1225</v>
      </c>
      <c r="BB102" s="32" t="s">
        <v>1225</v>
      </c>
      <c r="BC102" s="32" t="s">
        <v>1225</v>
      </c>
      <c r="BD102" s="32" t="s">
        <v>1225</v>
      </c>
      <c r="BE102" s="32">
        <v>3388</v>
      </c>
      <c r="BF102" s="32">
        <v>3396</v>
      </c>
      <c r="BG102" s="32" t="s">
        <v>1225</v>
      </c>
      <c r="BH102" s="33" t="s">
        <v>1861</v>
      </c>
      <c r="BI102" s="33" t="str">
        <f>HYPERLINK("http://dx.doi.org/10.1049/iet-gtd.2019.0154","http://dx.doi.org/10.1049/iet-gtd.2019.0154")</f>
        <v>http://dx.doi.org/10.1049/iet-gtd.2019.0154</v>
      </c>
      <c r="BJ102" s="33" t="s">
        <v>1225</v>
      </c>
      <c r="BK102" s="33" t="s">
        <v>1225</v>
      </c>
      <c r="BL102" s="33" t="s">
        <v>1225</v>
      </c>
      <c r="BM102" s="33" t="s">
        <v>1225</v>
      </c>
      <c r="BN102" s="33" t="s">
        <v>1225</v>
      </c>
      <c r="BO102" s="33" t="s">
        <v>1225</v>
      </c>
      <c r="BP102" s="33" t="s">
        <v>1225</v>
      </c>
      <c r="BQ102" s="33" t="s">
        <v>1225</v>
      </c>
      <c r="BR102" s="33" t="s">
        <v>1225</v>
      </c>
      <c r="BS102" s="33" t="s">
        <v>1225</v>
      </c>
      <c r="BT102" s="33" t="s">
        <v>1225</v>
      </c>
      <c r="BU102" s="33" t="s">
        <v>1225</v>
      </c>
      <c r="BV102" s="33" t="s">
        <v>1225</v>
      </c>
      <c r="BW102" s="33" t="str">
        <f t="shared" si="2"/>
        <v>View Full Record in Web of Science</v>
      </c>
      <c r="BX102" s="33"/>
      <c r="BY102" s="41" t="str">
        <f>IF(Deletion!J102=TRUE,"Yes","No")</f>
        <v>Yes</v>
      </c>
    </row>
    <row r="103" spans="1:77" x14ac:dyDescent="0.15">
      <c r="A103" s="34">
        <f t="shared" si="3"/>
        <v>102</v>
      </c>
      <c r="B103" s="34" t="s">
        <v>4</v>
      </c>
      <c r="C103" s="34" t="s">
        <v>4</v>
      </c>
      <c r="D103" s="34" t="s">
        <v>1223</v>
      </c>
      <c r="E103" s="34" t="s">
        <v>1862</v>
      </c>
      <c r="F103" s="32" t="s">
        <v>1225</v>
      </c>
      <c r="G103" s="32" t="s">
        <v>1225</v>
      </c>
      <c r="H103" s="32" t="s">
        <v>1225</v>
      </c>
      <c r="I103" s="34" t="s">
        <v>1863</v>
      </c>
      <c r="J103" s="32" t="s">
        <v>1225</v>
      </c>
      <c r="K103" s="32" t="s">
        <v>1225</v>
      </c>
      <c r="L103" s="34" t="s">
        <v>1864</v>
      </c>
      <c r="M103" s="34" t="s">
        <v>1865</v>
      </c>
      <c r="N103" s="32" t="s">
        <v>1225</v>
      </c>
      <c r="O103" s="32" t="s">
        <v>1225</v>
      </c>
      <c r="P103" s="32" t="s">
        <v>1225</v>
      </c>
      <c r="Q103" s="34" t="s">
        <v>1227</v>
      </c>
      <c r="R103" s="32" t="s">
        <v>1225</v>
      </c>
      <c r="S103" s="32" t="s">
        <v>1225</v>
      </c>
      <c r="T103" s="32" t="s">
        <v>1225</v>
      </c>
      <c r="U103" s="32" t="s">
        <v>1225</v>
      </c>
      <c r="V103" s="32" t="s">
        <v>1225</v>
      </c>
      <c r="W103" s="34" t="s">
        <v>1866</v>
      </c>
      <c r="X103" s="34" t="s">
        <v>1225</v>
      </c>
      <c r="Y103" s="34" t="s">
        <v>1867</v>
      </c>
      <c r="Z103" s="32" t="s">
        <v>1225</v>
      </c>
      <c r="AA103" s="32" t="s">
        <v>1225</v>
      </c>
      <c r="AB103" s="32" t="s">
        <v>1225</v>
      </c>
      <c r="AC103" s="32" t="s">
        <v>1225</v>
      </c>
      <c r="AD103" s="32" t="s">
        <v>1225</v>
      </c>
      <c r="AE103" s="32" t="s">
        <v>1225</v>
      </c>
      <c r="AF103" s="32" t="s">
        <v>1225</v>
      </c>
      <c r="AG103" s="32" t="s">
        <v>1225</v>
      </c>
      <c r="AH103" s="32" t="s">
        <v>1225</v>
      </c>
      <c r="AI103" s="32" t="s">
        <v>1225</v>
      </c>
      <c r="AJ103" s="32" t="s">
        <v>1225</v>
      </c>
      <c r="AK103" s="32" t="s">
        <v>1225</v>
      </c>
      <c r="AL103" s="32" t="s">
        <v>1225</v>
      </c>
      <c r="AM103" s="32" t="s">
        <v>1225</v>
      </c>
      <c r="AN103" s="32" t="s">
        <v>1225</v>
      </c>
      <c r="AO103" s="32" t="s">
        <v>1225</v>
      </c>
      <c r="AP103" s="32" t="s">
        <v>1225</v>
      </c>
      <c r="AQ103" s="32" t="s">
        <v>1225</v>
      </c>
      <c r="AR103" s="32" t="s">
        <v>1225</v>
      </c>
      <c r="AS103" s="32" t="s">
        <v>1225</v>
      </c>
      <c r="AT103" s="32" t="s">
        <v>1225</v>
      </c>
      <c r="AU103" s="32" t="s">
        <v>1225</v>
      </c>
      <c r="AV103" s="32" t="s">
        <v>1225</v>
      </c>
      <c r="AW103" s="34" t="s">
        <v>1868</v>
      </c>
      <c r="AX103" s="34">
        <v>2020</v>
      </c>
      <c r="AY103" s="32">
        <v>34</v>
      </c>
      <c r="AZ103" s="32">
        <v>3</v>
      </c>
      <c r="BA103" s="32" t="s">
        <v>1225</v>
      </c>
      <c r="BB103" s="32" t="s">
        <v>1225</v>
      </c>
      <c r="BC103" s="32" t="s">
        <v>1225</v>
      </c>
      <c r="BD103" s="32" t="s">
        <v>1225</v>
      </c>
      <c r="BE103" s="32">
        <v>200</v>
      </c>
      <c r="BF103" s="32">
        <v>207</v>
      </c>
      <c r="BG103" s="32" t="s">
        <v>1225</v>
      </c>
      <c r="BH103" s="34" t="s">
        <v>1869</v>
      </c>
      <c r="BI103" s="34" t="str">
        <f>HYPERLINK("http://dx.doi.org/10.1109/MNET.001.1900348","http://dx.doi.org/10.1109/MNET.001.1900348")</f>
        <v>http://dx.doi.org/10.1109/MNET.001.1900348</v>
      </c>
      <c r="BJ103" s="34" t="s">
        <v>1225</v>
      </c>
      <c r="BK103" s="34" t="s">
        <v>1225</v>
      </c>
      <c r="BL103" s="34" t="s">
        <v>1225</v>
      </c>
      <c r="BM103" s="34" t="s">
        <v>1225</v>
      </c>
      <c r="BN103" s="34" t="s">
        <v>1225</v>
      </c>
      <c r="BO103" s="34" t="s">
        <v>1225</v>
      </c>
      <c r="BP103" s="34" t="s">
        <v>1225</v>
      </c>
      <c r="BQ103" s="34" t="s">
        <v>1225</v>
      </c>
      <c r="BR103" s="34" t="s">
        <v>1225</v>
      </c>
      <c r="BS103" s="34" t="s">
        <v>1225</v>
      </c>
      <c r="BT103" s="34" t="s">
        <v>1225</v>
      </c>
      <c r="BU103" s="34" t="s">
        <v>1225</v>
      </c>
      <c r="BV103" s="34" t="s">
        <v>1225</v>
      </c>
      <c r="BW103" s="34" t="str">
        <f t="shared" si="2"/>
        <v>View Full Record in Web of Science</v>
      </c>
      <c r="BX103" s="34"/>
      <c r="BY103" s="41" t="str">
        <f>IF(Deletion!J103=TRUE,"Yes","No")</f>
        <v>No</v>
      </c>
    </row>
    <row r="104" spans="1:77" x14ac:dyDescent="0.15">
      <c r="A104" s="32">
        <f t="shared" si="3"/>
        <v>103</v>
      </c>
      <c r="D104" s="32" t="s">
        <v>1223</v>
      </c>
      <c r="E104" s="32" t="s">
        <v>1851</v>
      </c>
      <c r="F104" s="32" t="s">
        <v>1225</v>
      </c>
      <c r="G104" s="32" t="s">
        <v>1225</v>
      </c>
      <c r="H104" s="32" t="s">
        <v>1225</v>
      </c>
      <c r="I104" s="32" t="s">
        <v>1852</v>
      </c>
      <c r="J104" s="32" t="s">
        <v>1225</v>
      </c>
      <c r="K104" s="32" t="s">
        <v>1225</v>
      </c>
      <c r="L104" s="32" t="s">
        <v>1870</v>
      </c>
      <c r="M104" s="32" t="s">
        <v>1634</v>
      </c>
      <c r="N104" s="32" t="s">
        <v>1225</v>
      </c>
      <c r="O104" s="32" t="s">
        <v>1225</v>
      </c>
      <c r="P104" s="32" t="s">
        <v>1225</v>
      </c>
      <c r="Q104" s="32" t="s">
        <v>1227</v>
      </c>
      <c r="R104" s="32" t="s">
        <v>1225</v>
      </c>
      <c r="S104" s="32" t="s">
        <v>1225</v>
      </c>
      <c r="T104" s="32" t="s">
        <v>1225</v>
      </c>
      <c r="U104" s="32" t="s">
        <v>1225</v>
      </c>
      <c r="V104" s="32" t="s">
        <v>1225</v>
      </c>
      <c r="W104" s="32" t="s">
        <v>1871</v>
      </c>
      <c r="X104" s="32" t="s">
        <v>1872</v>
      </c>
      <c r="Y104" s="32" t="s">
        <v>1873</v>
      </c>
      <c r="Z104" s="32" t="s">
        <v>1225</v>
      </c>
      <c r="AA104" s="32" t="s">
        <v>1225</v>
      </c>
      <c r="AB104" s="32" t="s">
        <v>1225</v>
      </c>
      <c r="AC104" s="32" t="s">
        <v>1225</v>
      </c>
      <c r="AD104" s="32" t="s">
        <v>1225</v>
      </c>
      <c r="AE104" s="32" t="s">
        <v>1225</v>
      </c>
      <c r="AF104" s="32" t="s">
        <v>1225</v>
      </c>
      <c r="AG104" s="32" t="s">
        <v>1225</v>
      </c>
      <c r="AH104" s="32" t="s">
        <v>1225</v>
      </c>
      <c r="AI104" s="32" t="s">
        <v>1225</v>
      </c>
      <c r="AJ104" s="32" t="s">
        <v>1225</v>
      </c>
      <c r="AK104" s="32" t="s">
        <v>1225</v>
      </c>
      <c r="AL104" s="32" t="s">
        <v>1225</v>
      </c>
      <c r="AM104" s="32" t="s">
        <v>1225</v>
      </c>
      <c r="AN104" s="32" t="s">
        <v>1225</v>
      </c>
      <c r="AO104" s="32" t="s">
        <v>1225</v>
      </c>
      <c r="AP104" s="32" t="s">
        <v>1225</v>
      </c>
      <c r="AQ104" s="32" t="s">
        <v>1225</v>
      </c>
      <c r="AR104" s="32" t="s">
        <v>1225</v>
      </c>
      <c r="AS104" s="32" t="s">
        <v>1225</v>
      </c>
      <c r="AT104" s="32" t="s">
        <v>1225</v>
      </c>
      <c r="AU104" s="32" t="s">
        <v>1225</v>
      </c>
      <c r="AV104" s="32" t="s">
        <v>1225</v>
      </c>
      <c r="AW104" s="32" t="s">
        <v>1229</v>
      </c>
      <c r="AX104" s="32">
        <v>2021</v>
      </c>
      <c r="AY104" s="32">
        <v>11</v>
      </c>
      <c r="AZ104" s="32">
        <v>22</v>
      </c>
      <c r="BA104" s="32" t="s">
        <v>1225</v>
      </c>
      <c r="BB104" s="32" t="s">
        <v>1225</v>
      </c>
      <c r="BC104" s="32" t="s">
        <v>1225</v>
      </c>
      <c r="BD104" s="32" t="s">
        <v>1225</v>
      </c>
      <c r="BE104" s="32" t="s">
        <v>1225</v>
      </c>
      <c r="BF104" s="32" t="s">
        <v>1225</v>
      </c>
      <c r="BG104" s="32">
        <v>10962</v>
      </c>
      <c r="BH104" s="32" t="s">
        <v>1874</v>
      </c>
      <c r="BI104" s="32" t="str">
        <f>HYPERLINK("http://dx.doi.org/10.3390/app112210962","http://dx.doi.org/10.3390/app112210962")</f>
        <v>http://dx.doi.org/10.3390/app112210962</v>
      </c>
      <c r="BJ104" s="32" t="s">
        <v>1225</v>
      </c>
      <c r="BK104" s="32" t="s">
        <v>1225</v>
      </c>
      <c r="BL104" s="32" t="s">
        <v>1225</v>
      </c>
      <c r="BM104" s="32" t="s">
        <v>1225</v>
      </c>
      <c r="BN104" s="32" t="s">
        <v>1225</v>
      </c>
      <c r="BO104" s="32" t="s">
        <v>1225</v>
      </c>
      <c r="BP104" s="32" t="s">
        <v>1225</v>
      </c>
      <c r="BQ104" s="32" t="s">
        <v>1225</v>
      </c>
      <c r="BR104" s="32" t="s">
        <v>1225</v>
      </c>
      <c r="BS104" s="32" t="s">
        <v>1225</v>
      </c>
      <c r="BT104" s="32" t="s">
        <v>1225</v>
      </c>
      <c r="BU104" s="32" t="s">
        <v>1225</v>
      </c>
      <c r="BV104" s="32" t="s">
        <v>1225</v>
      </c>
      <c r="BW104" s="32" t="str">
        <f t="shared" si="2"/>
        <v>View Full Record in Web of Science</v>
      </c>
      <c r="BY104" s="41" t="str">
        <f>IF(Deletion!J104=TRUE,"Yes","No")</f>
        <v>Yes</v>
      </c>
    </row>
    <row r="105" spans="1:77" x14ac:dyDescent="0.15">
      <c r="A105" s="32">
        <f t="shared" si="3"/>
        <v>104</v>
      </c>
      <c r="D105" s="32" t="s">
        <v>1223</v>
      </c>
      <c r="E105" s="32" t="s">
        <v>1875</v>
      </c>
      <c r="F105" s="32" t="s">
        <v>1225</v>
      </c>
      <c r="G105" s="32" t="s">
        <v>1225</v>
      </c>
      <c r="H105" s="32" t="s">
        <v>1225</v>
      </c>
      <c r="I105" s="32" t="s">
        <v>1876</v>
      </c>
      <c r="J105" s="32" t="s">
        <v>1225</v>
      </c>
      <c r="K105" s="32" t="s">
        <v>1225</v>
      </c>
      <c r="L105" s="32" t="s">
        <v>1877</v>
      </c>
      <c r="M105" s="32" t="s">
        <v>97</v>
      </c>
      <c r="N105" s="32" t="s">
        <v>1225</v>
      </c>
      <c r="O105" s="32" t="s">
        <v>1225</v>
      </c>
      <c r="P105" s="32" t="s">
        <v>1225</v>
      </c>
      <c r="Q105" s="32" t="s">
        <v>1227</v>
      </c>
      <c r="R105" s="32" t="s">
        <v>1225</v>
      </c>
      <c r="S105" s="32" t="s">
        <v>1225</v>
      </c>
      <c r="T105" s="32" t="s">
        <v>1225</v>
      </c>
      <c r="U105" s="32" t="s">
        <v>1225</v>
      </c>
      <c r="V105" s="32" t="s">
        <v>1225</v>
      </c>
      <c r="W105" s="32" t="s">
        <v>1878</v>
      </c>
      <c r="X105" s="32" t="s">
        <v>1879</v>
      </c>
      <c r="Y105" s="32" t="s">
        <v>1880</v>
      </c>
      <c r="Z105" s="32" t="s">
        <v>1225</v>
      </c>
      <c r="AA105" s="32" t="s">
        <v>1225</v>
      </c>
      <c r="AB105" s="32" t="s">
        <v>1225</v>
      </c>
      <c r="AC105" s="32" t="s">
        <v>1225</v>
      </c>
      <c r="AD105" s="32" t="s">
        <v>1225</v>
      </c>
      <c r="AE105" s="32" t="s">
        <v>1225</v>
      </c>
      <c r="AF105" s="32" t="s">
        <v>1225</v>
      </c>
      <c r="AG105" s="32" t="s">
        <v>1225</v>
      </c>
      <c r="AH105" s="32" t="s">
        <v>1225</v>
      </c>
      <c r="AI105" s="32" t="s">
        <v>1225</v>
      </c>
      <c r="AJ105" s="32" t="s">
        <v>1225</v>
      </c>
      <c r="AK105" s="32" t="s">
        <v>1225</v>
      </c>
      <c r="AL105" s="32" t="s">
        <v>1225</v>
      </c>
      <c r="AM105" s="32" t="s">
        <v>1225</v>
      </c>
      <c r="AN105" s="32" t="s">
        <v>1225</v>
      </c>
      <c r="AO105" s="32" t="s">
        <v>1225</v>
      </c>
      <c r="AP105" s="32" t="s">
        <v>1225</v>
      </c>
      <c r="AQ105" s="32" t="s">
        <v>1225</v>
      </c>
      <c r="AR105" s="32" t="s">
        <v>1225</v>
      </c>
      <c r="AS105" s="32" t="s">
        <v>1225</v>
      </c>
      <c r="AT105" s="32" t="s">
        <v>1225</v>
      </c>
      <c r="AU105" s="32" t="s">
        <v>1225</v>
      </c>
      <c r="AV105" s="32" t="s">
        <v>1225</v>
      </c>
      <c r="AW105" s="32" t="s">
        <v>1437</v>
      </c>
      <c r="AX105" s="32">
        <v>2020</v>
      </c>
      <c r="AY105" s="32">
        <v>277</v>
      </c>
      <c r="AZ105" s="32" t="s">
        <v>1225</v>
      </c>
      <c r="BA105" s="32" t="s">
        <v>1225</v>
      </c>
      <c r="BB105" s="32" t="s">
        <v>1225</v>
      </c>
      <c r="BC105" s="32" t="s">
        <v>1225</v>
      </c>
      <c r="BD105" s="32" t="s">
        <v>1225</v>
      </c>
      <c r="BE105" s="32" t="s">
        <v>1225</v>
      </c>
      <c r="BF105" s="32" t="s">
        <v>1225</v>
      </c>
      <c r="BG105" s="32">
        <v>115517</v>
      </c>
      <c r="BH105" s="32" t="s">
        <v>1881</v>
      </c>
      <c r="BI105" s="32" t="str">
        <f>HYPERLINK("http://dx.doi.org/10.1016/j.apenergy.2020.115517","http://dx.doi.org/10.1016/j.apenergy.2020.115517")</f>
        <v>http://dx.doi.org/10.1016/j.apenergy.2020.115517</v>
      </c>
      <c r="BJ105" s="32" t="s">
        <v>1225</v>
      </c>
      <c r="BK105" s="32" t="s">
        <v>1225</v>
      </c>
      <c r="BL105" s="32" t="s">
        <v>1225</v>
      </c>
      <c r="BM105" s="32" t="s">
        <v>1225</v>
      </c>
      <c r="BN105" s="32" t="s">
        <v>1225</v>
      </c>
      <c r="BO105" s="32" t="s">
        <v>1225</v>
      </c>
      <c r="BP105" s="32" t="s">
        <v>1225</v>
      </c>
      <c r="BQ105" s="32" t="s">
        <v>1225</v>
      </c>
      <c r="BR105" s="32" t="s">
        <v>1225</v>
      </c>
      <c r="BS105" s="32" t="s">
        <v>1225</v>
      </c>
      <c r="BT105" s="32" t="s">
        <v>1225</v>
      </c>
      <c r="BU105" s="32" t="s">
        <v>1225</v>
      </c>
      <c r="BV105" s="32" t="s">
        <v>1225</v>
      </c>
      <c r="BW105" s="32" t="str">
        <f t="shared" si="2"/>
        <v>View Full Record in Web of Science</v>
      </c>
      <c r="BY105" s="41" t="str">
        <f>IF(Deletion!J105=TRUE,"Yes","No")</f>
        <v>Yes</v>
      </c>
    </row>
    <row r="106" spans="1:77" x14ac:dyDescent="0.15">
      <c r="A106" s="32">
        <f t="shared" si="3"/>
        <v>105</v>
      </c>
      <c r="D106" s="32" t="s">
        <v>1223</v>
      </c>
      <c r="E106" s="32" t="s">
        <v>1882</v>
      </c>
      <c r="F106" s="32" t="s">
        <v>1225</v>
      </c>
      <c r="G106" s="32" t="s">
        <v>1225</v>
      </c>
      <c r="H106" s="32" t="s">
        <v>1225</v>
      </c>
      <c r="I106" s="32" t="s">
        <v>1883</v>
      </c>
      <c r="J106" s="32" t="s">
        <v>1225</v>
      </c>
      <c r="K106" s="32" t="s">
        <v>1225</v>
      </c>
      <c r="L106" s="32" t="s">
        <v>1884</v>
      </c>
      <c r="M106" s="32" t="s">
        <v>68</v>
      </c>
      <c r="N106" s="32" t="s">
        <v>1225</v>
      </c>
      <c r="O106" s="32" t="s">
        <v>1225</v>
      </c>
      <c r="P106" s="32" t="s">
        <v>1225</v>
      </c>
      <c r="Q106" s="32" t="s">
        <v>1227</v>
      </c>
      <c r="R106" s="32" t="s">
        <v>1225</v>
      </c>
      <c r="S106" s="32" t="s">
        <v>1225</v>
      </c>
      <c r="T106" s="32" t="s">
        <v>1225</v>
      </c>
      <c r="U106" s="32" t="s">
        <v>1225</v>
      </c>
      <c r="V106" s="32" t="s">
        <v>1225</v>
      </c>
      <c r="W106" s="32" t="s">
        <v>1885</v>
      </c>
      <c r="X106" s="32" t="s">
        <v>1225</v>
      </c>
      <c r="Y106" s="32" t="s">
        <v>1886</v>
      </c>
      <c r="Z106" s="32" t="s">
        <v>1225</v>
      </c>
      <c r="AA106" s="32" t="s">
        <v>1225</v>
      </c>
      <c r="AB106" s="32" t="s">
        <v>1225</v>
      </c>
      <c r="AC106" s="32" t="s">
        <v>1225</v>
      </c>
      <c r="AD106" s="32" t="s">
        <v>1225</v>
      </c>
      <c r="AE106" s="32" t="s">
        <v>1225</v>
      </c>
      <c r="AF106" s="32" t="s">
        <v>1225</v>
      </c>
      <c r="AG106" s="32" t="s">
        <v>1225</v>
      </c>
      <c r="AH106" s="32" t="s">
        <v>1225</v>
      </c>
      <c r="AI106" s="32" t="s">
        <v>1225</v>
      </c>
      <c r="AJ106" s="32" t="s">
        <v>1225</v>
      </c>
      <c r="AK106" s="32" t="s">
        <v>1225</v>
      </c>
      <c r="AL106" s="32" t="s">
        <v>1225</v>
      </c>
      <c r="AM106" s="32" t="s">
        <v>1225</v>
      </c>
      <c r="AN106" s="32" t="s">
        <v>1225</v>
      </c>
      <c r="AO106" s="32" t="s">
        <v>1225</v>
      </c>
      <c r="AP106" s="32" t="s">
        <v>1225</v>
      </c>
      <c r="AQ106" s="32" t="s">
        <v>1225</v>
      </c>
      <c r="AR106" s="32" t="s">
        <v>1225</v>
      </c>
      <c r="AS106" s="32" t="s">
        <v>1225</v>
      </c>
      <c r="AT106" s="32" t="s">
        <v>1225</v>
      </c>
      <c r="AU106" s="32" t="s">
        <v>1225</v>
      </c>
      <c r="AV106" s="32" t="s">
        <v>1225</v>
      </c>
      <c r="AW106" s="32" t="s">
        <v>1225</v>
      </c>
      <c r="AX106" s="32">
        <v>2020</v>
      </c>
      <c r="AY106" s="32">
        <v>8</v>
      </c>
      <c r="AZ106" s="32" t="s">
        <v>1225</v>
      </c>
      <c r="BA106" s="32" t="s">
        <v>1225</v>
      </c>
      <c r="BB106" s="32" t="s">
        <v>1225</v>
      </c>
      <c r="BC106" s="32" t="s">
        <v>1225</v>
      </c>
      <c r="BD106" s="32" t="s">
        <v>1225</v>
      </c>
      <c r="BE106" s="32">
        <v>211794</v>
      </c>
      <c r="BF106" s="32">
        <v>211808</v>
      </c>
      <c r="BG106" s="32" t="s">
        <v>1225</v>
      </c>
      <c r="BH106" s="32" t="s">
        <v>1887</v>
      </c>
      <c r="BI106" s="32" t="str">
        <f>HYPERLINK("http://dx.doi.org/10.1109/ACCESS.2020.3039507","http://dx.doi.org/10.1109/ACCESS.2020.3039507")</f>
        <v>http://dx.doi.org/10.1109/ACCESS.2020.3039507</v>
      </c>
      <c r="BJ106" s="32" t="s">
        <v>1225</v>
      </c>
      <c r="BK106" s="32" t="s">
        <v>1225</v>
      </c>
      <c r="BL106" s="32" t="s">
        <v>1225</v>
      </c>
      <c r="BM106" s="32" t="s">
        <v>1225</v>
      </c>
      <c r="BN106" s="32" t="s">
        <v>1225</v>
      </c>
      <c r="BO106" s="32" t="s">
        <v>1225</v>
      </c>
      <c r="BP106" s="32" t="s">
        <v>1225</v>
      </c>
      <c r="BQ106" s="32" t="s">
        <v>1225</v>
      </c>
      <c r="BR106" s="32" t="s">
        <v>1225</v>
      </c>
      <c r="BS106" s="32" t="s">
        <v>1225</v>
      </c>
      <c r="BT106" s="32" t="s">
        <v>1225</v>
      </c>
      <c r="BU106" s="32" t="s">
        <v>1225</v>
      </c>
      <c r="BV106" s="32" t="s">
        <v>1225</v>
      </c>
      <c r="BW106" s="32" t="str">
        <f t="shared" si="2"/>
        <v>View Full Record in Web of Science</v>
      </c>
      <c r="BY106" s="41" t="str">
        <f>IF(Deletion!J106=TRUE,"Yes","No")</f>
        <v>Yes</v>
      </c>
    </row>
    <row r="107" spans="1:77" x14ac:dyDescent="0.15">
      <c r="A107" s="32">
        <f t="shared" si="3"/>
        <v>106</v>
      </c>
      <c r="D107" s="32" t="s">
        <v>1223</v>
      </c>
      <c r="E107" s="32" t="s">
        <v>1888</v>
      </c>
      <c r="F107" s="32" t="s">
        <v>1225</v>
      </c>
      <c r="G107" s="32" t="s">
        <v>1225</v>
      </c>
      <c r="H107" s="32" t="s">
        <v>1225</v>
      </c>
      <c r="I107" s="32" t="s">
        <v>1889</v>
      </c>
      <c r="J107" s="32" t="s">
        <v>1225</v>
      </c>
      <c r="K107" s="32" t="s">
        <v>1225</v>
      </c>
      <c r="L107" s="32" t="s">
        <v>1890</v>
      </c>
      <c r="M107" s="32" t="s">
        <v>422</v>
      </c>
      <c r="N107" s="32" t="s">
        <v>1225</v>
      </c>
      <c r="O107" s="32" t="s">
        <v>1225</v>
      </c>
      <c r="P107" s="32" t="s">
        <v>1225</v>
      </c>
      <c r="Q107" s="32" t="s">
        <v>1227</v>
      </c>
      <c r="R107" s="32" t="s">
        <v>1225</v>
      </c>
      <c r="S107" s="32" t="s">
        <v>1225</v>
      </c>
      <c r="T107" s="32" t="s">
        <v>1225</v>
      </c>
      <c r="U107" s="32" t="s">
        <v>1225</v>
      </c>
      <c r="V107" s="32" t="s">
        <v>1225</v>
      </c>
      <c r="W107" s="32" t="s">
        <v>1891</v>
      </c>
      <c r="X107" s="32" t="s">
        <v>1892</v>
      </c>
      <c r="Y107" s="32" t="s">
        <v>1893</v>
      </c>
      <c r="Z107" s="32" t="s">
        <v>1225</v>
      </c>
      <c r="AA107" s="32" t="s">
        <v>1225</v>
      </c>
      <c r="AB107" s="32" t="s">
        <v>1225</v>
      </c>
      <c r="AC107" s="32" t="s">
        <v>1225</v>
      </c>
      <c r="AD107" s="32" t="s">
        <v>1225</v>
      </c>
      <c r="AE107" s="32" t="s">
        <v>1225</v>
      </c>
      <c r="AF107" s="32" t="s">
        <v>1225</v>
      </c>
      <c r="AG107" s="32" t="s">
        <v>1225</v>
      </c>
      <c r="AH107" s="32" t="s">
        <v>1225</v>
      </c>
      <c r="AI107" s="32" t="s">
        <v>1225</v>
      </c>
      <c r="AJ107" s="32" t="s">
        <v>1225</v>
      </c>
      <c r="AK107" s="32" t="s">
        <v>1225</v>
      </c>
      <c r="AL107" s="32" t="s">
        <v>1225</v>
      </c>
      <c r="AM107" s="32" t="s">
        <v>1225</v>
      </c>
      <c r="AN107" s="32" t="s">
        <v>1225</v>
      </c>
      <c r="AO107" s="32" t="s">
        <v>1225</v>
      </c>
      <c r="AP107" s="32" t="s">
        <v>1225</v>
      </c>
      <c r="AQ107" s="32" t="s">
        <v>1225</v>
      </c>
      <c r="AR107" s="32" t="s">
        <v>1225</v>
      </c>
      <c r="AS107" s="32" t="s">
        <v>1225</v>
      </c>
      <c r="AT107" s="32" t="s">
        <v>1225</v>
      </c>
      <c r="AU107" s="32" t="s">
        <v>1225</v>
      </c>
      <c r="AV107" s="32" t="s">
        <v>1225</v>
      </c>
      <c r="AW107" s="32" t="s">
        <v>1894</v>
      </c>
      <c r="AX107" s="32">
        <v>2019</v>
      </c>
      <c r="AY107" s="32">
        <v>12</v>
      </c>
      <c r="AZ107" s="32">
        <v>16</v>
      </c>
      <c r="BA107" s="32" t="s">
        <v>1225</v>
      </c>
      <c r="BB107" s="32" t="s">
        <v>1225</v>
      </c>
      <c r="BC107" s="32" t="s">
        <v>1225</v>
      </c>
      <c r="BD107" s="32" t="s">
        <v>1225</v>
      </c>
      <c r="BE107" s="32" t="s">
        <v>1225</v>
      </c>
      <c r="BF107" s="32" t="s">
        <v>1225</v>
      </c>
      <c r="BG107" s="32">
        <v>3056</v>
      </c>
      <c r="BH107" s="32" t="s">
        <v>1895</v>
      </c>
      <c r="BI107" s="32" t="str">
        <f>HYPERLINK("http://dx.doi.org/10.3390/en12163056","http://dx.doi.org/10.3390/en12163056")</f>
        <v>http://dx.doi.org/10.3390/en12163056</v>
      </c>
      <c r="BJ107" s="32" t="s">
        <v>1225</v>
      </c>
      <c r="BK107" s="32" t="s">
        <v>1225</v>
      </c>
      <c r="BL107" s="32" t="s">
        <v>1225</v>
      </c>
      <c r="BM107" s="32" t="s">
        <v>1225</v>
      </c>
      <c r="BN107" s="32" t="s">
        <v>1225</v>
      </c>
      <c r="BO107" s="32" t="s">
        <v>1225</v>
      </c>
      <c r="BP107" s="32" t="s">
        <v>1225</v>
      </c>
      <c r="BQ107" s="32" t="s">
        <v>1225</v>
      </c>
      <c r="BR107" s="32" t="s">
        <v>1225</v>
      </c>
      <c r="BS107" s="32" t="s">
        <v>1225</v>
      </c>
      <c r="BT107" s="32" t="s">
        <v>1225</v>
      </c>
      <c r="BU107" s="32" t="s">
        <v>1225</v>
      </c>
      <c r="BV107" s="32" t="s">
        <v>1225</v>
      </c>
      <c r="BW107" s="32" t="str">
        <f t="shared" si="2"/>
        <v>View Full Record in Web of Science</v>
      </c>
      <c r="BY107" s="41" t="str">
        <f>IF(Deletion!J107=TRUE,"Yes","No")</f>
        <v>Yes</v>
      </c>
    </row>
    <row r="108" spans="1:77" x14ac:dyDescent="0.15">
      <c r="A108" s="34">
        <f t="shared" si="3"/>
        <v>107</v>
      </c>
      <c r="B108" s="34" t="s">
        <v>4</v>
      </c>
      <c r="C108" s="34" t="s">
        <v>4</v>
      </c>
      <c r="D108" s="34" t="s">
        <v>1223</v>
      </c>
      <c r="E108" s="34" t="s">
        <v>1896</v>
      </c>
      <c r="F108" s="32" t="s">
        <v>1225</v>
      </c>
      <c r="G108" s="32" t="s">
        <v>1225</v>
      </c>
      <c r="H108" s="32" t="s">
        <v>1225</v>
      </c>
      <c r="I108" s="34" t="s">
        <v>1897</v>
      </c>
      <c r="J108" s="32" t="s">
        <v>1225</v>
      </c>
      <c r="K108" s="32" t="s">
        <v>1225</v>
      </c>
      <c r="L108" s="34" t="s">
        <v>1898</v>
      </c>
      <c r="M108" s="34" t="s">
        <v>1899</v>
      </c>
      <c r="N108" s="32" t="s">
        <v>1225</v>
      </c>
      <c r="O108" s="32" t="s">
        <v>1225</v>
      </c>
      <c r="P108" s="32" t="s">
        <v>1225</v>
      </c>
      <c r="Q108" s="34" t="s">
        <v>1227</v>
      </c>
      <c r="R108" s="32" t="s">
        <v>1225</v>
      </c>
      <c r="S108" s="32" t="s">
        <v>1225</v>
      </c>
      <c r="T108" s="32" t="s">
        <v>1225</v>
      </c>
      <c r="U108" s="32" t="s">
        <v>1225</v>
      </c>
      <c r="V108" s="32" t="s">
        <v>1225</v>
      </c>
      <c r="W108" s="34" t="s">
        <v>1900</v>
      </c>
      <c r="X108" s="34" t="s">
        <v>1901</v>
      </c>
      <c r="Y108" s="34" t="s">
        <v>1902</v>
      </c>
      <c r="Z108" s="32" t="s">
        <v>1225</v>
      </c>
      <c r="AA108" s="32" t="s">
        <v>1225</v>
      </c>
      <c r="AB108" s="32" t="s">
        <v>1225</v>
      </c>
      <c r="AC108" s="32" t="s">
        <v>1225</v>
      </c>
      <c r="AD108" s="32" t="s">
        <v>1225</v>
      </c>
      <c r="AE108" s="32" t="s">
        <v>1225</v>
      </c>
      <c r="AF108" s="32" t="s">
        <v>1225</v>
      </c>
      <c r="AG108" s="32" t="s">
        <v>1225</v>
      </c>
      <c r="AH108" s="32" t="s">
        <v>1225</v>
      </c>
      <c r="AI108" s="32" t="s">
        <v>1225</v>
      </c>
      <c r="AJ108" s="32" t="s">
        <v>1225</v>
      </c>
      <c r="AK108" s="32" t="s">
        <v>1225</v>
      </c>
      <c r="AL108" s="32" t="s">
        <v>1225</v>
      </c>
      <c r="AM108" s="32" t="s">
        <v>1225</v>
      </c>
      <c r="AN108" s="32" t="s">
        <v>1225</v>
      </c>
      <c r="AO108" s="32" t="s">
        <v>1225</v>
      </c>
      <c r="AP108" s="32" t="s">
        <v>1225</v>
      </c>
      <c r="AQ108" s="32" t="s">
        <v>1225</v>
      </c>
      <c r="AR108" s="32" t="s">
        <v>1225</v>
      </c>
      <c r="AS108" s="32" t="s">
        <v>1225</v>
      </c>
      <c r="AT108" s="32" t="s">
        <v>1225</v>
      </c>
      <c r="AU108" s="32" t="s">
        <v>1225</v>
      </c>
      <c r="AV108" s="32" t="s">
        <v>1225</v>
      </c>
      <c r="AW108" s="34" t="s">
        <v>1225</v>
      </c>
      <c r="AX108" s="34">
        <v>2019</v>
      </c>
      <c r="AY108" s="32">
        <v>34</v>
      </c>
      <c r="AZ108" s="32">
        <v>1</v>
      </c>
      <c r="BA108" s="32" t="s">
        <v>1225</v>
      </c>
      <c r="BB108" s="32" t="s">
        <v>1225</v>
      </c>
      <c r="BC108" s="32" t="s">
        <v>1225</v>
      </c>
      <c r="BD108" s="32" t="s">
        <v>1225</v>
      </c>
      <c r="BE108" s="32">
        <v>135</v>
      </c>
      <c r="BF108" s="32">
        <v>145</v>
      </c>
      <c r="BG108" s="32" t="s">
        <v>1225</v>
      </c>
      <c r="BH108" s="34" t="s">
        <v>1903</v>
      </c>
      <c r="BI108" s="34" t="str">
        <f>HYPERLINK("http://dx.doi.org/10.3846/transport.2019.8548","http://dx.doi.org/10.3846/transport.2019.8548")</f>
        <v>http://dx.doi.org/10.3846/transport.2019.8548</v>
      </c>
      <c r="BJ108" s="32" t="s">
        <v>1225</v>
      </c>
      <c r="BK108" s="32" t="s">
        <v>1225</v>
      </c>
      <c r="BL108" s="32" t="s">
        <v>1225</v>
      </c>
      <c r="BM108" s="32" t="s">
        <v>1225</v>
      </c>
      <c r="BN108" s="32" t="s">
        <v>1225</v>
      </c>
      <c r="BO108" s="32" t="s">
        <v>1225</v>
      </c>
      <c r="BP108" s="32" t="s">
        <v>1225</v>
      </c>
      <c r="BQ108" s="32" t="s">
        <v>1225</v>
      </c>
      <c r="BR108" s="32" t="s">
        <v>1225</v>
      </c>
      <c r="BS108" s="32" t="s">
        <v>1225</v>
      </c>
      <c r="BT108" s="32" t="s">
        <v>1225</v>
      </c>
      <c r="BU108" s="32" t="s">
        <v>1225</v>
      </c>
      <c r="BV108" s="32" t="s">
        <v>1225</v>
      </c>
      <c r="BW108" s="32" t="str">
        <f t="shared" si="2"/>
        <v>View Full Record in Web of Science</v>
      </c>
      <c r="BY108" s="41" t="str">
        <f>IF(Deletion!J108=TRUE,"Yes","No")</f>
        <v>No</v>
      </c>
    </row>
    <row r="109" spans="1:77" x14ac:dyDescent="0.15">
      <c r="A109" s="32">
        <f t="shared" si="3"/>
        <v>108</v>
      </c>
      <c r="D109" s="32" t="s">
        <v>1223</v>
      </c>
      <c r="E109" s="32" t="s">
        <v>1904</v>
      </c>
      <c r="F109" s="32" t="s">
        <v>1225</v>
      </c>
      <c r="G109" s="32" t="s">
        <v>1225</v>
      </c>
      <c r="H109" s="32" t="s">
        <v>1225</v>
      </c>
      <c r="I109" s="32" t="s">
        <v>1905</v>
      </c>
      <c r="J109" s="32" t="s">
        <v>1225</v>
      </c>
      <c r="K109" s="32" t="s">
        <v>1225</v>
      </c>
      <c r="L109" s="32" t="s">
        <v>1906</v>
      </c>
      <c r="M109" s="32" t="s">
        <v>124</v>
      </c>
      <c r="N109" s="32" t="s">
        <v>1225</v>
      </c>
      <c r="O109" s="32" t="s">
        <v>1225</v>
      </c>
      <c r="P109" s="32" t="s">
        <v>1225</v>
      </c>
      <c r="Q109" s="32" t="s">
        <v>1227</v>
      </c>
      <c r="R109" s="32" t="s">
        <v>1225</v>
      </c>
      <c r="S109" s="32" t="s">
        <v>1225</v>
      </c>
      <c r="T109" s="32" t="s">
        <v>1225</v>
      </c>
      <c r="U109" s="32" t="s">
        <v>1225</v>
      </c>
      <c r="V109" s="32" t="s">
        <v>1225</v>
      </c>
      <c r="W109" s="32" t="s">
        <v>1907</v>
      </c>
      <c r="X109" s="32" t="s">
        <v>1908</v>
      </c>
      <c r="Y109" s="32" t="s">
        <v>1909</v>
      </c>
      <c r="Z109" s="32" t="s">
        <v>1225</v>
      </c>
      <c r="AA109" s="32" t="s">
        <v>1225</v>
      </c>
      <c r="AB109" s="32" t="s">
        <v>1225</v>
      </c>
      <c r="AC109" s="32" t="s">
        <v>1225</v>
      </c>
      <c r="AD109" s="32" t="s">
        <v>1225</v>
      </c>
      <c r="AE109" s="32" t="s">
        <v>1225</v>
      </c>
      <c r="AF109" s="32" t="s">
        <v>1225</v>
      </c>
      <c r="AG109" s="32" t="s">
        <v>1225</v>
      </c>
      <c r="AH109" s="32" t="s">
        <v>1225</v>
      </c>
      <c r="AI109" s="32" t="s">
        <v>1225</v>
      </c>
      <c r="AJ109" s="32" t="s">
        <v>1225</v>
      </c>
      <c r="AK109" s="32" t="s">
        <v>1225</v>
      </c>
      <c r="AL109" s="32" t="s">
        <v>1225</v>
      </c>
      <c r="AM109" s="32" t="s">
        <v>1225</v>
      </c>
      <c r="AN109" s="32" t="s">
        <v>1225</v>
      </c>
      <c r="AO109" s="32" t="s">
        <v>1225</v>
      </c>
      <c r="AP109" s="32" t="s">
        <v>1225</v>
      </c>
      <c r="AQ109" s="32" t="s">
        <v>1225</v>
      </c>
      <c r="AR109" s="32" t="s">
        <v>1225</v>
      </c>
      <c r="AS109" s="32" t="s">
        <v>1225</v>
      </c>
      <c r="AT109" s="32" t="s">
        <v>1225</v>
      </c>
      <c r="AU109" s="32" t="s">
        <v>1225</v>
      </c>
      <c r="AV109" s="32" t="s">
        <v>1225</v>
      </c>
      <c r="AW109" s="32" t="s">
        <v>1239</v>
      </c>
      <c r="AX109" s="32">
        <v>2018</v>
      </c>
      <c r="AY109" s="32">
        <v>9</v>
      </c>
      <c r="AZ109" s="32">
        <v>4</v>
      </c>
      <c r="BA109" s="32" t="s">
        <v>1225</v>
      </c>
      <c r="BB109" s="32" t="s">
        <v>1225</v>
      </c>
      <c r="BC109" s="32" t="s">
        <v>1225</v>
      </c>
      <c r="BD109" s="32" t="s">
        <v>1225</v>
      </c>
      <c r="BE109" s="32">
        <v>2741</v>
      </c>
      <c r="BF109" s="32">
        <v>2751</v>
      </c>
      <c r="BG109" s="32" t="s">
        <v>1225</v>
      </c>
      <c r="BH109" s="32" t="s">
        <v>1910</v>
      </c>
      <c r="BI109" s="32" t="str">
        <f>HYPERLINK("http://dx.doi.org/10.1109/TSG.2016.2618219","http://dx.doi.org/10.1109/TSG.2016.2618219")</f>
        <v>http://dx.doi.org/10.1109/TSG.2016.2618219</v>
      </c>
      <c r="BJ109" s="32" t="s">
        <v>1225</v>
      </c>
      <c r="BK109" s="32" t="s">
        <v>1225</v>
      </c>
      <c r="BL109" s="32" t="s">
        <v>1225</v>
      </c>
      <c r="BM109" s="32" t="s">
        <v>1225</v>
      </c>
      <c r="BN109" s="32" t="s">
        <v>1225</v>
      </c>
      <c r="BO109" s="32" t="s">
        <v>1225</v>
      </c>
      <c r="BP109" s="32" t="s">
        <v>1225</v>
      </c>
      <c r="BQ109" s="32" t="s">
        <v>1225</v>
      </c>
      <c r="BR109" s="32" t="s">
        <v>1225</v>
      </c>
      <c r="BS109" s="32" t="s">
        <v>1225</v>
      </c>
      <c r="BT109" s="32" t="s">
        <v>1225</v>
      </c>
      <c r="BU109" s="32" t="s">
        <v>1225</v>
      </c>
      <c r="BV109" s="32" t="s">
        <v>1225</v>
      </c>
      <c r="BW109" s="32" t="str">
        <f t="shared" si="2"/>
        <v>View Full Record in Web of Science</v>
      </c>
      <c r="BY109" s="41" t="str">
        <f>IF(Deletion!J109=TRUE,"Yes","No")</f>
        <v>Yes</v>
      </c>
    </row>
    <row r="110" spans="1:77" x14ac:dyDescent="0.15">
      <c r="A110" s="34">
        <f t="shared" si="3"/>
        <v>109</v>
      </c>
      <c r="B110" s="34" t="s">
        <v>4</v>
      </c>
      <c r="C110" s="34" t="s">
        <v>4</v>
      </c>
      <c r="D110" s="34" t="s">
        <v>1223</v>
      </c>
      <c r="E110" s="34" t="s">
        <v>1911</v>
      </c>
      <c r="F110" s="32" t="s">
        <v>1225</v>
      </c>
      <c r="G110" s="32" t="s">
        <v>1225</v>
      </c>
      <c r="H110" s="32" t="s">
        <v>1225</v>
      </c>
      <c r="I110" s="34" t="s">
        <v>1912</v>
      </c>
      <c r="J110" s="32" t="s">
        <v>1225</v>
      </c>
      <c r="K110" s="32" t="s">
        <v>1225</v>
      </c>
      <c r="L110" s="34" t="s">
        <v>1913</v>
      </c>
      <c r="M110" s="34" t="s">
        <v>1690</v>
      </c>
      <c r="N110" s="32" t="s">
        <v>1225</v>
      </c>
      <c r="O110" s="32" t="s">
        <v>1225</v>
      </c>
      <c r="P110" s="32" t="s">
        <v>1225</v>
      </c>
      <c r="Q110" s="34" t="s">
        <v>1227</v>
      </c>
      <c r="R110" s="32" t="s">
        <v>1225</v>
      </c>
      <c r="S110" s="32" t="s">
        <v>1225</v>
      </c>
      <c r="T110" s="32" t="s">
        <v>1225</v>
      </c>
      <c r="U110" s="32" t="s">
        <v>1225</v>
      </c>
      <c r="V110" s="32" t="s">
        <v>1225</v>
      </c>
      <c r="W110" s="34" t="s">
        <v>1914</v>
      </c>
      <c r="X110" s="34" t="s">
        <v>1915</v>
      </c>
      <c r="Y110" s="34" t="s">
        <v>1916</v>
      </c>
      <c r="Z110" s="32" t="s">
        <v>1225</v>
      </c>
      <c r="AA110" s="32" t="s">
        <v>1225</v>
      </c>
      <c r="AB110" s="32" t="s">
        <v>1225</v>
      </c>
      <c r="AC110" s="32" t="s">
        <v>1225</v>
      </c>
      <c r="AD110" s="32" t="s">
        <v>1225</v>
      </c>
      <c r="AE110" s="32" t="s">
        <v>1225</v>
      </c>
      <c r="AF110" s="32" t="s">
        <v>1225</v>
      </c>
      <c r="AG110" s="32" t="s">
        <v>1225</v>
      </c>
      <c r="AH110" s="32" t="s">
        <v>1225</v>
      </c>
      <c r="AI110" s="32" t="s">
        <v>1225</v>
      </c>
      <c r="AJ110" s="32" t="s">
        <v>1225</v>
      </c>
      <c r="AK110" s="32" t="s">
        <v>1225</v>
      </c>
      <c r="AL110" s="32" t="s">
        <v>1225</v>
      </c>
      <c r="AM110" s="32" t="s">
        <v>1225</v>
      </c>
      <c r="AN110" s="32" t="s">
        <v>1225</v>
      </c>
      <c r="AO110" s="32" t="s">
        <v>1225</v>
      </c>
      <c r="AP110" s="32" t="s">
        <v>1225</v>
      </c>
      <c r="AQ110" s="32" t="s">
        <v>1225</v>
      </c>
      <c r="AR110" s="32" t="s">
        <v>1225</v>
      </c>
      <c r="AS110" s="32" t="s">
        <v>1225</v>
      </c>
      <c r="AT110" s="32" t="s">
        <v>1225</v>
      </c>
      <c r="AU110" s="32" t="s">
        <v>1225</v>
      </c>
      <c r="AV110" s="32" t="s">
        <v>1225</v>
      </c>
      <c r="AW110" s="34" t="s">
        <v>1317</v>
      </c>
      <c r="AX110" s="34">
        <v>2019</v>
      </c>
      <c r="AY110" s="32">
        <v>130</v>
      </c>
      <c r="AZ110" s="32" t="s">
        <v>1225</v>
      </c>
      <c r="BA110" s="32" t="s">
        <v>1225</v>
      </c>
      <c r="BB110" s="32" t="s">
        <v>1225</v>
      </c>
      <c r="BC110" s="32" t="s">
        <v>1225</v>
      </c>
      <c r="BD110" s="32" t="s">
        <v>1225</v>
      </c>
      <c r="BE110" s="32">
        <v>1146</v>
      </c>
      <c r="BF110" s="32">
        <v>1158</v>
      </c>
      <c r="BG110" s="32" t="s">
        <v>1225</v>
      </c>
      <c r="BH110" s="34" t="s">
        <v>1917</v>
      </c>
      <c r="BI110" s="34" t="str">
        <f>HYPERLINK("http://dx.doi.org/10.1016/j.renene.2018.08.056","http://dx.doi.org/10.1016/j.renene.2018.08.056")</f>
        <v>http://dx.doi.org/10.1016/j.renene.2018.08.056</v>
      </c>
      <c r="BJ110" s="32" t="s">
        <v>1225</v>
      </c>
      <c r="BK110" s="32" t="s">
        <v>1225</v>
      </c>
      <c r="BL110" s="32" t="s">
        <v>1225</v>
      </c>
      <c r="BM110" s="32" t="s">
        <v>1225</v>
      </c>
      <c r="BN110" s="32" t="s">
        <v>1225</v>
      </c>
      <c r="BO110" s="32" t="s">
        <v>1225</v>
      </c>
      <c r="BP110" s="32" t="s">
        <v>1225</v>
      </c>
      <c r="BQ110" s="32" t="s">
        <v>1225</v>
      </c>
      <c r="BR110" s="32" t="s">
        <v>1225</v>
      </c>
      <c r="BS110" s="32" t="s">
        <v>1225</v>
      </c>
      <c r="BT110" s="32" t="s">
        <v>1225</v>
      </c>
      <c r="BU110" s="32" t="s">
        <v>1225</v>
      </c>
      <c r="BV110" s="32" t="s">
        <v>1225</v>
      </c>
      <c r="BW110" s="32" t="str">
        <f t="shared" si="2"/>
        <v>View Full Record in Web of Science</v>
      </c>
      <c r="BY110" s="41" t="str">
        <f>IF(Deletion!J110=TRUE,"Yes","No")</f>
        <v>No</v>
      </c>
    </row>
    <row r="111" spans="1:77" x14ac:dyDescent="0.15">
      <c r="A111" s="32">
        <f t="shared" si="3"/>
        <v>110</v>
      </c>
      <c r="D111" s="32" t="s">
        <v>1223</v>
      </c>
      <c r="E111" s="32" t="s">
        <v>1918</v>
      </c>
      <c r="F111" s="32" t="s">
        <v>1225</v>
      </c>
      <c r="G111" s="32" t="s">
        <v>1225</v>
      </c>
      <c r="H111" s="32" t="s">
        <v>1225</v>
      </c>
      <c r="I111" s="32" t="s">
        <v>1919</v>
      </c>
      <c r="J111" s="32" t="s">
        <v>1225</v>
      </c>
      <c r="K111" s="32" t="s">
        <v>1225</v>
      </c>
      <c r="L111" s="32" t="s">
        <v>1920</v>
      </c>
      <c r="M111" s="32" t="s">
        <v>553</v>
      </c>
      <c r="N111" s="32" t="s">
        <v>1225</v>
      </c>
      <c r="O111" s="32" t="s">
        <v>1225</v>
      </c>
      <c r="P111" s="32" t="s">
        <v>1225</v>
      </c>
      <c r="Q111" s="32" t="s">
        <v>1227</v>
      </c>
      <c r="R111" s="32" t="s">
        <v>1225</v>
      </c>
      <c r="S111" s="32" t="s">
        <v>1225</v>
      </c>
      <c r="T111" s="32" t="s">
        <v>1225</v>
      </c>
      <c r="U111" s="32" t="s">
        <v>1225</v>
      </c>
      <c r="V111" s="32" t="s">
        <v>1225</v>
      </c>
      <c r="W111" s="32" t="s">
        <v>1921</v>
      </c>
      <c r="X111" s="32" t="s">
        <v>1922</v>
      </c>
      <c r="Y111" s="32" t="s">
        <v>1923</v>
      </c>
      <c r="Z111" s="32" t="s">
        <v>1225</v>
      </c>
      <c r="AA111" s="32" t="s">
        <v>1225</v>
      </c>
      <c r="AB111" s="32" t="s">
        <v>1225</v>
      </c>
      <c r="AC111" s="32" t="s">
        <v>1225</v>
      </c>
      <c r="AD111" s="32" t="s">
        <v>1225</v>
      </c>
      <c r="AE111" s="32" t="s">
        <v>1225</v>
      </c>
      <c r="AF111" s="32" t="s">
        <v>1225</v>
      </c>
      <c r="AG111" s="32" t="s">
        <v>1225</v>
      </c>
      <c r="AH111" s="32" t="s">
        <v>1225</v>
      </c>
      <c r="AI111" s="32" t="s">
        <v>1225</v>
      </c>
      <c r="AJ111" s="32" t="s">
        <v>1225</v>
      </c>
      <c r="AK111" s="32" t="s">
        <v>1225</v>
      </c>
      <c r="AL111" s="32" t="s">
        <v>1225</v>
      </c>
      <c r="AM111" s="32" t="s">
        <v>1225</v>
      </c>
      <c r="AN111" s="32" t="s">
        <v>1225</v>
      </c>
      <c r="AO111" s="32" t="s">
        <v>1225</v>
      </c>
      <c r="AP111" s="32" t="s">
        <v>1225</v>
      </c>
      <c r="AQ111" s="32" t="s">
        <v>1225</v>
      </c>
      <c r="AR111" s="32" t="s">
        <v>1225</v>
      </c>
      <c r="AS111" s="32" t="s">
        <v>1225</v>
      </c>
      <c r="AT111" s="32" t="s">
        <v>1225</v>
      </c>
      <c r="AU111" s="32" t="s">
        <v>1225</v>
      </c>
      <c r="AV111" s="32" t="s">
        <v>1225</v>
      </c>
      <c r="AW111" s="32" t="s">
        <v>1356</v>
      </c>
      <c r="AX111" s="32">
        <v>2018</v>
      </c>
      <c r="AY111" s="32">
        <v>63</v>
      </c>
      <c r="AZ111" s="32" t="s">
        <v>1225</v>
      </c>
      <c r="BA111" s="32" t="s">
        <v>1225</v>
      </c>
      <c r="BB111" s="32" t="s">
        <v>1225</v>
      </c>
      <c r="BC111" s="32" t="s">
        <v>1225</v>
      </c>
      <c r="BD111" s="32" t="s">
        <v>1225</v>
      </c>
      <c r="BE111" s="32">
        <v>890</v>
      </c>
      <c r="BF111" s="32">
        <v>906</v>
      </c>
      <c r="BG111" s="32" t="s">
        <v>1225</v>
      </c>
      <c r="BH111" s="32" t="s">
        <v>1924</v>
      </c>
      <c r="BI111" s="32" t="str">
        <f>HYPERLINK("http://dx.doi.org/10.1016/j.trd.2018.07.017","http://dx.doi.org/10.1016/j.trd.2018.07.017")</f>
        <v>http://dx.doi.org/10.1016/j.trd.2018.07.017</v>
      </c>
      <c r="BJ111" s="32" t="s">
        <v>1225</v>
      </c>
      <c r="BK111" s="32" t="s">
        <v>1225</v>
      </c>
      <c r="BL111" s="32" t="s">
        <v>1225</v>
      </c>
      <c r="BM111" s="32" t="s">
        <v>1225</v>
      </c>
      <c r="BN111" s="32" t="s">
        <v>1225</v>
      </c>
      <c r="BO111" s="32" t="s">
        <v>1225</v>
      </c>
      <c r="BP111" s="32" t="s">
        <v>1225</v>
      </c>
      <c r="BQ111" s="32" t="s">
        <v>1225</v>
      </c>
      <c r="BR111" s="32" t="s">
        <v>1225</v>
      </c>
      <c r="BS111" s="32" t="s">
        <v>1225</v>
      </c>
      <c r="BT111" s="32" t="s">
        <v>1225</v>
      </c>
      <c r="BU111" s="32" t="s">
        <v>1225</v>
      </c>
      <c r="BV111" s="32" t="s">
        <v>1225</v>
      </c>
      <c r="BW111" s="32" t="str">
        <f t="shared" si="2"/>
        <v>View Full Record in Web of Science</v>
      </c>
      <c r="BY111" s="41" t="str">
        <f>IF(Deletion!J111=TRUE,"Yes","No")</f>
        <v>Yes</v>
      </c>
    </row>
    <row r="112" spans="1:77" x14ac:dyDescent="0.15">
      <c r="A112" s="32">
        <f t="shared" si="3"/>
        <v>111</v>
      </c>
      <c r="D112" s="32" t="s">
        <v>1223</v>
      </c>
      <c r="E112" s="32" t="s">
        <v>1925</v>
      </c>
      <c r="F112" s="32" t="s">
        <v>1225</v>
      </c>
      <c r="G112" s="32" t="s">
        <v>1225</v>
      </c>
      <c r="H112" s="32" t="s">
        <v>1225</v>
      </c>
      <c r="I112" s="32" t="s">
        <v>1926</v>
      </c>
      <c r="J112" s="32" t="s">
        <v>1225</v>
      </c>
      <c r="K112" s="32" t="s">
        <v>1225</v>
      </c>
      <c r="L112" s="32" t="s">
        <v>1927</v>
      </c>
      <c r="M112" s="32" t="s">
        <v>1928</v>
      </c>
      <c r="N112" s="32" t="s">
        <v>1225</v>
      </c>
      <c r="O112" s="32" t="s">
        <v>1225</v>
      </c>
      <c r="P112" s="32" t="s">
        <v>1225</v>
      </c>
      <c r="Q112" s="32" t="s">
        <v>1227</v>
      </c>
      <c r="R112" s="32" t="s">
        <v>1225</v>
      </c>
      <c r="S112" s="32" t="s">
        <v>1225</v>
      </c>
      <c r="T112" s="32" t="s">
        <v>1225</v>
      </c>
      <c r="U112" s="32" t="s">
        <v>1225</v>
      </c>
      <c r="V112" s="32" t="s">
        <v>1225</v>
      </c>
      <c r="W112" s="32" t="s">
        <v>1929</v>
      </c>
      <c r="X112" s="32" t="s">
        <v>1930</v>
      </c>
      <c r="Y112" s="32" t="s">
        <v>1931</v>
      </c>
      <c r="Z112" s="32" t="s">
        <v>1225</v>
      </c>
      <c r="AA112" s="32" t="s">
        <v>1225</v>
      </c>
      <c r="AB112" s="32" t="s">
        <v>1225</v>
      </c>
      <c r="AC112" s="32" t="s">
        <v>1225</v>
      </c>
      <c r="AD112" s="32" t="s">
        <v>1225</v>
      </c>
      <c r="AE112" s="32" t="s">
        <v>1225</v>
      </c>
      <c r="AF112" s="32" t="s">
        <v>1225</v>
      </c>
      <c r="AG112" s="32" t="s">
        <v>1225</v>
      </c>
      <c r="AH112" s="32" t="s">
        <v>1225</v>
      </c>
      <c r="AI112" s="32" t="s">
        <v>1225</v>
      </c>
      <c r="AJ112" s="32" t="s">
        <v>1225</v>
      </c>
      <c r="AK112" s="32" t="s">
        <v>1225</v>
      </c>
      <c r="AL112" s="32" t="s">
        <v>1225</v>
      </c>
      <c r="AM112" s="32" t="s">
        <v>1225</v>
      </c>
      <c r="AN112" s="32" t="s">
        <v>1225</v>
      </c>
      <c r="AO112" s="32" t="s">
        <v>1225</v>
      </c>
      <c r="AP112" s="32" t="s">
        <v>1225</v>
      </c>
      <c r="AQ112" s="32" t="s">
        <v>1225</v>
      </c>
      <c r="AR112" s="32" t="s">
        <v>1225</v>
      </c>
      <c r="AS112" s="32" t="s">
        <v>1225</v>
      </c>
      <c r="AT112" s="32" t="s">
        <v>1225</v>
      </c>
      <c r="AU112" s="32" t="s">
        <v>1225</v>
      </c>
      <c r="AV112" s="32" t="s">
        <v>1225</v>
      </c>
      <c r="AW112" s="32" t="s">
        <v>1465</v>
      </c>
      <c r="AX112" s="32">
        <v>2020</v>
      </c>
      <c r="AY112" s="32">
        <v>60</v>
      </c>
      <c r="AZ112" s="32" t="s">
        <v>1225</v>
      </c>
      <c r="BA112" s="32" t="s">
        <v>1225</v>
      </c>
      <c r="BB112" s="32" t="s">
        <v>1225</v>
      </c>
      <c r="BC112" s="32" t="s">
        <v>1225</v>
      </c>
      <c r="BD112" s="32" t="s">
        <v>1225</v>
      </c>
      <c r="BE112" s="32" t="s">
        <v>1225</v>
      </c>
      <c r="BF112" s="32" t="s">
        <v>1225</v>
      </c>
      <c r="BG112" s="32">
        <v>101318</v>
      </c>
      <c r="BH112" s="32" t="s">
        <v>1932</v>
      </c>
      <c r="BI112" s="32" t="str">
        <f>HYPERLINK("http://dx.doi.org/10.1016/j.erss.2019.101318","http://dx.doi.org/10.1016/j.erss.2019.101318")</f>
        <v>http://dx.doi.org/10.1016/j.erss.2019.101318</v>
      </c>
      <c r="BJ112" s="32" t="s">
        <v>1225</v>
      </c>
      <c r="BK112" s="32" t="s">
        <v>1225</v>
      </c>
      <c r="BL112" s="32" t="s">
        <v>1225</v>
      </c>
      <c r="BM112" s="32" t="s">
        <v>1225</v>
      </c>
      <c r="BN112" s="32" t="s">
        <v>1225</v>
      </c>
      <c r="BO112" s="32" t="s">
        <v>1225</v>
      </c>
      <c r="BP112" s="32" t="s">
        <v>1225</v>
      </c>
      <c r="BQ112" s="32" t="s">
        <v>1225</v>
      </c>
      <c r="BR112" s="32" t="s">
        <v>1225</v>
      </c>
      <c r="BS112" s="32" t="s">
        <v>1225</v>
      </c>
      <c r="BT112" s="32" t="s">
        <v>1225</v>
      </c>
      <c r="BU112" s="32" t="s">
        <v>1225</v>
      </c>
      <c r="BV112" s="32" t="s">
        <v>1225</v>
      </c>
      <c r="BW112" s="32" t="str">
        <f t="shared" si="2"/>
        <v>View Full Record in Web of Science</v>
      </c>
      <c r="BY112" s="41" t="str">
        <f>IF(Deletion!J112=TRUE,"Yes","No")</f>
        <v>Yes</v>
      </c>
    </row>
    <row r="113" spans="1:77" x14ac:dyDescent="0.15">
      <c r="A113" s="32">
        <f t="shared" si="3"/>
        <v>112</v>
      </c>
      <c r="D113" s="32" t="s">
        <v>1223</v>
      </c>
      <c r="E113" s="32" t="s">
        <v>1933</v>
      </c>
      <c r="F113" s="32" t="s">
        <v>1225</v>
      </c>
      <c r="G113" s="32" t="s">
        <v>1225</v>
      </c>
      <c r="H113" s="32" t="s">
        <v>1225</v>
      </c>
      <c r="I113" s="32" t="s">
        <v>1934</v>
      </c>
      <c r="J113" s="32" t="s">
        <v>1225</v>
      </c>
      <c r="K113" s="32" t="s">
        <v>1225</v>
      </c>
      <c r="L113" s="32" t="s">
        <v>1935</v>
      </c>
      <c r="M113" s="32" t="s">
        <v>1936</v>
      </c>
      <c r="N113" s="32" t="s">
        <v>1225</v>
      </c>
      <c r="O113" s="32" t="s">
        <v>1225</v>
      </c>
      <c r="P113" s="32" t="s">
        <v>1225</v>
      </c>
      <c r="Q113" s="32" t="s">
        <v>1227</v>
      </c>
      <c r="R113" s="32" t="s">
        <v>1225</v>
      </c>
      <c r="S113" s="32" t="s">
        <v>1225</v>
      </c>
      <c r="T113" s="32" t="s">
        <v>1225</v>
      </c>
      <c r="U113" s="32" t="s">
        <v>1225</v>
      </c>
      <c r="V113" s="32" t="s">
        <v>1225</v>
      </c>
      <c r="W113" s="32" t="s">
        <v>1937</v>
      </c>
      <c r="X113" s="32" t="s">
        <v>1938</v>
      </c>
      <c r="Y113" s="32" t="s">
        <v>1939</v>
      </c>
      <c r="Z113" s="32" t="s">
        <v>1225</v>
      </c>
      <c r="AA113" s="32" t="s">
        <v>1225</v>
      </c>
      <c r="AB113" s="32" t="s">
        <v>1225</v>
      </c>
      <c r="AC113" s="32" t="s">
        <v>1225</v>
      </c>
      <c r="AD113" s="32" t="s">
        <v>1225</v>
      </c>
      <c r="AE113" s="32" t="s">
        <v>1225</v>
      </c>
      <c r="AF113" s="32" t="s">
        <v>1225</v>
      </c>
      <c r="AG113" s="32" t="s">
        <v>1225</v>
      </c>
      <c r="AH113" s="32" t="s">
        <v>1225</v>
      </c>
      <c r="AI113" s="32" t="s">
        <v>1225</v>
      </c>
      <c r="AJ113" s="32" t="s">
        <v>1225</v>
      </c>
      <c r="AK113" s="32" t="s">
        <v>1225</v>
      </c>
      <c r="AL113" s="32" t="s">
        <v>1225</v>
      </c>
      <c r="AM113" s="32" t="s">
        <v>1225</v>
      </c>
      <c r="AN113" s="32" t="s">
        <v>1225</v>
      </c>
      <c r="AO113" s="32" t="s">
        <v>1225</v>
      </c>
      <c r="AP113" s="32" t="s">
        <v>1225</v>
      </c>
      <c r="AQ113" s="32" t="s">
        <v>1225</v>
      </c>
      <c r="AR113" s="32" t="s">
        <v>1225</v>
      </c>
      <c r="AS113" s="32" t="s">
        <v>1225</v>
      </c>
      <c r="AT113" s="32" t="s">
        <v>1225</v>
      </c>
      <c r="AU113" s="32" t="s">
        <v>1225</v>
      </c>
      <c r="AV113" s="32" t="s">
        <v>1225</v>
      </c>
      <c r="AW113" s="32" t="s">
        <v>1726</v>
      </c>
      <c r="AX113" s="32">
        <v>2018</v>
      </c>
      <c r="AY113" s="32">
        <v>65</v>
      </c>
      <c r="AZ113" s="32" t="s">
        <v>1225</v>
      </c>
      <c r="BA113" s="32" t="s">
        <v>1225</v>
      </c>
      <c r="BB113" s="32" t="s">
        <v>1225</v>
      </c>
      <c r="BC113" s="32" t="s">
        <v>1225</v>
      </c>
      <c r="BD113" s="32" t="s">
        <v>1225</v>
      </c>
      <c r="BE113" s="32">
        <v>292</v>
      </c>
      <c r="BF113" s="32">
        <v>306</v>
      </c>
      <c r="BG113" s="32" t="s">
        <v>1225</v>
      </c>
      <c r="BH113" s="32" t="s">
        <v>1940</v>
      </c>
      <c r="BI113" s="32" t="str">
        <f>HYPERLINK("http://dx.doi.org/10.1016/j.asoc.2018.01.010","http://dx.doi.org/10.1016/j.asoc.2018.01.010")</f>
        <v>http://dx.doi.org/10.1016/j.asoc.2018.01.010</v>
      </c>
      <c r="BJ113" s="32" t="s">
        <v>1225</v>
      </c>
      <c r="BK113" s="32" t="s">
        <v>1225</v>
      </c>
      <c r="BL113" s="32" t="s">
        <v>1225</v>
      </c>
      <c r="BM113" s="32" t="s">
        <v>1225</v>
      </c>
      <c r="BN113" s="32" t="s">
        <v>1225</v>
      </c>
      <c r="BO113" s="32" t="s">
        <v>1225</v>
      </c>
      <c r="BP113" s="32" t="s">
        <v>1225</v>
      </c>
      <c r="BQ113" s="32" t="s">
        <v>1225</v>
      </c>
      <c r="BR113" s="32" t="s">
        <v>1225</v>
      </c>
      <c r="BS113" s="32" t="s">
        <v>1225</v>
      </c>
      <c r="BT113" s="32" t="s">
        <v>1225</v>
      </c>
      <c r="BU113" s="32" t="s">
        <v>1225</v>
      </c>
      <c r="BV113" s="32" t="s">
        <v>1225</v>
      </c>
      <c r="BW113" s="32" t="str">
        <f t="shared" si="2"/>
        <v>View Full Record in Web of Science</v>
      </c>
      <c r="BY113" s="41" t="str">
        <f>IF(Deletion!J113=TRUE,"Yes","No")</f>
        <v>Yes</v>
      </c>
    </row>
    <row r="114" spans="1:77" x14ac:dyDescent="0.15">
      <c r="A114" s="32">
        <f t="shared" si="3"/>
        <v>113</v>
      </c>
      <c r="D114" s="32" t="s">
        <v>1223</v>
      </c>
      <c r="E114" s="32" t="s">
        <v>1941</v>
      </c>
      <c r="F114" s="32" t="s">
        <v>1225</v>
      </c>
      <c r="G114" s="32" t="s">
        <v>1225</v>
      </c>
      <c r="H114" s="32" t="s">
        <v>1225</v>
      </c>
      <c r="I114" s="32" t="s">
        <v>1942</v>
      </c>
      <c r="J114" s="32" t="s">
        <v>1225</v>
      </c>
      <c r="K114" s="32" t="s">
        <v>1225</v>
      </c>
      <c r="L114" s="32" t="s">
        <v>1943</v>
      </c>
      <c r="M114" s="32" t="s">
        <v>278</v>
      </c>
      <c r="N114" s="32" t="s">
        <v>1225</v>
      </c>
      <c r="O114" s="32" t="s">
        <v>1225</v>
      </c>
      <c r="P114" s="32" t="s">
        <v>1225</v>
      </c>
      <c r="Q114" s="32" t="s">
        <v>1227</v>
      </c>
      <c r="R114" s="32" t="s">
        <v>1225</v>
      </c>
      <c r="S114" s="32" t="s">
        <v>1225</v>
      </c>
      <c r="T114" s="32" t="s">
        <v>1225</v>
      </c>
      <c r="U114" s="32" t="s">
        <v>1225</v>
      </c>
      <c r="V114" s="32" t="s">
        <v>1225</v>
      </c>
      <c r="W114" s="32" t="s">
        <v>1944</v>
      </c>
      <c r="X114" s="32" t="s">
        <v>1945</v>
      </c>
      <c r="Y114" s="32" t="s">
        <v>1946</v>
      </c>
      <c r="Z114" s="32" t="s">
        <v>1225</v>
      </c>
      <c r="AA114" s="32" t="s">
        <v>1225</v>
      </c>
      <c r="AB114" s="32" t="s">
        <v>1225</v>
      </c>
      <c r="AC114" s="32" t="s">
        <v>1225</v>
      </c>
      <c r="AD114" s="32" t="s">
        <v>1225</v>
      </c>
      <c r="AE114" s="32" t="s">
        <v>1225</v>
      </c>
      <c r="AF114" s="32" t="s">
        <v>1225</v>
      </c>
      <c r="AG114" s="32" t="s">
        <v>1225</v>
      </c>
      <c r="AH114" s="32" t="s">
        <v>1225</v>
      </c>
      <c r="AI114" s="32" t="s">
        <v>1225</v>
      </c>
      <c r="AJ114" s="32" t="s">
        <v>1225</v>
      </c>
      <c r="AK114" s="32" t="s">
        <v>1225</v>
      </c>
      <c r="AL114" s="32" t="s">
        <v>1225</v>
      </c>
      <c r="AM114" s="32" t="s">
        <v>1225</v>
      </c>
      <c r="AN114" s="32" t="s">
        <v>1225</v>
      </c>
      <c r="AO114" s="32" t="s">
        <v>1225</v>
      </c>
      <c r="AP114" s="32" t="s">
        <v>1225</v>
      </c>
      <c r="AQ114" s="32" t="s">
        <v>1225</v>
      </c>
      <c r="AR114" s="32" t="s">
        <v>1225</v>
      </c>
      <c r="AS114" s="32" t="s">
        <v>1225</v>
      </c>
      <c r="AT114" s="32" t="s">
        <v>1225</v>
      </c>
      <c r="AU114" s="32" t="s">
        <v>1225</v>
      </c>
      <c r="AV114" s="32" t="s">
        <v>1225</v>
      </c>
      <c r="AW114" s="32" t="s">
        <v>1393</v>
      </c>
      <c r="AX114" s="32">
        <v>2022</v>
      </c>
      <c r="AY114" s="32">
        <v>81</v>
      </c>
      <c r="AZ114" s="32" t="s">
        <v>1225</v>
      </c>
      <c r="BA114" s="32" t="s">
        <v>1225</v>
      </c>
      <c r="BB114" s="32" t="s">
        <v>1225</v>
      </c>
      <c r="BC114" s="32" t="s">
        <v>1225</v>
      </c>
      <c r="BD114" s="32" t="s">
        <v>1225</v>
      </c>
      <c r="BE114" s="32" t="s">
        <v>1225</v>
      </c>
      <c r="BF114" s="32" t="s">
        <v>1225</v>
      </c>
      <c r="BG114" s="32">
        <v>103845</v>
      </c>
      <c r="BH114" s="32" t="s">
        <v>1947</v>
      </c>
      <c r="BI114" s="32" t="str">
        <f>HYPERLINK("http://dx.doi.org/10.1016/j.scs.2022.103845","http://dx.doi.org/10.1016/j.scs.2022.103845")</f>
        <v>http://dx.doi.org/10.1016/j.scs.2022.103845</v>
      </c>
      <c r="BJ114" s="32" t="s">
        <v>1225</v>
      </c>
      <c r="BK114" s="32" t="s">
        <v>1225</v>
      </c>
      <c r="BL114" s="32" t="s">
        <v>1225</v>
      </c>
      <c r="BM114" s="32" t="s">
        <v>1225</v>
      </c>
      <c r="BN114" s="32" t="s">
        <v>1225</v>
      </c>
      <c r="BO114" s="32" t="s">
        <v>1225</v>
      </c>
      <c r="BP114" s="32" t="s">
        <v>1225</v>
      </c>
      <c r="BQ114" s="32" t="s">
        <v>1225</v>
      </c>
      <c r="BR114" s="32" t="s">
        <v>1225</v>
      </c>
      <c r="BS114" s="32" t="s">
        <v>1225</v>
      </c>
      <c r="BT114" s="32" t="s">
        <v>1225</v>
      </c>
      <c r="BU114" s="32" t="s">
        <v>1225</v>
      </c>
      <c r="BV114" s="32" t="s">
        <v>1225</v>
      </c>
      <c r="BW114" s="32" t="str">
        <f t="shared" si="2"/>
        <v>View Full Record in Web of Science</v>
      </c>
      <c r="BY114" s="41" t="str">
        <f>IF(Deletion!J114=TRUE,"Yes","No")</f>
        <v>Yes</v>
      </c>
    </row>
    <row r="115" spans="1:77" x14ac:dyDescent="0.15">
      <c r="A115" s="32">
        <f t="shared" si="3"/>
        <v>114</v>
      </c>
      <c r="D115" s="32" t="s">
        <v>1223</v>
      </c>
      <c r="E115" s="32" t="s">
        <v>1948</v>
      </c>
      <c r="F115" s="32" t="s">
        <v>1225</v>
      </c>
      <c r="G115" s="32" t="s">
        <v>1225</v>
      </c>
      <c r="H115" s="32" t="s">
        <v>1225</v>
      </c>
      <c r="I115" s="32" t="s">
        <v>1949</v>
      </c>
      <c r="J115" s="32" t="s">
        <v>1225</v>
      </c>
      <c r="K115" s="32" t="s">
        <v>1225</v>
      </c>
      <c r="L115" s="32" t="s">
        <v>1950</v>
      </c>
      <c r="M115" s="32" t="s">
        <v>1951</v>
      </c>
      <c r="N115" s="32" t="s">
        <v>1225</v>
      </c>
      <c r="O115" s="32" t="s">
        <v>1225</v>
      </c>
      <c r="P115" s="32" t="s">
        <v>1225</v>
      </c>
      <c r="Q115" s="32" t="s">
        <v>1227</v>
      </c>
      <c r="R115" s="32" t="s">
        <v>1225</v>
      </c>
      <c r="S115" s="32" t="s">
        <v>1225</v>
      </c>
      <c r="T115" s="32" t="s">
        <v>1225</v>
      </c>
      <c r="U115" s="32" t="s">
        <v>1225</v>
      </c>
      <c r="V115" s="32" t="s">
        <v>1225</v>
      </c>
      <c r="W115" s="32" t="s">
        <v>1952</v>
      </c>
      <c r="X115" s="32" t="s">
        <v>1225</v>
      </c>
      <c r="Y115" s="32" t="s">
        <v>1953</v>
      </c>
      <c r="Z115" s="32" t="s">
        <v>1225</v>
      </c>
      <c r="AA115" s="32" t="s">
        <v>1225</v>
      </c>
      <c r="AB115" s="32" t="s">
        <v>1225</v>
      </c>
      <c r="AC115" s="32" t="s">
        <v>1225</v>
      </c>
      <c r="AD115" s="32" t="s">
        <v>1225</v>
      </c>
      <c r="AE115" s="32" t="s">
        <v>1225</v>
      </c>
      <c r="AF115" s="32" t="s">
        <v>1225</v>
      </c>
      <c r="AG115" s="32" t="s">
        <v>1225</v>
      </c>
      <c r="AH115" s="32" t="s">
        <v>1225</v>
      </c>
      <c r="AI115" s="32" t="s">
        <v>1225</v>
      </c>
      <c r="AJ115" s="32" t="s">
        <v>1225</v>
      </c>
      <c r="AK115" s="32" t="s">
        <v>1225</v>
      </c>
      <c r="AL115" s="32" t="s">
        <v>1225</v>
      </c>
      <c r="AM115" s="32" t="s">
        <v>1225</v>
      </c>
      <c r="AN115" s="32" t="s">
        <v>1225</v>
      </c>
      <c r="AO115" s="32" t="s">
        <v>1225</v>
      </c>
      <c r="AP115" s="32" t="s">
        <v>1225</v>
      </c>
      <c r="AQ115" s="32" t="s">
        <v>1225</v>
      </c>
      <c r="AR115" s="32" t="s">
        <v>1225</v>
      </c>
      <c r="AS115" s="32" t="s">
        <v>1225</v>
      </c>
      <c r="AT115" s="32" t="s">
        <v>1225</v>
      </c>
      <c r="AU115" s="32" t="s">
        <v>1225</v>
      </c>
      <c r="AV115" s="32" t="s">
        <v>1225</v>
      </c>
      <c r="AW115" s="32" t="s">
        <v>1298</v>
      </c>
      <c r="AX115" s="32">
        <v>2018</v>
      </c>
      <c r="AY115" s="32">
        <v>3</v>
      </c>
      <c r="AZ115" s="32">
        <v>3</v>
      </c>
      <c r="BA115" s="32" t="s">
        <v>1225</v>
      </c>
      <c r="BB115" s="32" t="s">
        <v>1225</v>
      </c>
      <c r="BC115" s="32" t="s">
        <v>1225</v>
      </c>
      <c r="BD115" s="32" t="s">
        <v>1225</v>
      </c>
      <c r="BE115" s="32">
        <v>361</v>
      </c>
      <c r="BF115" s="32">
        <v>373</v>
      </c>
      <c r="BG115" s="32" t="s">
        <v>1225</v>
      </c>
      <c r="BH115" s="32" t="s">
        <v>1954</v>
      </c>
      <c r="BI115" s="32" t="str">
        <f>HYPERLINK("http://dx.doi.org/10.1109/TIV.2018.2843126","http://dx.doi.org/10.1109/TIV.2018.2843126")</f>
        <v>http://dx.doi.org/10.1109/TIV.2018.2843126</v>
      </c>
      <c r="BJ115" s="32" t="s">
        <v>1225</v>
      </c>
      <c r="BK115" s="32" t="s">
        <v>1225</v>
      </c>
      <c r="BL115" s="32" t="s">
        <v>1225</v>
      </c>
      <c r="BM115" s="32" t="s">
        <v>1225</v>
      </c>
      <c r="BN115" s="32" t="s">
        <v>1225</v>
      </c>
      <c r="BO115" s="32" t="s">
        <v>1225</v>
      </c>
      <c r="BP115" s="32" t="s">
        <v>1225</v>
      </c>
      <c r="BQ115" s="32" t="s">
        <v>1225</v>
      </c>
      <c r="BR115" s="32" t="s">
        <v>1225</v>
      </c>
      <c r="BS115" s="32" t="s">
        <v>1225</v>
      </c>
      <c r="BT115" s="32" t="s">
        <v>1225</v>
      </c>
      <c r="BU115" s="32" t="s">
        <v>1225</v>
      </c>
      <c r="BV115" s="32" t="s">
        <v>1225</v>
      </c>
      <c r="BW115" s="32" t="str">
        <f t="shared" si="2"/>
        <v>View Full Record in Web of Science</v>
      </c>
      <c r="BY115" s="41" t="str">
        <f>IF(Deletion!J115=TRUE,"Yes","No")</f>
        <v>Yes</v>
      </c>
    </row>
    <row r="116" spans="1:77" x14ac:dyDescent="0.15">
      <c r="A116" s="32">
        <f t="shared" si="3"/>
        <v>115</v>
      </c>
      <c r="D116" s="32" t="s">
        <v>1223</v>
      </c>
      <c r="E116" s="32" t="s">
        <v>1955</v>
      </c>
      <c r="F116" s="32" t="s">
        <v>1225</v>
      </c>
      <c r="G116" s="32" t="s">
        <v>1225</v>
      </c>
      <c r="H116" s="32" t="s">
        <v>1225</v>
      </c>
      <c r="I116" s="32" t="s">
        <v>1956</v>
      </c>
      <c r="J116" s="32" t="s">
        <v>1225</v>
      </c>
      <c r="K116" s="32" t="s">
        <v>1225</v>
      </c>
      <c r="L116" s="32" t="s">
        <v>1957</v>
      </c>
      <c r="M116" s="32" t="s">
        <v>1634</v>
      </c>
      <c r="N116" s="32" t="s">
        <v>1225</v>
      </c>
      <c r="O116" s="32" t="s">
        <v>1225</v>
      </c>
      <c r="P116" s="32" t="s">
        <v>1225</v>
      </c>
      <c r="Q116" s="32" t="s">
        <v>1227</v>
      </c>
      <c r="R116" s="32" t="s">
        <v>1225</v>
      </c>
      <c r="S116" s="32" t="s">
        <v>1225</v>
      </c>
      <c r="T116" s="32" t="s">
        <v>1225</v>
      </c>
      <c r="U116" s="32" t="s">
        <v>1225</v>
      </c>
      <c r="V116" s="32" t="s">
        <v>1225</v>
      </c>
      <c r="W116" s="32" t="s">
        <v>1958</v>
      </c>
      <c r="X116" s="32" t="s">
        <v>1959</v>
      </c>
      <c r="Y116" s="32" t="s">
        <v>1960</v>
      </c>
      <c r="Z116" s="32" t="s">
        <v>1225</v>
      </c>
      <c r="AA116" s="32" t="s">
        <v>1225</v>
      </c>
      <c r="AB116" s="32" t="s">
        <v>1225</v>
      </c>
      <c r="AC116" s="32" t="s">
        <v>1225</v>
      </c>
      <c r="AD116" s="32" t="s">
        <v>1225</v>
      </c>
      <c r="AE116" s="32" t="s">
        <v>1225</v>
      </c>
      <c r="AF116" s="32" t="s">
        <v>1225</v>
      </c>
      <c r="AG116" s="32" t="s">
        <v>1225</v>
      </c>
      <c r="AH116" s="32" t="s">
        <v>1225</v>
      </c>
      <c r="AI116" s="32" t="s">
        <v>1225</v>
      </c>
      <c r="AJ116" s="32" t="s">
        <v>1225</v>
      </c>
      <c r="AK116" s="32" t="s">
        <v>1225</v>
      </c>
      <c r="AL116" s="32" t="s">
        <v>1225</v>
      </c>
      <c r="AM116" s="32" t="s">
        <v>1225</v>
      </c>
      <c r="AN116" s="32" t="s">
        <v>1225</v>
      </c>
      <c r="AO116" s="32" t="s">
        <v>1225</v>
      </c>
      <c r="AP116" s="32" t="s">
        <v>1225</v>
      </c>
      <c r="AQ116" s="32" t="s">
        <v>1225</v>
      </c>
      <c r="AR116" s="32" t="s">
        <v>1225</v>
      </c>
      <c r="AS116" s="32" t="s">
        <v>1225</v>
      </c>
      <c r="AT116" s="32" t="s">
        <v>1225</v>
      </c>
      <c r="AU116" s="32" t="s">
        <v>1225</v>
      </c>
      <c r="AV116" s="32" t="s">
        <v>1225</v>
      </c>
      <c r="AW116" s="32" t="s">
        <v>1317</v>
      </c>
      <c r="AX116" s="32">
        <v>2022</v>
      </c>
      <c r="AY116" s="32">
        <v>12</v>
      </c>
      <c r="AZ116" s="32">
        <v>2</v>
      </c>
      <c r="BA116" s="32" t="s">
        <v>1225</v>
      </c>
      <c r="BB116" s="32" t="s">
        <v>1225</v>
      </c>
      <c r="BC116" s="32" t="s">
        <v>1225</v>
      </c>
      <c r="BD116" s="32" t="s">
        <v>1225</v>
      </c>
      <c r="BE116" s="32" t="s">
        <v>1225</v>
      </c>
      <c r="BF116" s="32" t="s">
        <v>1225</v>
      </c>
      <c r="BG116" s="32">
        <v>904</v>
      </c>
      <c r="BH116" s="32" t="s">
        <v>1961</v>
      </c>
      <c r="BI116" s="32" t="str">
        <f>HYPERLINK("http://dx.doi.org/10.3390/app12020904","http://dx.doi.org/10.3390/app12020904")</f>
        <v>http://dx.doi.org/10.3390/app12020904</v>
      </c>
      <c r="BJ116" s="32" t="s">
        <v>1225</v>
      </c>
      <c r="BK116" s="32" t="s">
        <v>1225</v>
      </c>
      <c r="BL116" s="32" t="s">
        <v>1225</v>
      </c>
      <c r="BM116" s="32" t="s">
        <v>1225</v>
      </c>
      <c r="BN116" s="32" t="s">
        <v>1225</v>
      </c>
      <c r="BO116" s="32" t="s">
        <v>1225</v>
      </c>
      <c r="BP116" s="32" t="s">
        <v>1225</v>
      </c>
      <c r="BQ116" s="32" t="s">
        <v>1225</v>
      </c>
      <c r="BR116" s="32" t="s">
        <v>1225</v>
      </c>
      <c r="BS116" s="32" t="s">
        <v>1225</v>
      </c>
      <c r="BT116" s="32" t="s">
        <v>1225</v>
      </c>
      <c r="BU116" s="32" t="s">
        <v>1225</v>
      </c>
      <c r="BV116" s="32" t="s">
        <v>1225</v>
      </c>
      <c r="BW116" s="32" t="str">
        <f t="shared" si="2"/>
        <v>View Full Record in Web of Science</v>
      </c>
      <c r="BY116" s="41" t="str">
        <f>IF(Deletion!J116=TRUE,"Yes","No")</f>
        <v>Yes</v>
      </c>
    </row>
    <row r="117" spans="1:77" x14ac:dyDescent="0.15">
      <c r="A117" s="34">
        <f t="shared" si="3"/>
        <v>116</v>
      </c>
      <c r="B117" s="34" t="s">
        <v>4</v>
      </c>
      <c r="C117" s="34" t="s">
        <v>4</v>
      </c>
      <c r="D117" s="34" t="s">
        <v>1223</v>
      </c>
      <c r="E117" s="34" t="s">
        <v>1962</v>
      </c>
      <c r="F117" s="32" t="s">
        <v>1225</v>
      </c>
      <c r="G117" s="32" t="s">
        <v>1225</v>
      </c>
      <c r="H117" s="32" t="s">
        <v>1225</v>
      </c>
      <c r="I117" s="34" t="s">
        <v>1963</v>
      </c>
      <c r="J117" s="32" t="s">
        <v>1225</v>
      </c>
      <c r="K117" s="32" t="s">
        <v>1225</v>
      </c>
      <c r="L117" s="34" t="s">
        <v>1964</v>
      </c>
      <c r="M117" s="34" t="s">
        <v>1965</v>
      </c>
      <c r="N117" s="32" t="s">
        <v>1225</v>
      </c>
      <c r="O117" s="32" t="s">
        <v>1225</v>
      </c>
      <c r="P117" s="32" t="s">
        <v>1225</v>
      </c>
      <c r="Q117" s="34" t="s">
        <v>1227</v>
      </c>
      <c r="R117" s="32" t="s">
        <v>1225</v>
      </c>
      <c r="S117" s="32" t="s">
        <v>1225</v>
      </c>
      <c r="T117" s="32" t="s">
        <v>1225</v>
      </c>
      <c r="U117" s="32" t="s">
        <v>1225</v>
      </c>
      <c r="V117" s="32" t="s">
        <v>1225</v>
      </c>
      <c r="W117" s="34" t="s">
        <v>1966</v>
      </c>
      <c r="X117" s="34" t="s">
        <v>1225</v>
      </c>
      <c r="Y117" s="34" t="s">
        <v>1967</v>
      </c>
      <c r="Z117" s="32" t="s">
        <v>1225</v>
      </c>
      <c r="AA117" s="32" t="s">
        <v>1225</v>
      </c>
      <c r="AB117" s="32" t="s">
        <v>1225</v>
      </c>
      <c r="AC117" s="32" t="s">
        <v>1225</v>
      </c>
      <c r="AD117" s="32" t="s">
        <v>1225</v>
      </c>
      <c r="AE117" s="32" t="s">
        <v>1225</v>
      </c>
      <c r="AF117" s="32" t="s">
        <v>1225</v>
      </c>
      <c r="AG117" s="32" t="s">
        <v>1225</v>
      </c>
      <c r="AH117" s="32" t="s">
        <v>1225</v>
      </c>
      <c r="AI117" s="32" t="s">
        <v>1225</v>
      </c>
      <c r="AJ117" s="32" t="s">
        <v>1225</v>
      </c>
      <c r="AK117" s="32" t="s">
        <v>1225</v>
      </c>
      <c r="AL117" s="32" t="s">
        <v>1225</v>
      </c>
      <c r="AM117" s="32" t="s">
        <v>1225</v>
      </c>
      <c r="AN117" s="32" t="s">
        <v>1225</v>
      </c>
      <c r="AO117" s="32" t="s">
        <v>1225</v>
      </c>
      <c r="AP117" s="32" t="s">
        <v>1225</v>
      </c>
      <c r="AQ117" s="32" t="s">
        <v>1225</v>
      </c>
      <c r="AR117" s="32" t="s">
        <v>1225</v>
      </c>
      <c r="AS117" s="32" t="s">
        <v>1225</v>
      </c>
      <c r="AT117" s="32" t="s">
        <v>1225</v>
      </c>
      <c r="AU117" s="32" t="s">
        <v>1225</v>
      </c>
      <c r="AV117" s="32" t="s">
        <v>1225</v>
      </c>
      <c r="AW117" s="34" t="s">
        <v>1356</v>
      </c>
      <c r="AX117" s="34">
        <v>2021</v>
      </c>
      <c r="AY117" s="32">
        <v>37</v>
      </c>
      <c r="AZ117" s="32">
        <v>3</v>
      </c>
      <c r="BA117" s="32" t="s">
        <v>1225</v>
      </c>
      <c r="BB117" s="32" t="s">
        <v>1225</v>
      </c>
      <c r="BC117" s="32" t="s">
        <v>1511</v>
      </c>
      <c r="BD117" s="32" t="s">
        <v>1225</v>
      </c>
      <c r="BE117" s="32">
        <v>1047</v>
      </c>
      <c r="BF117" s="32">
        <v>1055</v>
      </c>
      <c r="BG117" s="32" t="s">
        <v>1225</v>
      </c>
      <c r="BH117" s="34" t="s">
        <v>1968</v>
      </c>
      <c r="BI117" s="34" t="str">
        <f>HYPERLINK("http://dx.doi.org/10.1111/coin.12333","http://dx.doi.org/10.1111/coin.12333")</f>
        <v>http://dx.doi.org/10.1111/coin.12333</v>
      </c>
      <c r="BJ117" s="32" t="s">
        <v>1225</v>
      </c>
      <c r="BK117" s="32" t="s">
        <v>1969</v>
      </c>
      <c r="BL117" s="32" t="s">
        <v>1225</v>
      </c>
      <c r="BM117" s="32" t="s">
        <v>1225</v>
      </c>
      <c r="BN117" s="32" t="s">
        <v>1225</v>
      </c>
      <c r="BO117" s="32" t="s">
        <v>1225</v>
      </c>
      <c r="BP117" s="32" t="s">
        <v>1225</v>
      </c>
      <c r="BQ117" s="32" t="s">
        <v>1225</v>
      </c>
      <c r="BR117" s="32" t="s">
        <v>1225</v>
      </c>
      <c r="BS117" s="32" t="s">
        <v>1225</v>
      </c>
      <c r="BT117" s="32" t="s">
        <v>1225</v>
      </c>
      <c r="BU117" s="32" t="s">
        <v>1225</v>
      </c>
      <c r="BV117" s="32" t="s">
        <v>1225</v>
      </c>
      <c r="BW117" s="32" t="str">
        <f t="shared" si="2"/>
        <v>View Full Record in Web of Science</v>
      </c>
      <c r="BY117" s="41" t="str">
        <f>IF(Deletion!J117=TRUE,"Yes","No")</f>
        <v>No</v>
      </c>
    </row>
    <row r="118" spans="1:77" x14ac:dyDescent="0.15">
      <c r="A118" s="32">
        <f t="shared" si="3"/>
        <v>117</v>
      </c>
      <c r="D118" s="32" t="s">
        <v>1223</v>
      </c>
      <c r="E118" s="32" t="s">
        <v>1970</v>
      </c>
      <c r="F118" s="32" t="s">
        <v>1225</v>
      </c>
      <c r="G118" s="32" t="s">
        <v>1225</v>
      </c>
      <c r="H118" s="32" t="s">
        <v>1225</v>
      </c>
      <c r="I118" s="32" t="s">
        <v>1971</v>
      </c>
      <c r="J118" s="32" t="s">
        <v>1225</v>
      </c>
      <c r="K118" s="32" t="s">
        <v>1225</v>
      </c>
      <c r="L118" s="32" t="s">
        <v>1972</v>
      </c>
      <c r="M118" s="32" t="s">
        <v>422</v>
      </c>
      <c r="N118" s="32" t="s">
        <v>1225</v>
      </c>
      <c r="O118" s="32" t="s">
        <v>1225</v>
      </c>
      <c r="P118" s="32" t="s">
        <v>1225</v>
      </c>
      <c r="Q118" s="32" t="s">
        <v>1227</v>
      </c>
      <c r="R118" s="32" t="s">
        <v>1225</v>
      </c>
      <c r="S118" s="32" t="s">
        <v>1225</v>
      </c>
      <c r="T118" s="32" t="s">
        <v>1225</v>
      </c>
      <c r="U118" s="32" t="s">
        <v>1225</v>
      </c>
      <c r="V118" s="32" t="s">
        <v>1225</v>
      </c>
      <c r="W118" s="32" t="s">
        <v>1973</v>
      </c>
      <c r="X118" s="32" t="s">
        <v>1974</v>
      </c>
      <c r="Y118" s="32" t="s">
        <v>1975</v>
      </c>
      <c r="Z118" s="32" t="s">
        <v>1225</v>
      </c>
      <c r="AA118" s="32" t="s">
        <v>1225</v>
      </c>
      <c r="AB118" s="32" t="s">
        <v>1225</v>
      </c>
      <c r="AC118" s="32" t="s">
        <v>1225</v>
      </c>
      <c r="AD118" s="32" t="s">
        <v>1225</v>
      </c>
      <c r="AE118" s="32" t="s">
        <v>1225</v>
      </c>
      <c r="AF118" s="32" t="s">
        <v>1225</v>
      </c>
      <c r="AG118" s="32" t="s">
        <v>1225</v>
      </c>
      <c r="AH118" s="32" t="s">
        <v>1225</v>
      </c>
      <c r="AI118" s="32" t="s">
        <v>1225</v>
      </c>
      <c r="AJ118" s="32" t="s">
        <v>1225</v>
      </c>
      <c r="AK118" s="32" t="s">
        <v>1225</v>
      </c>
      <c r="AL118" s="32" t="s">
        <v>1225</v>
      </c>
      <c r="AM118" s="32" t="s">
        <v>1225</v>
      </c>
      <c r="AN118" s="32" t="s">
        <v>1225</v>
      </c>
      <c r="AO118" s="32" t="s">
        <v>1225</v>
      </c>
      <c r="AP118" s="32" t="s">
        <v>1225</v>
      </c>
      <c r="AQ118" s="32" t="s">
        <v>1225</v>
      </c>
      <c r="AR118" s="32" t="s">
        <v>1225</v>
      </c>
      <c r="AS118" s="32" t="s">
        <v>1225</v>
      </c>
      <c r="AT118" s="32" t="s">
        <v>1225</v>
      </c>
      <c r="AU118" s="32" t="s">
        <v>1225</v>
      </c>
      <c r="AV118" s="32" t="s">
        <v>1225</v>
      </c>
      <c r="AW118" s="32" t="s">
        <v>1298</v>
      </c>
      <c r="AX118" s="32">
        <v>2021</v>
      </c>
      <c r="AY118" s="32">
        <v>14</v>
      </c>
      <c r="AZ118" s="32">
        <v>17</v>
      </c>
      <c r="BA118" s="32" t="s">
        <v>1225</v>
      </c>
      <c r="BB118" s="32" t="s">
        <v>1225</v>
      </c>
      <c r="BC118" s="32" t="s">
        <v>1225</v>
      </c>
      <c r="BD118" s="32" t="s">
        <v>1225</v>
      </c>
      <c r="BE118" s="32" t="s">
        <v>1225</v>
      </c>
      <c r="BF118" s="32" t="s">
        <v>1225</v>
      </c>
      <c r="BG118" s="32">
        <v>5336</v>
      </c>
      <c r="BH118" s="32" t="s">
        <v>1976</v>
      </c>
      <c r="BI118" s="32" t="str">
        <f>HYPERLINK("http://dx.doi.org/10.3390/en14175336","http://dx.doi.org/10.3390/en14175336")</f>
        <v>http://dx.doi.org/10.3390/en14175336</v>
      </c>
      <c r="BJ118" s="32" t="s">
        <v>1225</v>
      </c>
      <c r="BK118" s="32" t="s">
        <v>1225</v>
      </c>
      <c r="BL118" s="32" t="s">
        <v>1225</v>
      </c>
      <c r="BM118" s="32" t="s">
        <v>1225</v>
      </c>
      <c r="BN118" s="32" t="s">
        <v>1225</v>
      </c>
      <c r="BO118" s="32" t="s">
        <v>1225</v>
      </c>
      <c r="BP118" s="32" t="s">
        <v>1225</v>
      </c>
      <c r="BQ118" s="32" t="s">
        <v>1225</v>
      </c>
      <c r="BR118" s="32" t="s">
        <v>1225</v>
      </c>
      <c r="BS118" s="32" t="s">
        <v>1225</v>
      </c>
      <c r="BT118" s="32" t="s">
        <v>1225</v>
      </c>
      <c r="BU118" s="32" t="s">
        <v>1225</v>
      </c>
      <c r="BV118" s="32" t="s">
        <v>1225</v>
      </c>
      <c r="BW118" s="32" t="str">
        <f t="shared" si="2"/>
        <v>View Full Record in Web of Science</v>
      </c>
      <c r="BY118" s="41" t="str">
        <f>IF(Deletion!J118=TRUE,"Yes","No")</f>
        <v>Yes</v>
      </c>
    </row>
    <row r="119" spans="1:77" x14ac:dyDescent="0.15">
      <c r="A119" s="32">
        <f t="shared" si="3"/>
        <v>118</v>
      </c>
      <c r="D119" s="32" t="s">
        <v>1223</v>
      </c>
      <c r="E119" s="32" t="s">
        <v>1977</v>
      </c>
      <c r="F119" s="32" t="s">
        <v>1225</v>
      </c>
      <c r="G119" s="32" t="s">
        <v>1225</v>
      </c>
      <c r="H119" s="32" t="s">
        <v>1225</v>
      </c>
      <c r="I119" s="32" t="s">
        <v>1978</v>
      </c>
      <c r="J119" s="32" t="s">
        <v>1225</v>
      </c>
      <c r="K119" s="32" t="s">
        <v>1225</v>
      </c>
      <c r="L119" s="32" t="s">
        <v>1979</v>
      </c>
      <c r="M119" s="32" t="s">
        <v>1794</v>
      </c>
      <c r="N119" s="32" t="s">
        <v>1225</v>
      </c>
      <c r="O119" s="32" t="s">
        <v>1225</v>
      </c>
      <c r="P119" s="32" t="s">
        <v>1225</v>
      </c>
      <c r="Q119" s="32" t="s">
        <v>1227</v>
      </c>
      <c r="R119" s="32" t="s">
        <v>1225</v>
      </c>
      <c r="S119" s="32" t="s">
        <v>1225</v>
      </c>
      <c r="T119" s="32" t="s">
        <v>1225</v>
      </c>
      <c r="U119" s="32" t="s">
        <v>1225</v>
      </c>
      <c r="V119" s="32" t="s">
        <v>1225</v>
      </c>
      <c r="W119" s="32" t="s">
        <v>1980</v>
      </c>
      <c r="X119" s="32" t="s">
        <v>1225</v>
      </c>
      <c r="Y119" s="32" t="s">
        <v>1981</v>
      </c>
      <c r="Z119" s="32" t="s">
        <v>1225</v>
      </c>
      <c r="AA119" s="32" t="s">
        <v>1225</v>
      </c>
      <c r="AB119" s="32" t="s">
        <v>1225</v>
      </c>
      <c r="AC119" s="32" t="s">
        <v>1225</v>
      </c>
      <c r="AD119" s="32" t="s">
        <v>1225</v>
      </c>
      <c r="AE119" s="32" t="s">
        <v>1225</v>
      </c>
      <c r="AF119" s="32" t="s">
        <v>1225</v>
      </c>
      <c r="AG119" s="32" t="s">
        <v>1225</v>
      </c>
      <c r="AH119" s="32" t="s">
        <v>1225</v>
      </c>
      <c r="AI119" s="32" t="s">
        <v>1225</v>
      </c>
      <c r="AJ119" s="32" t="s">
        <v>1225</v>
      </c>
      <c r="AK119" s="32" t="s">
        <v>1225</v>
      </c>
      <c r="AL119" s="32" t="s">
        <v>1225</v>
      </c>
      <c r="AM119" s="32" t="s">
        <v>1225</v>
      </c>
      <c r="AN119" s="32" t="s">
        <v>1225</v>
      </c>
      <c r="AO119" s="32" t="s">
        <v>1225</v>
      </c>
      <c r="AP119" s="32" t="s">
        <v>1225</v>
      </c>
      <c r="AQ119" s="32" t="s">
        <v>1225</v>
      </c>
      <c r="AR119" s="32" t="s">
        <v>1225</v>
      </c>
      <c r="AS119" s="32" t="s">
        <v>1225</v>
      </c>
      <c r="AT119" s="32" t="s">
        <v>1225</v>
      </c>
      <c r="AU119" s="32" t="s">
        <v>1225</v>
      </c>
      <c r="AV119" s="32" t="s">
        <v>1225</v>
      </c>
      <c r="AW119" s="32" t="s">
        <v>1256</v>
      </c>
      <c r="AX119" s="32">
        <v>2020</v>
      </c>
      <c r="AY119" s="32">
        <v>6</v>
      </c>
      <c r="AZ119" s="32" t="s">
        <v>1225</v>
      </c>
      <c r="BA119" s="32" t="s">
        <v>1225</v>
      </c>
      <c r="BB119" s="32">
        <v>9</v>
      </c>
      <c r="BC119" s="32" t="s">
        <v>1225</v>
      </c>
      <c r="BD119" s="32" t="s">
        <v>1225</v>
      </c>
      <c r="BE119" s="32">
        <v>1199</v>
      </c>
      <c r="BF119" s="32">
        <v>1205</v>
      </c>
      <c r="BG119" s="32" t="s">
        <v>1225</v>
      </c>
      <c r="BH119" s="32" t="s">
        <v>1982</v>
      </c>
      <c r="BI119" s="32" t="str">
        <f>HYPERLINK("http://dx.doi.org/10.1016/j.egyr.2020.11.054","http://dx.doi.org/10.1016/j.egyr.2020.11.054")</f>
        <v>http://dx.doi.org/10.1016/j.egyr.2020.11.054</v>
      </c>
      <c r="BJ119" s="32" t="s">
        <v>1225</v>
      </c>
      <c r="BK119" s="32" t="s">
        <v>1225</v>
      </c>
      <c r="BL119" s="32" t="s">
        <v>1225</v>
      </c>
      <c r="BM119" s="32" t="s">
        <v>1225</v>
      </c>
      <c r="BN119" s="32" t="s">
        <v>1225</v>
      </c>
      <c r="BO119" s="32" t="s">
        <v>1225</v>
      </c>
      <c r="BP119" s="32" t="s">
        <v>1225</v>
      </c>
      <c r="BQ119" s="32" t="s">
        <v>1225</v>
      </c>
      <c r="BR119" s="32" t="s">
        <v>1225</v>
      </c>
      <c r="BS119" s="32" t="s">
        <v>1225</v>
      </c>
      <c r="BT119" s="32" t="s">
        <v>1225</v>
      </c>
      <c r="BU119" s="32" t="s">
        <v>1225</v>
      </c>
      <c r="BV119" s="32" t="s">
        <v>1225</v>
      </c>
      <c r="BW119" s="32" t="str">
        <f t="shared" si="2"/>
        <v>View Full Record in Web of Science</v>
      </c>
      <c r="BY119" s="41" t="str">
        <f>IF(Deletion!J119=TRUE,"Yes","No")</f>
        <v>Yes</v>
      </c>
    </row>
    <row r="120" spans="1:77" x14ac:dyDescent="0.15">
      <c r="A120" s="32">
        <f t="shared" si="3"/>
        <v>119</v>
      </c>
      <c r="D120" s="32" t="s">
        <v>1223</v>
      </c>
      <c r="E120" s="32" t="s">
        <v>1983</v>
      </c>
      <c r="F120" s="32" t="s">
        <v>1225</v>
      </c>
      <c r="G120" s="32" t="s">
        <v>1225</v>
      </c>
      <c r="H120" s="32" t="s">
        <v>1225</v>
      </c>
      <c r="I120" s="32" t="s">
        <v>1984</v>
      </c>
      <c r="J120" s="32" t="s">
        <v>1225</v>
      </c>
      <c r="K120" s="32" t="s">
        <v>1225</v>
      </c>
      <c r="L120" s="32" t="s">
        <v>1985</v>
      </c>
      <c r="M120" s="32" t="s">
        <v>1986</v>
      </c>
      <c r="N120" s="32" t="s">
        <v>1225</v>
      </c>
      <c r="O120" s="32" t="s">
        <v>1225</v>
      </c>
      <c r="P120" s="32" t="s">
        <v>1225</v>
      </c>
      <c r="Q120" s="32" t="s">
        <v>1227</v>
      </c>
      <c r="R120" s="32" t="s">
        <v>1225</v>
      </c>
      <c r="S120" s="32" t="s">
        <v>1225</v>
      </c>
      <c r="T120" s="32" t="s">
        <v>1225</v>
      </c>
      <c r="U120" s="32" t="s">
        <v>1225</v>
      </c>
      <c r="V120" s="32" t="s">
        <v>1225</v>
      </c>
      <c r="W120" s="32" t="s">
        <v>1987</v>
      </c>
      <c r="X120" s="32" t="s">
        <v>1225</v>
      </c>
      <c r="Y120" s="32" t="s">
        <v>1988</v>
      </c>
      <c r="Z120" s="32" t="s">
        <v>1225</v>
      </c>
      <c r="AA120" s="32" t="s">
        <v>1225</v>
      </c>
      <c r="AB120" s="32" t="s">
        <v>1225</v>
      </c>
      <c r="AC120" s="32" t="s">
        <v>1225</v>
      </c>
      <c r="AD120" s="32" t="s">
        <v>1225</v>
      </c>
      <c r="AE120" s="32" t="s">
        <v>1225</v>
      </c>
      <c r="AF120" s="32" t="s">
        <v>1225</v>
      </c>
      <c r="AG120" s="32" t="s">
        <v>1225</v>
      </c>
      <c r="AH120" s="32" t="s">
        <v>1225</v>
      </c>
      <c r="AI120" s="32" t="s">
        <v>1225</v>
      </c>
      <c r="AJ120" s="32" t="s">
        <v>1225</v>
      </c>
      <c r="AK120" s="32" t="s">
        <v>1225</v>
      </c>
      <c r="AL120" s="32" t="s">
        <v>1225</v>
      </c>
      <c r="AM120" s="32" t="s">
        <v>1225</v>
      </c>
      <c r="AN120" s="32" t="s">
        <v>1225</v>
      </c>
      <c r="AO120" s="32" t="s">
        <v>1225</v>
      </c>
      <c r="AP120" s="32" t="s">
        <v>1225</v>
      </c>
      <c r="AQ120" s="32" t="s">
        <v>1225</v>
      </c>
      <c r="AR120" s="32" t="s">
        <v>1225</v>
      </c>
      <c r="AS120" s="32" t="s">
        <v>1225</v>
      </c>
      <c r="AT120" s="32" t="s">
        <v>1225</v>
      </c>
      <c r="AU120" s="32" t="s">
        <v>1225</v>
      </c>
      <c r="AV120" s="32" t="s">
        <v>1225</v>
      </c>
      <c r="AW120" s="32" t="s">
        <v>1285</v>
      </c>
      <c r="AX120" s="32">
        <v>2021</v>
      </c>
      <c r="AY120" s="32">
        <v>96</v>
      </c>
      <c r="AZ120" s="32">
        <v>3</v>
      </c>
      <c r="BA120" s="32" t="s">
        <v>1225</v>
      </c>
      <c r="BB120" s="32" t="s">
        <v>1225</v>
      </c>
      <c r="BC120" s="32" t="s">
        <v>1225</v>
      </c>
      <c r="BD120" s="32" t="s">
        <v>1225</v>
      </c>
      <c r="BE120" s="32">
        <v>264</v>
      </c>
      <c r="BF120" s="32">
        <v>269</v>
      </c>
      <c r="BG120" s="32" t="s">
        <v>1225</v>
      </c>
      <c r="BH120" s="32" t="s">
        <v>1989</v>
      </c>
      <c r="BI120" s="32" t="str">
        <f>HYPERLINK("http://dx.doi.org/10.6036/10013","http://dx.doi.org/10.6036/10013")</f>
        <v>http://dx.doi.org/10.6036/10013</v>
      </c>
      <c r="BJ120" s="32" t="s">
        <v>1225</v>
      </c>
      <c r="BK120" s="32" t="s">
        <v>1225</v>
      </c>
      <c r="BL120" s="32" t="s">
        <v>1225</v>
      </c>
      <c r="BM120" s="32" t="s">
        <v>1225</v>
      </c>
      <c r="BN120" s="32" t="s">
        <v>1225</v>
      </c>
      <c r="BO120" s="32" t="s">
        <v>1225</v>
      </c>
      <c r="BP120" s="32" t="s">
        <v>1225</v>
      </c>
      <c r="BQ120" s="32" t="s">
        <v>1225</v>
      </c>
      <c r="BR120" s="32" t="s">
        <v>1225</v>
      </c>
      <c r="BS120" s="32" t="s">
        <v>1225</v>
      </c>
      <c r="BT120" s="32" t="s">
        <v>1225</v>
      </c>
      <c r="BU120" s="32" t="s">
        <v>1225</v>
      </c>
      <c r="BV120" s="32" t="s">
        <v>1225</v>
      </c>
      <c r="BW120" s="32" t="str">
        <f t="shared" si="2"/>
        <v>View Full Record in Web of Science</v>
      </c>
      <c r="BY120" s="41" t="str">
        <f>IF(Deletion!J120=TRUE,"Yes","No")</f>
        <v>Yes</v>
      </c>
    </row>
    <row r="121" spans="1:77" x14ac:dyDescent="0.15">
      <c r="A121" s="32">
        <f t="shared" si="3"/>
        <v>120</v>
      </c>
      <c r="D121" s="32" t="s">
        <v>1223</v>
      </c>
      <c r="E121" s="32" t="s">
        <v>1990</v>
      </c>
      <c r="F121" s="32" t="s">
        <v>1225</v>
      </c>
      <c r="G121" s="32" t="s">
        <v>1225</v>
      </c>
      <c r="H121" s="32" t="s">
        <v>1225</v>
      </c>
      <c r="I121" s="32" t="s">
        <v>1991</v>
      </c>
      <c r="J121" s="32" t="s">
        <v>1225</v>
      </c>
      <c r="K121" s="32" t="s">
        <v>1225</v>
      </c>
      <c r="L121" s="32" t="s">
        <v>1992</v>
      </c>
      <c r="M121" s="32" t="s">
        <v>422</v>
      </c>
      <c r="N121" s="32" t="s">
        <v>1225</v>
      </c>
      <c r="O121" s="32" t="s">
        <v>1225</v>
      </c>
      <c r="P121" s="32" t="s">
        <v>1225</v>
      </c>
      <c r="Q121" s="32" t="s">
        <v>1227</v>
      </c>
      <c r="R121" s="32" t="s">
        <v>1225</v>
      </c>
      <c r="S121" s="32" t="s">
        <v>1225</v>
      </c>
      <c r="T121" s="32" t="s">
        <v>1225</v>
      </c>
      <c r="U121" s="32" t="s">
        <v>1225</v>
      </c>
      <c r="V121" s="32" t="s">
        <v>1225</v>
      </c>
      <c r="W121" s="32" t="s">
        <v>1993</v>
      </c>
      <c r="X121" s="32" t="s">
        <v>1994</v>
      </c>
      <c r="Y121" s="32" t="s">
        <v>1995</v>
      </c>
      <c r="Z121" s="32" t="s">
        <v>1225</v>
      </c>
      <c r="AA121" s="32" t="s">
        <v>1225</v>
      </c>
      <c r="AB121" s="32" t="s">
        <v>1225</v>
      </c>
      <c r="AC121" s="32" t="s">
        <v>1225</v>
      </c>
      <c r="AD121" s="32" t="s">
        <v>1225</v>
      </c>
      <c r="AE121" s="32" t="s">
        <v>1225</v>
      </c>
      <c r="AF121" s="32" t="s">
        <v>1225</v>
      </c>
      <c r="AG121" s="32" t="s">
        <v>1225</v>
      </c>
      <c r="AH121" s="32" t="s">
        <v>1225</v>
      </c>
      <c r="AI121" s="32" t="s">
        <v>1225</v>
      </c>
      <c r="AJ121" s="32" t="s">
        <v>1225</v>
      </c>
      <c r="AK121" s="32" t="s">
        <v>1225</v>
      </c>
      <c r="AL121" s="32" t="s">
        <v>1225</v>
      </c>
      <c r="AM121" s="32" t="s">
        <v>1225</v>
      </c>
      <c r="AN121" s="32" t="s">
        <v>1225</v>
      </c>
      <c r="AO121" s="32" t="s">
        <v>1225</v>
      </c>
      <c r="AP121" s="32" t="s">
        <v>1225</v>
      </c>
      <c r="AQ121" s="32" t="s">
        <v>1225</v>
      </c>
      <c r="AR121" s="32" t="s">
        <v>1225</v>
      </c>
      <c r="AS121" s="32" t="s">
        <v>1225</v>
      </c>
      <c r="AT121" s="32" t="s">
        <v>1225</v>
      </c>
      <c r="AU121" s="32" t="s">
        <v>1225</v>
      </c>
      <c r="AV121" s="32" t="s">
        <v>1225</v>
      </c>
      <c r="AW121" s="32" t="s">
        <v>1276</v>
      </c>
      <c r="AX121" s="32">
        <v>2017</v>
      </c>
      <c r="AY121" s="32">
        <v>10</v>
      </c>
      <c r="AZ121" s="32">
        <v>10</v>
      </c>
      <c r="BA121" s="32" t="s">
        <v>1225</v>
      </c>
      <c r="BB121" s="32" t="s">
        <v>1225</v>
      </c>
      <c r="BC121" s="32" t="s">
        <v>1225</v>
      </c>
      <c r="BD121" s="32" t="s">
        <v>1225</v>
      </c>
      <c r="BE121" s="32" t="s">
        <v>1225</v>
      </c>
      <c r="BF121" s="32" t="s">
        <v>1225</v>
      </c>
      <c r="BG121" s="32">
        <v>1487</v>
      </c>
      <c r="BH121" s="32" t="s">
        <v>1996</v>
      </c>
      <c r="BI121" s="32" t="str">
        <f>HYPERLINK("http://dx.doi.org/10.3390/en10101487","http://dx.doi.org/10.3390/en10101487")</f>
        <v>http://dx.doi.org/10.3390/en10101487</v>
      </c>
      <c r="BJ121" s="32" t="s">
        <v>1225</v>
      </c>
      <c r="BK121" s="32" t="s">
        <v>1225</v>
      </c>
      <c r="BL121" s="32" t="s">
        <v>1225</v>
      </c>
      <c r="BM121" s="32" t="s">
        <v>1225</v>
      </c>
      <c r="BN121" s="32" t="s">
        <v>1225</v>
      </c>
      <c r="BO121" s="32" t="s">
        <v>1225</v>
      </c>
      <c r="BP121" s="32" t="s">
        <v>1225</v>
      </c>
      <c r="BQ121" s="32" t="s">
        <v>1225</v>
      </c>
      <c r="BR121" s="32" t="s">
        <v>1225</v>
      </c>
      <c r="BS121" s="32" t="s">
        <v>1225</v>
      </c>
      <c r="BT121" s="32" t="s">
        <v>1225</v>
      </c>
      <c r="BU121" s="32" t="s">
        <v>1225</v>
      </c>
      <c r="BV121" s="32" t="s">
        <v>1225</v>
      </c>
      <c r="BW121" s="32" t="str">
        <f t="shared" si="2"/>
        <v>View Full Record in Web of Science</v>
      </c>
      <c r="BY121" s="41" t="str">
        <f>IF(Deletion!J121=TRUE,"Yes","No")</f>
        <v>Yes</v>
      </c>
    </row>
    <row r="122" spans="1:77" x14ac:dyDescent="0.15">
      <c r="A122" s="32">
        <f t="shared" si="3"/>
        <v>121</v>
      </c>
      <c r="D122" s="32" t="s">
        <v>1223</v>
      </c>
      <c r="E122" s="32" t="s">
        <v>1997</v>
      </c>
      <c r="F122" s="32" t="s">
        <v>1225</v>
      </c>
      <c r="G122" s="32" t="s">
        <v>1225</v>
      </c>
      <c r="H122" s="32" t="s">
        <v>1225</v>
      </c>
      <c r="I122" s="32" t="s">
        <v>1998</v>
      </c>
      <c r="J122" s="32" t="s">
        <v>1225</v>
      </c>
      <c r="K122" s="32" t="s">
        <v>1225</v>
      </c>
      <c r="L122" s="32" t="s">
        <v>1999</v>
      </c>
      <c r="M122" s="32" t="s">
        <v>124</v>
      </c>
      <c r="N122" s="32" t="s">
        <v>1225</v>
      </c>
      <c r="O122" s="32" t="s">
        <v>1225</v>
      </c>
      <c r="P122" s="32" t="s">
        <v>1225</v>
      </c>
      <c r="Q122" s="32" t="s">
        <v>1227</v>
      </c>
      <c r="R122" s="32" t="s">
        <v>1225</v>
      </c>
      <c r="S122" s="32" t="s">
        <v>1225</v>
      </c>
      <c r="T122" s="32" t="s">
        <v>1225</v>
      </c>
      <c r="U122" s="32" t="s">
        <v>1225</v>
      </c>
      <c r="V122" s="32" t="s">
        <v>1225</v>
      </c>
      <c r="W122" s="32" t="s">
        <v>2000</v>
      </c>
      <c r="X122" s="32" t="s">
        <v>2001</v>
      </c>
      <c r="Y122" s="32" t="s">
        <v>2002</v>
      </c>
      <c r="Z122" s="32" t="s">
        <v>1225</v>
      </c>
      <c r="AA122" s="32" t="s">
        <v>1225</v>
      </c>
      <c r="AB122" s="32" t="s">
        <v>1225</v>
      </c>
      <c r="AC122" s="32" t="s">
        <v>1225</v>
      </c>
      <c r="AD122" s="32" t="s">
        <v>1225</v>
      </c>
      <c r="AE122" s="32" t="s">
        <v>1225</v>
      </c>
      <c r="AF122" s="32" t="s">
        <v>1225</v>
      </c>
      <c r="AG122" s="32" t="s">
        <v>1225</v>
      </c>
      <c r="AH122" s="32" t="s">
        <v>1225</v>
      </c>
      <c r="AI122" s="32" t="s">
        <v>1225</v>
      </c>
      <c r="AJ122" s="32" t="s">
        <v>1225</v>
      </c>
      <c r="AK122" s="32" t="s">
        <v>1225</v>
      </c>
      <c r="AL122" s="32" t="s">
        <v>1225</v>
      </c>
      <c r="AM122" s="32" t="s">
        <v>1225</v>
      </c>
      <c r="AN122" s="32" t="s">
        <v>1225</v>
      </c>
      <c r="AO122" s="32" t="s">
        <v>1225</v>
      </c>
      <c r="AP122" s="32" t="s">
        <v>1225</v>
      </c>
      <c r="AQ122" s="32" t="s">
        <v>1225</v>
      </c>
      <c r="AR122" s="32" t="s">
        <v>1225</v>
      </c>
      <c r="AS122" s="32" t="s">
        <v>1225</v>
      </c>
      <c r="AT122" s="32" t="s">
        <v>1225</v>
      </c>
      <c r="AU122" s="32" t="s">
        <v>1225</v>
      </c>
      <c r="AV122" s="32" t="s">
        <v>1225</v>
      </c>
      <c r="AW122" s="32" t="s">
        <v>1298</v>
      </c>
      <c r="AX122" s="32">
        <v>2017</v>
      </c>
      <c r="AY122" s="32">
        <v>8</v>
      </c>
      <c r="AZ122" s="32">
        <v>5</v>
      </c>
      <c r="BA122" s="32" t="s">
        <v>1225</v>
      </c>
      <c r="BB122" s="32" t="s">
        <v>1225</v>
      </c>
      <c r="BC122" s="32" t="s">
        <v>1225</v>
      </c>
      <c r="BD122" s="32" t="s">
        <v>1225</v>
      </c>
      <c r="BE122" s="32">
        <v>2119</v>
      </c>
      <c r="BF122" s="32">
        <v>2128</v>
      </c>
      <c r="BG122" s="32" t="s">
        <v>1225</v>
      </c>
      <c r="BH122" s="32" t="s">
        <v>2003</v>
      </c>
      <c r="BI122" s="32" t="str">
        <f>HYPERLINK("http://dx.doi.org/10.1109/TSG.2016.2517026","http://dx.doi.org/10.1109/TSG.2016.2517026")</f>
        <v>http://dx.doi.org/10.1109/TSG.2016.2517026</v>
      </c>
      <c r="BJ122" s="32" t="s">
        <v>1225</v>
      </c>
      <c r="BK122" s="32" t="s">
        <v>1225</v>
      </c>
      <c r="BL122" s="32" t="s">
        <v>1225</v>
      </c>
      <c r="BM122" s="32" t="s">
        <v>1225</v>
      </c>
      <c r="BN122" s="32" t="s">
        <v>1225</v>
      </c>
      <c r="BO122" s="32" t="s">
        <v>1225</v>
      </c>
      <c r="BP122" s="32" t="s">
        <v>1225</v>
      </c>
      <c r="BQ122" s="32" t="s">
        <v>1225</v>
      </c>
      <c r="BR122" s="32" t="s">
        <v>1225</v>
      </c>
      <c r="BS122" s="32" t="s">
        <v>1225</v>
      </c>
      <c r="BT122" s="32" t="s">
        <v>1225</v>
      </c>
      <c r="BU122" s="32" t="s">
        <v>1225</v>
      </c>
      <c r="BV122" s="32" t="s">
        <v>1225</v>
      </c>
      <c r="BW122" s="32" t="str">
        <f t="shared" si="2"/>
        <v>View Full Record in Web of Science</v>
      </c>
      <c r="BY122" s="41" t="str">
        <f>IF(Deletion!J122=TRUE,"Yes","No")</f>
        <v>Yes</v>
      </c>
    </row>
    <row r="123" spans="1:77" x14ac:dyDescent="0.15">
      <c r="A123" s="32">
        <f t="shared" si="3"/>
        <v>122</v>
      </c>
      <c r="D123" s="32" t="s">
        <v>1223</v>
      </c>
      <c r="E123" s="32" t="s">
        <v>2004</v>
      </c>
      <c r="F123" s="32" t="s">
        <v>1225</v>
      </c>
      <c r="G123" s="32" t="s">
        <v>1225</v>
      </c>
      <c r="H123" s="32" t="s">
        <v>1225</v>
      </c>
      <c r="I123" s="32" t="s">
        <v>2005</v>
      </c>
      <c r="J123" s="32" t="s">
        <v>1225</v>
      </c>
      <c r="K123" s="32" t="s">
        <v>1225</v>
      </c>
      <c r="L123" s="32" t="s">
        <v>2006</v>
      </c>
      <c r="M123" s="32" t="s">
        <v>1734</v>
      </c>
      <c r="N123" s="32" t="s">
        <v>1225</v>
      </c>
      <c r="O123" s="32" t="s">
        <v>1225</v>
      </c>
      <c r="P123" s="32" t="s">
        <v>1225</v>
      </c>
      <c r="Q123" s="32" t="s">
        <v>1688</v>
      </c>
      <c r="R123" s="32" t="s">
        <v>1225</v>
      </c>
      <c r="S123" s="32" t="s">
        <v>1225</v>
      </c>
      <c r="T123" s="32" t="s">
        <v>1225</v>
      </c>
      <c r="U123" s="32" t="s">
        <v>1225</v>
      </c>
      <c r="V123" s="32" t="s">
        <v>1225</v>
      </c>
      <c r="W123" s="32" t="s">
        <v>2007</v>
      </c>
      <c r="X123" s="32" t="s">
        <v>2008</v>
      </c>
      <c r="Y123" s="32" t="s">
        <v>2009</v>
      </c>
      <c r="Z123" s="32" t="s">
        <v>1225</v>
      </c>
      <c r="AA123" s="32" t="s">
        <v>1225</v>
      </c>
      <c r="AB123" s="32" t="s">
        <v>1225</v>
      </c>
      <c r="AC123" s="32" t="s">
        <v>1225</v>
      </c>
      <c r="AD123" s="32" t="s">
        <v>1225</v>
      </c>
      <c r="AE123" s="32" t="s">
        <v>1225</v>
      </c>
      <c r="AF123" s="32" t="s">
        <v>1225</v>
      </c>
      <c r="AG123" s="32" t="s">
        <v>1225</v>
      </c>
      <c r="AH123" s="32" t="s">
        <v>1225</v>
      </c>
      <c r="AI123" s="32" t="s">
        <v>1225</v>
      </c>
      <c r="AJ123" s="32" t="s">
        <v>1225</v>
      </c>
      <c r="AK123" s="32" t="s">
        <v>1225</v>
      </c>
      <c r="AL123" s="32" t="s">
        <v>1225</v>
      </c>
      <c r="AM123" s="32" t="s">
        <v>1225</v>
      </c>
      <c r="AN123" s="32" t="s">
        <v>1225</v>
      </c>
      <c r="AO123" s="32" t="s">
        <v>1225</v>
      </c>
      <c r="AP123" s="32" t="s">
        <v>1225</v>
      </c>
      <c r="AQ123" s="32" t="s">
        <v>1225</v>
      </c>
      <c r="AR123" s="32" t="s">
        <v>1225</v>
      </c>
      <c r="AS123" s="32" t="s">
        <v>1225</v>
      </c>
      <c r="AT123" s="32" t="s">
        <v>1225</v>
      </c>
      <c r="AU123" s="32" t="s">
        <v>1225</v>
      </c>
      <c r="AV123" s="32" t="s">
        <v>1225</v>
      </c>
      <c r="AW123" s="32" t="s">
        <v>1225</v>
      </c>
      <c r="AX123" s="32" t="s">
        <v>1225</v>
      </c>
      <c r="AY123" s="32" t="s">
        <v>1225</v>
      </c>
      <c r="AZ123" s="32" t="s">
        <v>1225</v>
      </c>
      <c r="BA123" s="32" t="s">
        <v>1225</v>
      </c>
      <c r="BB123" s="32" t="s">
        <v>1225</v>
      </c>
      <c r="BC123" s="32" t="s">
        <v>1225</v>
      </c>
      <c r="BD123" s="32" t="s">
        <v>1225</v>
      </c>
      <c r="BE123" s="32" t="s">
        <v>1225</v>
      </c>
      <c r="BF123" s="32" t="s">
        <v>1225</v>
      </c>
      <c r="BG123" s="32" t="s">
        <v>1225</v>
      </c>
      <c r="BH123" s="32" t="s">
        <v>2010</v>
      </c>
      <c r="BI123" s="32" t="str">
        <f>HYPERLINK("http://dx.doi.org/10.1007/s00202-022-01511-w","http://dx.doi.org/10.1007/s00202-022-01511-w")</f>
        <v>http://dx.doi.org/10.1007/s00202-022-01511-w</v>
      </c>
      <c r="BJ123" s="32" t="s">
        <v>1225</v>
      </c>
      <c r="BK123" s="32" t="s">
        <v>2011</v>
      </c>
      <c r="BL123" s="32" t="s">
        <v>1225</v>
      </c>
      <c r="BM123" s="32" t="s">
        <v>1225</v>
      </c>
      <c r="BN123" s="32" t="s">
        <v>1225</v>
      </c>
      <c r="BO123" s="32" t="s">
        <v>1225</v>
      </c>
      <c r="BP123" s="32" t="s">
        <v>1225</v>
      </c>
      <c r="BQ123" s="32" t="s">
        <v>1225</v>
      </c>
      <c r="BR123" s="32" t="s">
        <v>1225</v>
      </c>
      <c r="BS123" s="32" t="s">
        <v>1225</v>
      </c>
      <c r="BT123" s="32" t="s">
        <v>1225</v>
      </c>
      <c r="BU123" s="32" t="s">
        <v>1225</v>
      </c>
      <c r="BV123" s="32" t="s">
        <v>1225</v>
      </c>
      <c r="BW123" s="32" t="str">
        <f t="shared" si="2"/>
        <v>View Full Record in Web of Science</v>
      </c>
      <c r="BY123" s="41" t="str">
        <f>IF(Deletion!J123=TRUE,"Yes","No")</f>
        <v>Yes</v>
      </c>
    </row>
    <row r="124" spans="1:77" x14ac:dyDescent="0.15">
      <c r="A124" s="32">
        <f t="shared" si="3"/>
        <v>123</v>
      </c>
      <c r="D124" s="32" t="s">
        <v>1223</v>
      </c>
      <c r="E124" s="32" t="s">
        <v>2012</v>
      </c>
      <c r="F124" s="32" t="s">
        <v>1225</v>
      </c>
      <c r="G124" s="32" t="s">
        <v>1225</v>
      </c>
      <c r="H124" s="32" t="s">
        <v>1225</v>
      </c>
      <c r="I124" s="32" t="s">
        <v>2013</v>
      </c>
      <c r="J124" s="32" t="s">
        <v>1225</v>
      </c>
      <c r="K124" s="32" t="s">
        <v>1225</v>
      </c>
      <c r="L124" s="32" t="s">
        <v>2014</v>
      </c>
      <c r="M124" s="32" t="s">
        <v>114</v>
      </c>
      <c r="N124" s="32" t="s">
        <v>1225</v>
      </c>
      <c r="O124" s="32" t="s">
        <v>1225</v>
      </c>
      <c r="P124" s="32" t="s">
        <v>1225</v>
      </c>
      <c r="Q124" s="32" t="s">
        <v>1227</v>
      </c>
      <c r="R124" s="32" t="s">
        <v>1225</v>
      </c>
      <c r="S124" s="32" t="s">
        <v>1225</v>
      </c>
      <c r="T124" s="32" t="s">
        <v>1225</v>
      </c>
      <c r="U124" s="32" t="s">
        <v>1225</v>
      </c>
      <c r="V124" s="32" t="s">
        <v>1225</v>
      </c>
      <c r="W124" s="32" t="s">
        <v>2015</v>
      </c>
      <c r="X124" s="32" t="s">
        <v>2016</v>
      </c>
      <c r="Y124" s="32" t="s">
        <v>2017</v>
      </c>
      <c r="Z124" s="32" t="s">
        <v>1225</v>
      </c>
      <c r="AA124" s="32" t="s">
        <v>1225</v>
      </c>
      <c r="AB124" s="32" t="s">
        <v>1225</v>
      </c>
      <c r="AC124" s="32" t="s">
        <v>1225</v>
      </c>
      <c r="AD124" s="32" t="s">
        <v>1225</v>
      </c>
      <c r="AE124" s="32" t="s">
        <v>1225</v>
      </c>
      <c r="AF124" s="32" t="s">
        <v>1225</v>
      </c>
      <c r="AG124" s="32" t="s">
        <v>1225</v>
      </c>
      <c r="AH124" s="32" t="s">
        <v>1225</v>
      </c>
      <c r="AI124" s="32" t="s">
        <v>1225</v>
      </c>
      <c r="AJ124" s="32" t="s">
        <v>1225</v>
      </c>
      <c r="AK124" s="32" t="s">
        <v>1225</v>
      </c>
      <c r="AL124" s="32" t="s">
        <v>1225</v>
      </c>
      <c r="AM124" s="32" t="s">
        <v>1225</v>
      </c>
      <c r="AN124" s="32" t="s">
        <v>1225</v>
      </c>
      <c r="AO124" s="32" t="s">
        <v>1225</v>
      </c>
      <c r="AP124" s="32" t="s">
        <v>1225</v>
      </c>
      <c r="AQ124" s="32" t="s">
        <v>1225</v>
      </c>
      <c r="AR124" s="32" t="s">
        <v>1225</v>
      </c>
      <c r="AS124" s="32" t="s">
        <v>1225</v>
      </c>
      <c r="AT124" s="32" t="s">
        <v>1225</v>
      </c>
      <c r="AU124" s="32" t="s">
        <v>1225</v>
      </c>
      <c r="AV124" s="32" t="s">
        <v>1225</v>
      </c>
      <c r="AW124" s="32" t="s">
        <v>1356</v>
      </c>
      <c r="AX124" s="32">
        <v>2020</v>
      </c>
      <c r="AY124" s="32">
        <v>21</v>
      </c>
      <c r="AZ124" s="32">
        <v>8</v>
      </c>
      <c r="BA124" s="32" t="s">
        <v>1225</v>
      </c>
      <c r="BB124" s="32" t="s">
        <v>1225</v>
      </c>
      <c r="BC124" s="32" t="s">
        <v>1225</v>
      </c>
      <c r="BD124" s="32" t="s">
        <v>1225</v>
      </c>
      <c r="BE124" s="32">
        <v>3332</v>
      </c>
      <c r="BF124" s="32">
        <v>3343</v>
      </c>
      <c r="BG124" s="32" t="s">
        <v>1225</v>
      </c>
      <c r="BH124" s="32" t="s">
        <v>2018</v>
      </c>
      <c r="BI124" s="32" t="str">
        <f>HYPERLINK("http://dx.doi.org/10.1109/TITS.2019.2926336","http://dx.doi.org/10.1109/TITS.2019.2926336")</f>
        <v>http://dx.doi.org/10.1109/TITS.2019.2926336</v>
      </c>
      <c r="BJ124" s="32" t="s">
        <v>1225</v>
      </c>
      <c r="BK124" s="32" t="s">
        <v>1225</v>
      </c>
      <c r="BL124" s="32" t="s">
        <v>1225</v>
      </c>
      <c r="BM124" s="32" t="s">
        <v>1225</v>
      </c>
      <c r="BN124" s="32" t="s">
        <v>1225</v>
      </c>
      <c r="BO124" s="32" t="s">
        <v>1225</v>
      </c>
      <c r="BP124" s="32" t="s">
        <v>1225</v>
      </c>
      <c r="BQ124" s="32" t="s">
        <v>1225</v>
      </c>
      <c r="BR124" s="32" t="s">
        <v>1225</v>
      </c>
      <c r="BS124" s="32" t="s">
        <v>1225</v>
      </c>
      <c r="BT124" s="32" t="s">
        <v>1225</v>
      </c>
      <c r="BU124" s="32" t="s">
        <v>1225</v>
      </c>
      <c r="BV124" s="32" t="s">
        <v>1225</v>
      </c>
      <c r="BW124" s="32" t="str">
        <f t="shared" si="2"/>
        <v>View Full Record in Web of Science</v>
      </c>
      <c r="BY124" s="41" t="str">
        <f>IF(Deletion!J124=TRUE,"Yes","No")</f>
        <v>Yes</v>
      </c>
    </row>
    <row r="125" spans="1:77" x14ac:dyDescent="0.15">
      <c r="A125" s="34">
        <f t="shared" si="3"/>
        <v>124</v>
      </c>
      <c r="B125" s="34" t="s">
        <v>4</v>
      </c>
      <c r="C125" s="34" t="s">
        <v>4</v>
      </c>
      <c r="D125" s="34" t="s">
        <v>1223</v>
      </c>
      <c r="E125" s="34" t="s">
        <v>2019</v>
      </c>
      <c r="F125" s="32" t="s">
        <v>1225</v>
      </c>
      <c r="G125" s="32" t="s">
        <v>1225</v>
      </c>
      <c r="H125" s="32" t="s">
        <v>1225</v>
      </c>
      <c r="I125" s="34" t="s">
        <v>2020</v>
      </c>
      <c r="J125" s="32" t="s">
        <v>1225</v>
      </c>
      <c r="K125" s="32" t="s">
        <v>1225</v>
      </c>
      <c r="L125" s="34" t="s">
        <v>2021</v>
      </c>
      <c r="M125" s="34" t="s">
        <v>2022</v>
      </c>
      <c r="N125" s="32" t="s">
        <v>1225</v>
      </c>
      <c r="O125" s="32" t="s">
        <v>1225</v>
      </c>
      <c r="P125" s="32" t="s">
        <v>1225</v>
      </c>
      <c r="Q125" s="34" t="s">
        <v>1795</v>
      </c>
      <c r="R125" s="32" t="s">
        <v>1225</v>
      </c>
      <c r="S125" s="32" t="s">
        <v>1225</v>
      </c>
      <c r="T125" s="32" t="s">
        <v>1225</v>
      </c>
      <c r="U125" s="32" t="s">
        <v>1225</v>
      </c>
      <c r="V125" s="32" t="s">
        <v>1225</v>
      </c>
      <c r="W125" s="34" t="s">
        <v>2023</v>
      </c>
      <c r="X125" s="34" t="s">
        <v>2024</v>
      </c>
      <c r="Y125" s="34" t="s">
        <v>2025</v>
      </c>
      <c r="Z125" s="32" t="s">
        <v>1225</v>
      </c>
      <c r="AA125" s="32" t="s">
        <v>1225</v>
      </c>
      <c r="AB125" s="32" t="s">
        <v>1225</v>
      </c>
      <c r="AC125" s="32" t="s">
        <v>1225</v>
      </c>
      <c r="AD125" s="32" t="s">
        <v>1225</v>
      </c>
      <c r="AE125" s="32" t="s">
        <v>1225</v>
      </c>
      <c r="AF125" s="32" t="s">
        <v>1225</v>
      </c>
      <c r="AG125" s="32" t="s">
        <v>1225</v>
      </c>
      <c r="AH125" s="32" t="s">
        <v>1225</v>
      </c>
      <c r="AI125" s="32" t="s">
        <v>1225</v>
      </c>
      <c r="AJ125" s="32" t="s">
        <v>1225</v>
      </c>
      <c r="AK125" s="32" t="s">
        <v>1225</v>
      </c>
      <c r="AL125" s="32" t="s">
        <v>1225</v>
      </c>
      <c r="AM125" s="32" t="s">
        <v>1225</v>
      </c>
      <c r="AN125" s="32" t="s">
        <v>1225</v>
      </c>
      <c r="AO125" s="32" t="s">
        <v>1225</v>
      </c>
      <c r="AP125" s="32" t="s">
        <v>1225</v>
      </c>
      <c r="AQ125" s="32" t="s">
        <v>1225</v>
      </c>
      <c r="AR125" s="32" t="s">
        <v>1225</v>
      </c>
      <c r="AS125" s="32" t="s">
        <v>1225</v>
      </c>
      <c r="AT125" s="32" t="s">
        <v>1225</v>
      </c>
      <c r="AU125" s="32" t="s">
        <v>1225</v>
      </c>
      <c r="AV125" s="32" t="s">
        <v>1225</v>
      </c>
      <c r="AW125" s="34" t="s">
        <v>1225</v>
      </c>
      <c r="AX125" s="34">
        <v>2019</v>
      </c>
      <c r="AY125" s="32">
        <v>26</v>
      </c>
      <c r="AZ125" s="32">
        <v>1</v>
      </c>
      <c r="BA125" s="32" t="s">
        <v>1225</v>
      </c>
      <c r="BB125" s="32" t="s">
        <v>1225</v>
      </c>
      <c r="BC125" s="32" t="s">
        <v>1225</v>
      </c>
      <c r="BD125" s="32" t="s">
        <v>1225</v>
      </c>
      <c r="BE125" s="32">
        <v>49</v>
      </c>
      <c r="BF125" s="32">
        <v>63</v>
      </c>
      <c r="BG125" s="32" t="s">
        <v>1225</v>
      </c>
      <c r="BH125" s="34" t="s">
        <v>2026</v>
      </c>
      <c r="BI125" s="34" t="str">
        <f>HYPERLINK("http://dx.doi.org/10.3233/ICA-180582","http://dx.doi.org/10.3233/ICA-180582")</f>
        <v>http://dx.doi.org/10.3233/ICA-180582</v>
      </c>
      <c r="BJ125" s="32" t="s">
        <v>1225</v>
      </c>
      <c r="BK125" s="32" t="s">
        <v>1225</v>
      </c>
      <c r="BL125" s="32" t="s">
        <v>1225</v>
      </c>
      <c r="BM125" s="32" t="s">
        <v>1225</v>
      </c>
      <c r="BN125" s="32" t="s">
        <v>1225</v>
      </c>
      <c r="BO125" s="32" t="s">
        <v>1225</v>
      </c>
      <c r="BP125" s="32" t="s">
        <v>1225</v>
      </c>
      <c r="BQ125" s="32" t="s">
        <v>1225</v>
      </c>
      <c r="BR125" s="32" t="s">
        <v>1225</v>
      </c>
      <c r="BS125" s="32" t="s">
        <v>1225</v>
      </c>
      <c r="BT125" s="32" t="s">
        <v>1225</v>
      </c>
      <c r="BU125" s="32" t="s">
        <v>1225</v>
      </c>
      <c r="BV125" s="32" t="s">
        <v>1225</v>
      </c>
      <c r="BW125" s="32" t="str">
        <f t="shared" si="2"/>
        <v>View Full Record in Web of Science</v>
      </c>
      <c r="BY125" s="41" t="str">
        <f>IF(Deletion!J125=TRUE,"Yes","No")</f>
        <v>No</v>
      </c>
    </row>
    <row r="126" spans="1:77" x14ac:dyDescent="0.15">
      <c r="A126" s="34">
        <f t="shared" si="3"/>
        <v>125</v>
      </c>
      <c r="B126" s="34" t="s">
        <v>4</v>
      </c>
      <c r="C126" s="34" t="s">
        <v>4</v>
      </c>
      <c r="D126" s="34" t="s">
        <v>1223</v>
      </c>
      <c r="E126" s="34" t="s">
        <v>2027</v>
      </c>
      <c r="F126" s="32" t="s">
        <v>1225</v>
      </c>
      <c r="G126" s="32" t="s">
        <v>1225</v>
      </c>
      <c r="H126" s="32" t="s">
        <v>1225</v>
      </c>
      <c r="I126" s="34" t="s">
        <v>2028</v>
      </c>
      <c r="J126" s="32" t="s">
        <v>1225</v>
      </c>
      <c r="K126" s="32" t="s">
        <v>1225</v>
      </c>
      <c r="L126" s="34" t="s">
        <v>2029</v>
      </c>
      <c r="M126" s="34" t="s">
        <v>2030</v>
      </c>
      <c r="N126" s="32" t="s">
        <v>1225</v>
      </c>
      <c r="O126" s="32" t="s">
        <v>1225</v>
      </c>
      <c r="P126" s="32" t="s">
        <v>1225</v>
      </c>
      <c r="Q126" s="34" t="s">
        <v>1227</v>
      </c>
      <c r="R126" s="32" t="s">
        <v>1225</v>
      </c>
      <c r="S126" s="32" t="s">
        <v>1225</v>
      </c>
      <c r="T126" s="32" t="s">
        <v>1225</v>
      </c>
      <c r="U126" s="32" t="s">
        <v>1225</v>
      </c>
      <c r="V126" s="32" t="s">
        <v>1225</v>
      </c>
      <c r="W126" s="34" t="s">
        <v>2031</v>
      </c>
      <c r="X126" s="34" t="s">
        <v>1259</v>
      </c>
      <c r="Y126" s="34" t="s">
        <v>2032</v>
      </c>
      <c r="Z126" s="32" t="s">
        <v>1225</v>
      </c>
      <c r="AA126" s="32" t="s">
        <v>1225</v>
      </c>
      <c r="AB126" s="32" t="s">
        <v>1225</v>
      </c>
      <c r="AC126" s="32" t="s">
        <v>1225</v>
      </c>
      <c r="AD126" s="32" t="s">
        <v>1225</v>
      </c>
      <c r="AE126" s="32" t="s">
        <v>1225</v>
      </c>
      <c r="AF126" s="32" t="s">
        <v>1225</v>
      </c>
      <c r="AG126" s="32" t="s">
        <v>1225</v>
      </c>
      <c r="AH126" s="32" t="s">
        <v>1225</v>
      </c>
      <c r="AI126" s="32" t="s">
        <v>1225</v>
      </c>
      <c r="AJ126" s="32" t="s">
        <v>1225</v>
      </c>
      <c r="AK126" s="32" t="s">
        <v>1225</v>
      </c>
      <c r="AL126" s="32" t="s">
        <v>1225</v>
      </c>
      <c r="AM126" s="32" t="s">
        <v>1225</v>
      </c>
      <c r="AN126" s="32" t="s">
        <v>1225</v>
      </c>
      <c r="AO126" s="32" t="s">
        <v>1225</v>
      </c>
      <c r="AP126" s="32" t="s">
        <v>1225</v>
      </c>
      <c r="AQ126" s="32" t="s">
        <v>1225</v>
      </c>
      <c r="AR126" s="32" t="s">
        <v>1225</v>
      </c>
      <c r="AS126" s="32" t="s">
        <v>1225</v>
      </c>
      <c r="AT126" s="32" t="s">
        <v>1225</v>
      </c>
      <c r="AU126" s="32" t="s">
        <v>1225</v>
      </c>
      <c r="AV126" s="32" t="s">
        <v>1225</v>
      </c>
      <c r="AW126" s="34" t="s">
        <v>1356</v>
      </c>
      <c r="AX126" s="34">
        <v>2015</v>
      </c>
      <c r="AY126" s="32">
        <v>37</v>
      </c>
      <c r="AZ126" s="32">
        <v>7</v>
      </c>
      <c r="BA126" s="32" t="s">
        <v>1225</v>
      </c>
      <c r="BB126" s="32" t="s">
        <v>1225</v>
      </c>
      <c r="BC126" s="32" t="s">
        <v>1511</v>
      </c>
      <c r="BD126" s="32" t="s">
        <v>1225</v>
      </c>
      <c r="BE126" s="32">
        <v>853</v>
      </c>
      <c r="BF126" s="32">
        <v>867</v>
      </c>
      <c r="BG126" s="32" t="s">
        <v>1225</v>
      </c>
      <c r="BH126" s="34" t="s">
        <v>2033</v>
      </c>
      <c r="BI126" s="34" t="str">
        <f>HYPERLINK("http://dx.doi.org/10.1177/0142331213494100","http://dx.doi.org/10.1177/0142331213494100")</f>
        <v>http://dx.doi.org/10.1177/0142331213494100</v>
      </c>
      <c r="BJ126" s="32" t="s">
        <v>1225</v>
      </c>
      <c r="BK126" s="32" t="s">
        <v>1225</v>
      </c>
      <c r="BL126" s="32" t="s">
        <v>1225</v>
      </c>
      <c r="BM126" s="32" t="s">
        <v>1225</v>
      </c>
      <c r="BN126" s="32" t="s">
        <v>1225</v>
      </c>
      <c r="BO126" s="32" t="s">
        <v>1225</v>
      </c>
      <c r="BP126" s="32" t="s">
        <v>1225</v>
      </c>
      <c r="BQ126" s="32" t="s">
        <v>1225</v>
      </c>
      <c r="BR126" s="32" t="s">
        <v>1225</v>
      </c>
      <c r="BS126" s="32" t="s">
        <v>1225</v>
      </c>
      <c r="BT126" s="32" t="s">
        <v>1225</v>
      </c>
      <c r="BU126" s="32" t="s">
        <v>1225</v>
      </c>
      <c r="BV126" s="32" t="s">
        <v>1225</v>
      </c>
      <c r="BW126" s="32" t="str">
        <f t="shared" si="2"/>
        <v>View Full Record in Web of Science</v>
      </c>
      <c r="BY126" s="41" t="str">
        <f>IF(Deletion!J126=TRUE,"Yes","No")</f>
        <v>No</v>
      </c>
    </row>
    <row r="127" spans="1:77" x14ac:dyDescent="0.15">
      <c r="A127" s="32">
        <f t="shared" si="3"/>
        <v>126</v>
      </c>
      <c r="D127" s="32" t="s">
        <v>1223</v>
      </c>
      <c r="E127" s="32" t="s">
        <v>2034</v>
      </c>
      <c r="F127" s="32" t="s">
        <v>1225</v>
      </c>
      <c r="G127" s="32" t="s">
        <v>1225</v>
      </c>
      <c r="H127" s="32" t="s">
        <v>1225</v>
      </c>
      <c r="I127" s="32" t="s">
        <v>2035</v>
      </c>
      <c r="J127" s="32" t="s">
        <v>1225</v>
      </c>
      <c r="K127" s="32" t="s">
        <v>1225</v>
      </c>
      <c r="L127" s="32" t="s">
        <v>2036</v>
      </c>
      <c r="M127" s="32" t="s">
        <v>422</v>
      </c>
      <c r="N127" s="32" t="s">
        <v>1225</v>
      </c>
      <c r="O127" s="32" t="s">
        <v>1225</v>
      </c>
      <c r="P127" s="32" t="s">
        <v>1225</v>
      </c>
      <c r="Q127" s="32" t="s">
        <v>1227</v>
      </c>
      <c r="R127" s="32" t="s">
        <v>1225</v>
      </c>
      <c r="S127" s="32" t="s">
        <v>1225</v>
      </c>
      <c r="T127" s="32" t="s">
        <v>1225</v>
      </c>
      <c r="U127" s="32" t="s">
        <v>1225</v>
      </c>
      <c r="V127" s="32" t="s">
        <v>1225</v>
      </c>
      <c r="W127" s="32" t="s">
        <v>2037</v>
      </c>
      <c r="X127" s="32" t="s">
        <v>2038</v>
      </c>
      <c r="Y127" s="32" t="s">
        <v>2039</v>
      </c>
      <c r="Z127" s="32" t="s">
        <v>1225</v>
      </c>
      <c r="AA127" s="32" t="s">
        <v>1225</v>
      </c>
      <c r="AB127" s="32" t="s">
        <v>1225</v>
      </c>
      <c r="AC127" s="32" t="s">
        <v>1225</v>
      </c>
      <c r="AD127" s="32" t="s">
        <v>1225</v>
      </c>
      <c r="AE127" s="32" t="s">
        <v>1225</v>
      </c>
      <c r="AF127" s="32" t="s">
        <v>1225</v>
      </c>
      <c r="AG127" s="32" t="s">
        <v>1225</v>
      </c>
      <c r="AH127" s="32" t="s">
        <v>1225</v>
      </c>
      <c r="AI127" s="32" t="s">
        <v>1225</v>
      </c>
      <c r="AJ127" s="32" t="s">
        <v>1225</v>
      </c>
      <c r="AK127" s="32" t="s">
        <v>1225</v>
      </c>
      <c r="AL127" s="32" t="s">
        <v>1225</v>
      </c>
      <c r="AM127" s="32" t="s">
        <v>1225</v>
      </c>
      <c r="AN127" s="32" t="s">
        <v>1225</v>
      </c>
      <c r="AO127" s="32" t="s">
        <v>1225</v>
      </c>
      <c r="AP127" s="32" t="s">
        <v>1225</v>
      </c>
      <c r="AQ127" s="32" t="s">
        <v>1225</v>
      </c>
      <c r="AR127" s="32" t="s">
        <v>1225</v>
      </c>
      <c r="AS127" s="32" t="s">
        <v>1225</v>
      </c>
      <c r="AT127" s="32" t="s">
        <v>1225</v>
      </c>
      <c r="AU127" s="32" t="s">
        <v>1225</v>
      </c>
      <c r="AV127" s="32" t="s">
        <v>1225</v>
      </c>
      <c r="AW127" s="32" t="s">
        <v>1726</v>
      </c>
      <c r="AX127" s="32">
        <v>2018</v>
      </c>
      <c r="AY127" s="32">
        <v>11</v>
      </c>
      <c r="AZ127" s="32">
        <v>4</v>
      </c>
      <c r="BA127" s="32" t="s">
        <v>1225</v>
      </c>
      <c r="BB127" s="32" t="s">
        <v>1225</v>
      </c>
      <c r="BC127" s="32" t="s">
        <v>1225</v>
      </c>
      <c r="BD127" s="32" t="s">
        <v>1225</v>
      </c>
      <c r="BE127" s="32" t="s">
        <v>1225</v>
      </c>
      <c r="BF127" s="32" t="s">
        <v>1225</v>
      </c>
      <c r="BG127" s="32">
        <v>911</v>
      </c>
      <c r="BH127" s="32" t="s">
        <v>2040</v>
      </c>
      <c r="BI127" s="32" t="str">
        <f>HYPERLINK("http://dx.doi.org/10.3390/en11040911","http://dx.doi.org/10.3390/en11040911")</f>
        <v>http://dx.doi.org/10.3390/en11040911</v>
      </c>
      <c r="BJ127" s="32" t="s">
        <v>1225</v>
      </c>
      <c r="BK127" s="32" t="s">
        <v>1225</v>
      </c>
      <c r="BL127" s="32" t="s">
        <v>1225</v>
      </c>
      <c r="BM127" s="32" t="s">
        <v>1225</v>
      </c>
      <c r="BN127" s="32" t="s">
        <v>1225</v>
      </c>
      <c r="BO127" s="32" t="s">
        <v>1225</v>
      </c>
      <c r="BP127" s="32" t="s">
        <v>1225</v>
      </c>
      <c r="BQ127" s="32" t="s">
        <v>1225</v>
      </c>
      <c r="BR127" s="32" t="s">
        <v>1225</v>
      </c>
      <c r="BS127" s="32" t="s">
        <v>1225</v>
      </c>
      <c r="BT127" s="32" t="s">
        <v>1225</v>
      </c>
      <c r="BU127" s="32" t="s">
        <v>1225</v>
      </c>
      <c r="BV127" s="32" t="s">
        <v>1225</v>
      </c>
      <c r="BW127" s="32" t="str">
        <f t="shared" si="2"/>
        <v>View Full Record in Web of Science</v>
      </c>
      <c r="BY127" s="41" t="str">
        <f>IF(Deletion!J127=TRUE,"Yes","No")</f>
        <v>Yes</v>
      </c>
    </row>
    <row r="128" spans="1:77" x14ac:dyDescent="0.15">
      <c r="A128" s="32">
        <f t="shared" si="3"/>
        <v>127</v>
      </c>
      <c r="D128" s="32" t="s">
        <v>1223</v>
      </c>
      <c r="E128" s="32" t="s">
        <v>2041</v>
      </c>
      <c r="F128" s="32" t="s">
        <v>1225</v>
      </c>
      <c r="G128" s="32" t="s">
        <v>1225</v>
      </c>
      <c r="H128" s="32" t="s">
        <v>1225</v>
      </c>
      <c r="I128" s="32" t="s">
        <v>2042</v>
      </c>
      <c r="J128" s="32" t="s">
        <v>1225</v>
      </c>
      <c r="K128" s="32" t="s">
        <v>1225</v>
      </c>
      <c r="L128" s="32" t="s">
        <v>2043</v>
      </c>
      <c r="M128" s="32" t="s">
        <v>2044</v>
      </c>
      <c r="N128" s="32" t="s">
        <v>1225</v>
      </c>
      <c r="O128" s="32" t="s">
        <v>1225</v>
      </c>
      <c r="P128" s="32" t="s">
        <v>1225</v>
      </c>
      <c r="Q128" s="32" t="s">
        <v>1227</v>
      </c>
      <c r="R128" s="32" t="s">
        <v>1225</v>
      </c>
      <c r="S128" s="32" t="s">
        <v>1225</v>
      </c>
      <c r="T128" s="32" t="s">
        <v>1225</v>
      </c>
      <c r="U128" s="32" t="s">
        <v>1225</v>
      </c>
      <c r="V128" s="32" t="s">
        <v>1225</v>
      </c>
      <c r="W128" s="32" t="s">
        <v>2045</v>
      </c>
      <c r="X128" s="32" t="s">
        <v>1225</v>
      </c>
      <c r="Y128" s="32" t="s">
        <v>2046</v>
      </c>
      <c r="Z128" s="32" t="s">
        <v>1225</v>
      </c>
      <c r="AA128" s="32" t="s">
        <v>1225</v>
      </c>
      <c r="AB128" s="32" t="s">
        <v>1225</v>
      </c>
      <c r="AC128" s="32" t="s">
        <v>1225</v>
      </c>
      <c r="AD128" s="32" t="s">
        <v>1225</v>
      </c>
      <c r="AE128" s="32" t="s">
        <v>1225</v>
      </c>
      <c r="AF128" s="32" t="s">
        <v>1225</v>
      </c>
      <c r="AG128" s="32" t="s">
        <v>1225</v>
      </c>
      <c r="AH128" s="32" t="s">
        <v>1225</v>
      </c>
      <c r="AI128" s="32" t="s">
        <v>1225</v>
      </c>
      <c r="AJ128" s="32" t="s">
        <v>1225</v>
      </c>
      <c r="AK128" s="32" t="s">
        <v>1225</v>
      </c>
      <c r="AL128" s="32" t="s">
        <v>1225</v>
      </c>
      <c r="AM128" s="32" t="s">
        <v>1225</v>
      </c>
      <c r="AN128" s="32" t="s">
        <v>1225</v>
      </c>
      <c r="AO128" s="32" t="s">
        <v>1225</v>
      </c>
      <c r="AP128" s="32" t="s">
        <v>1225</v>
      </c>
      <c r="AQ128" s="32" t="s">
        <v>1225</v>
      </c>
      <c r="AR128" s="32" t="s">
        <v>1225</v>
      </c>
      <c r="AS128" s="32" t="s">
        <v>1225</v>
      </c>
      <c r="AT128" s="32" t="s">
        <v>1225</v>
      </c>
      <c r="AU128" s="32" t="s">
        <v>1225</v>
      </c>
      <c r="AV128" s="32" t="s">
        <v>1225</v>
      </c>
      <c r="AW128" s="32" t="s">
        <v>1298</v>
      </c>
      <c r="AX128" s="32">
        <v>2013</v>
      </c>
      <c r="AY128" s="32">
        <v>62</v>
      </c>
      <c r="AZ128" s="32">
        <v>7</v>
      </c>
      <c r="BA128" s="32" t="s">
        <v>1225</v>
      </c>
      <c r="BB128" s="32" t="s">
        <v>1225</v>
      </c>
      <c r="BC128" s="32" t="s">
        <v>1225</v>
      </c>
      <c r="BD128" s="32" t="s">
        <v>1225</v>
      </c>
      <c r="BE128" s="32">
        <v>2919</v>
      </c>
      <c r="BF128" s="32">
        <v>2927</v>
      </c>
      <c r="BG128" s="32" t="s">
        <v>1225</v>
      </c>
      <c r="BH128" s="32" t="s">
        <v>2047</v>
      </c>
      <c r="BI128" s="32" t="str">
        <f>HYPERLINK("http://dx.doi.org/10.1109/TVT.2013.2251023","http://dx.doi.org/10.1109/TVT.2013.2251023")</f>
        <v>http://dx.doi.org/10.1109/TVT.2013.2251023</v>
      </c>
      <c r="BJ128" s="32" t="s">
        <v>1225</v>
      </c>
      <c r="BK128" s="32" t="s">
        <v>1225</v>
      </c>
      <c r="BL128" s="32" t="s">
        <v>1225</v>
      </c>
      <c r="BM128" s="32" t="s">
        <v>1225</v>
      </c>
      <c r="BN128" s="32" t="s">
        <v>1225</v>
      </c>
      <c r="BO128" s="32" t="s">
        <v>1225</v>
      </c>
      <c r="BP128" s="32" t="s">
        <v>1225</v>
      </c>
      <c r="BQ128" s="32" t="s">
        <v>1225</v>
      </c>
      <c r="BR128" s="32" t="s">
        <v>1225</v>
      </c>
      <c r="BS128" s="32" t="s">
        <v>1225</v>
      </c>
      <c r="BT128" s="32" t="s">
        <v>1225</v>
      </c>
      <c r="BU128" s="32" t="s">
        <v>1225</v>
      </c>
      <c r="BV128" s="32" t="s">
        <v>1225</v>
      </c>
      <c r="BW128" s="32" t="str">
        <f t="shared" si="2"/>
        <v>View Full Record in Web of Science</v>
      </c>
      <c r="BY128" s="41" t="str">
        <f>IF(Deletion!J128=TRUE,"Yes","No")</f>
        <v>Yes</v>
      </c>
    </row>
    <row r="129" spans="1:77" x14ac:dyDescent="0.15">
      <c r="A129" s="32">
        <f t="shared" si="3"/>
        <v>128</v>
      </c>
      <c r="D129" s="32" t="s">
        <v>1223</v>
      </c>
      <c r="E129" s="32" t="s">
        <v>2048</v>
      </c>
      <c r="F129" s="32" t="s">
        <v>1225</v>
      </c>
      <c r="G129" s="32" t="s">
        <v>1225</v>
      </c>
      <c r="H129" s="32" t="s">
        <v>1225</v>
      </c>
      <c r="I129" s="32" t="s">
        <v>2049</v>
      </c>
      <c r="J129" s="32" t="s">
        <v>1225</v>
      </c>
      <c r="K129" s="32" t="s">
        <v>1225</v>
      </c>
      <c r="L129" s="32" t="s">
        <v>2050</v>
      </c>
      <c r="M129" s="32" t="s">
        <v>2051</v>
      </c>
      <c r="N129" s="32" t="s">
        <v>1225</v>
      </c>
      <c r="O129" s="32" t="s">
        <v>1225</v>
      </c>
      <c r="P129" s="32" t="s">
        <v>1225</v>
      </c>
      <c r="Q129" s="32" t="s">
        <v>1227</v>
      </c>
      <c r="R129" s="32" t="s">
        <v>1225</v>
      </c>
      <c r="S129" s="32" t="s">
        <v>1225</v>
      </c>
      <c r="T129" s="32" t="s">
        <v>1225</v>
      </c>
      <c r="U129" s="32" t="s">
        <v>1225</v>
      </c>
      <c r="V129" s="32" t="s">
        <v>1225</v>
      </c>
      <c r="W129" s="32" t="s">
        <v>2052</v>
      </c>
      <c r="X129" s="32" t="s">
        <v>1225</v>
      </c>
      <c r="Y129" s="32" t="s">
        <v>2053</v>
      </c>
      <c r="Z129" s="32" t="s">
        <v>1225</v>
      </c>
      <c r="AA129" s="32" t="s">
        <v>1225</v>
      </c>
      <c r="AB129" s="32" t="s">
        <v>1225</v>
      </c>
      <c r="AC129" s="32" t="s">
        <v>1225</v>
      </c>
      <c r="AD129" s="32" t="s">
        <v>1225</v>
      </c>
      <c r="AE129" s="32" t="s">
        <v>1225</v>
      </c>
      <c r="AF129" s="32" t="s">
        <v>1225</v>
      </c>
      <c r="AG129" s="32" t="s">
        <v>1225</v>
      </c>
      <c r="AH129" s="32" t="s">
        <v>1225</v>
      </c>
      <c r="AI129" s="32" t="s">
        <v>1225</v>
      </c>
      <c r="AJ129" s="32" t="s">
        <v>1225</v>
      </c>
      <c r="AK129" s="32" t="s">
        <v>1225</v>
      </c>
      <c r="AL129" s="32" t="s">
        <v>1225</v>
      </c>
      <c r="AM129" s="32" t="s">
        <v>1225</v>
      </c>
      <c r="AN129" s="32" t="s">
        <v>1225</v>
      </c>
      <c r="AO129" s="32" t="s">
        <v>1225</v>
      </c>
      <c r="AP129" s="32" t="s">
        <v>1225</v>
      </c>
      <c r="AQ129" s="32" t="s">
        <v>1225</v>
      </c>
      <c r="AR129" s="32" t="s">
        <v>1225</v>
      </c>
      <c r="AS129" s="32" t="s">
        <v>1225</v>
      </c>
      <c r="AT129" s="32" t="s">
        <v>1225</v>
      </c>
      <c r="AU129" s="32" t="s">
        <v>1225</v>
      </c>
      <c r="AV129" s="32" t="s">
        <v>1225</v>
      </c>
      <c r="AW129" s="32" t="s">
        <v>1272</v>
      </c>
      <c r="AX129" s="32">
        <v>2021</v>
      </c>
      <c r="AY129" s="32">
        <v>17</v>
      </c>
      <c r="AZ129" s="32">
        <v>3</v>
      </c>
      <c r="BA129" s="32" t="s">
        <v>1225</v>
      </c>
      <c r="BB129" s="32" t="s">
        <v>1225</v>
      </c>
      <c r="BC129" s="32" t="s">
        <v>1225</v>
      </c>
      <c r="BD129" s="32" t="s">
        <v>1225</v>
      </c>
      <c r="BE129" s="32">
        <v>1637</v>
      </c>
      <c r="BF129" s="32">
        <v>1647</v>
      </c>
      <c r="BG129" s="32" t="s">
        <v>1225</v>
      </c>
      <c r="BH129" s="32" t="s">
        <v>2054</v>
      </c>
      <c r="BI129" s="32" t="str">
        <f>HYPERLINK("http://dx.doi.org/10.1109/TII.2020.2993239","http://dx.doi.org/10.1109/TII.2020.2993239")</f>
        <v>http://dx.doi.org/10.1109/TII.2020.2993239</v>
      </c>
      <c r="BJ129" s="32" t="s">
        <v>1225</v>
      </c>
      <c r="BK129" s="32" t="s">
        <v>1225</v>
      </c>
      <c r="BL129" s="32" t="s">
        <v>1225</v>
      </c>
      <c r="BM129" s="32" t="s">
        <v>1225</v>
      </c>
      <c r="BN129" s="32" t="s">
        <v>1225</v>
      </c>
      <c r="BO129" s="32" t="s">
        <v>1225</v>
      </c>
      <c r="BP129" s="32" t="s">
        <v>1225</v>
      </c>
      <c r="BQ129" s="32" t="s">
        <v>1225</v>
      </c>
      <c r="BR129" s="32" t="s">
        <v>1225</v>
      </c>
      <c r="BS129" s="32" t="s">
        <v>1225</v>
      </c>
      <c r="BT129" s="32" t="s">
        <v>1225</v>
      </c>
      <c r="BU129" s="32" t="s">
        <v>1225</v>
      </c>
      <c r="BV129" s="32" t="s">
        <v>1225</v>
      </c>
      <c r="BW129" s="32" t="str">
        <f t="shared" si="2"/>
        <v>View Full Record in Web of Science</v>
      </c>
      <c r="BY129" s="41" t="str">
        <f>IF(Deletion!J129=TRUE,"Yes","No")</f>
        <v>Yes</v>
      </c>
    </row>
    <row r="130" spans="1:77" x14ac:dyDescent="0.15">
      <c r="A130" s="32">
        <f t="shared" si="3"/>
        <v>129</v>
      </c>
      <c r="D130" s="32" t="s">
        <v>1223</v>
      </c>
      <c r="E130" s="32" t="s">
        <v>2055</v>
      </c>
      <c r="F130" s="32" t="s">
        <v>1225</v>
      </c>
      <c r="G130" s="32" t="s">
        <v>1225</v>
      </c>
      <c r="H130" s="32" t="s">
        <v>1225</v>
      </c>
      <c r="I130" s="32" t="s">
        <v>2056</v>
      </c>
      <c r="J130" s="32" t="s">
        <v>1225</v>
      </c>
      <c r="K130" s="32" t="s">
        <v>1225</v>
      </c>
      <c r="L130" s="32" t="s">
        <v>2057</v>
      </c>
      <c r="M130" s="32" t="s">
        <v>346</v>
      </c>
      <c r="N130" s="32" t="s">
        <v>1225</v>
      </c>
      <c r="O130" s="32" t="s">
        <v>1225</v>
      </c>
      <c r="P130" s="32" t="s">
        <v>1225</v>
      </c>
      <c r="Q130" s="32" t="s">
        <v>1227</v>
      </c>
      <c r="R130" s="32" t="s">
        <v>1225</v>
      </c>
      <c r="S130" s="32" t="s">
        <v>1225</v>
      </c>
      <c r="T130" s="32" t="s">
        <v>1225</v>
      </c>
      <c r="U130" s="32" t="s">
        <v>1225</v>
      </c>
      <c r="V130" s="32" t="s">
        <v>1225</v>
      </c>
      <c r="W130" s="32" t="s">
        <v>2058</v>
      </c>
      <c r="X130" s="32" t="s">
        <v>2059</v>
      </c>
      <c r="Y130" s="32" t="s">
        <v>2060</v>
      </c>
      <c r="Z130" s="32" t="s">
        <v>1225</v>
      </c>
      <c r="AA130" s="32" t="s">
        <v>1225</v>
      </c>
      <c r="AB130" s="32" t="s">
        <v>1225</v>
      </c>
      <c r="AC130" s="32" t="s">
        <v>1225</v>
      </c>
      <c r="AD130" s="32" t="s">
        <v>1225</v>
      </c>
      <c r="AE130" s="32" t="s">
        <v>1225</v>
      </c>
      <c r="AF130" s="32" t="s">
        <v>1225</v>
      </c>
      <c r="AG130" s="32" t="s">
        <v>1225</v>
      </c>
      <c r="AH130" s="32" t="s">
        <v>1225</v>
      </c>
      <c r="AI130" s="32" t="s">
        <v>1225</v>
      </c>
      <c r="AJ130" s="32" t="s">
        <v>1225</v>
      </c>
      <c r="AK130" s="32" t="s">
        <v>1225</v>
      </c>
      <c r="AL130" s="32" t="s">
        <v>1225</v>
      </c>
      <c r="AM130" s="32" t="s">
        <v>1225</v>
      </c>
      <c r="AN130" s="32" t="s">
        <v>1225</v>
      </c>
      <c r="AO130" s="32" t="s">
        <v>1225</v>
      </c>
      <c r="AP130" s="32" t="s">
        <v>1225</v>
      </c>
      <c r="AQ130" s="32" t="s">
        <v>1225</v>
      </c>
      <c r="AR130" s="32" t="s">
        <v>1225</v>
      </c>
      <c r="AS130" s="32" t="s">
        <v>1225</v>
      </c>
      <c r="AT130" s="32" t="s">
        <v>1225</v>
      </c>
      <c r="AU130" s="32" t="s">
        <v>1225</v>
      </c>
      <c r="AV130" s="32" t="s">
        <v>1225</v>
      </c>
      <c r="AW130" s="32" t="s">
        <v>1726</v>
      </c>
      <c r="AX130" s="32">
        <v>2020</v>
      </c>
      <c r="AY130" s="32">
        <v>100</v>
      </c>
      <c r="AZ130" s="32" t="s">
        <v>1225</v>
      </c>
      <c r="BA130" s="32" t="s">
        <v>1225</v>
      </c>
      <c r="BB130" s="32" t="s">
        <v>1225</v>
      </c>
      <c r="BC130" s="32" t="s">
        <v>1225</v>
      </c>
      <c r="BD130" s="32" t="s">
        <v>1225</v>
      </c>
      <c r="BE130" s="32" t="s">
        <v>1225</v>
      </c>
      <c r="BF130" s="32" t="s">
        <v>1225</v>
      </c>
      <c r="BG130" s="32">
        <v>102040</v>
      </c>
      <c r="BH130" s="32" t="s">
        <v>2061</v>
      </c>
      <c r="BI130" s="32" t="str">
        <f>HYPERLINK("http://dx.doi.org/10.1016/j.simpat.2019.102040","http://dx.doi.org/10.1016/j.simpat.2019.102040")</f>
        <v>http://dx.doi.org/10.1016/j.simpat.2019.102040</v>
      </c>
      <c r="BJ130" s="32" t="s">
        <v>1225</v>
      </c>
      <c r="BK130" s="32" t="s">
        <v>1225</v>
      </c>
      <c r="BL130" s="32" t="s">
        <v>1225</v>
      </c>
      <c r="BM130" s="32" t="s">
        <v>1225</v>
      </c>
      <c r="BN130" s="32" t="s">
        <v>1225</v>
      </c>
      <c r="BO130" s="32" t="s">
        <v>1225</v>
      </c>
      <c r="BP130" s="32" t="s">
        <v>1225</v>
      </c>
      <c r="BQ130" s="32" t="s">
        <v>1225</v>
      </c>
      <c r="BR130" s="32" t="s">
        <v>1225</v>
      </c>
      <c r="BS130" s="32" t="s">
        <v>1225</v>
      </c>
      <c r="BT130" s="32" t="s">
        <v>1225</v>
      </c>
      <c r="BU130" s="32" t="s">
        <v>1225</v>
      </c>
      <c r="BV130" s="32" t="s">
        <v>1225</v>
      </c>
      <c r="BW130" s="32" t="str">
        <f t="shared" ref="BW130:BW193" si="4">HYPERLINK("https%3A%2F%2Fwww.webofscience.com%2Fwos%2Fwoscc%2Ffull-record%2F","View Full Record in Web of Science")</f>
        <v>View Full Record in Web of Science</v>
      </c>
      <c r="BY130" s="41" t="str">
        <f>IF(Deletion!J130=TRUE,"Yes","No")</f>
        <v>Yes</v>
      </c>
    </row>
    <row r="131" spans="1:77" x14ac:dyDescent="0.15">
      <c r="A131" s="32">
        <f t="shared" si="3"/>
        <v>130</v>
      </c>
      <c r="D131" s="32" t="s">
        <v>1223</v>
      </c>
      <c r="E131" s="32" t="s">
        <v>2062</v>
      </c>
      <c r="F131" s="32" t="s">
        <v>1225</v>
      </c>
      <c r="G131" s="32" t="s">
        <v>1225</v>
      </c>
      <c r="H131" s="32" t="s">
        <v>1225</v>
      </c>
      <c r="I131" s="32" t="s">
        <v>2063</v>
      </c>
      <c r="J131" s="32" t="s">
        <v>1225</v>
      </c>
      <c r="K131" s="32" t="s">
        <v>1225</v>
      </c>
      <c r="L131" s="32" t="s">
        <v>2064</v>
      </c>
      <c r="M131" s="32" t="s">
        <v>422</v>
      </c>
      <c r="N131" s="32" t="s">
        <v>1225</v>
      </c>
      <c r="O131" s="32" t="s">
        <v>1225</v>
      </c>
      <c r="P131" s="32" t="s">
        <v>1225</v>
      </c>
      <c r="Q131" s="32" t="s">
        <v>1227</v>
      </c>
      <c r="R131" s="32" t="s">
        <v>1225</v>
      </c>
      <c r="S131" s="32" t="s">
        <v>1225</v>
      </c>
      <c r="T131" s="32" t="s">
        <v>1225</v>
      </c>
      <c r="U131" s="32" t="s">
        <v>1225</v>
      </c>
      <c r="V131" s="32" t="s">
        <v>1225</v>
      </c>
      <c r="W131" s="32" t="s">
        <v>2065</v>
      </c>
      <c r="X131" s="32" t="s">
        <v>2066</v>
      </c>
      <c r="Y131" s="32" t="s">
        <v>2067</v>
      </c>
      <c r="Z131" s="32" t="s">
        <v>1225</v>
      </c>
      <c r="AA131" s="32" t="s">
        <v>1225</v>
      </c>
      <c r="AB131" s="32" t="s">
        <v>1225</v>
      </c>
      <c r="AC131" s="32" t="s">
        <v>1225</v>
      </c>
      <c r="AD131" s="32" t="s">
        <v>1225</v>
      </c>
      <c r="AE131" s="32" t="s">
        <v>1225</v>
      </c>
      <c r="AF131" s="32" t="s">
        <v>1225</v>
      </c>
      <c r="AG131" s="32" t="s">
        <v>1225</v>
      </c>
      <c r="AH131" s="32" t="s">
        <v>1225</v>
      </c>
      <c r="AI131" s="32" t="s">
        <v>1225</v>
      </c>
      <c r="AJ131" s="32" t="s">
        <v>1225</v>
      </c>
      <c r="AK131" s="32" t="s">
        <v>1225</v>
      </c>
      <c r="AL131" s="32" t="s">
        <v>1225</v>
      </c>
      <c r="AM131" s="32" t="s">
        <v>1225</v>
      </c>
      <c r="AN131" s="32" t="s">
        <v>1225</v>
      </c>
      <c r="AO131" s="32" t="s">
        <v>1225</v>
      </c>
      <c r="AP131" s="32" t="s">
        <v>1225</v>
      </c>
      <c r="AQ131" s="32" t="s">
        <v>1225</v>
      </c>
      <c r="AR131" s="32" t="s">
        <v>1225</v>
      </c>
      <c r="AS131" s="32" t="s">
        <v>1225</v>
      </c>
      <c r="AT131" s="32" t="s">
        <v>1225</v>
      </c>
      <c r="AU131" s="32" t="s">
        <v>1225</v>
      </c>
      <c r="AV131" s="32" t="s">
        <v>1225</v>
      </c>
      <c r="AW131" s="32" t="s">
        <v>1356</v>
      </c>
      <c r="AX131" s="32">
        <v>2020</v>
      </c>
      <c r="AY131" s="32">
        <v>13</v>
      </c>
      <c r="AZ131" s="32">
        <v>16</v>
      </c>
      <c r="BA131" s="32" t="s">
        <v>1225</v>
      </c>
      <c r="BB131" s="32" t="s">
        <v>1225</v>
      </c>
      <c r="BC131" s="32" t="s">
        <v>1225</v>
      </c>
      <c r="BD131" s="32" t="s">
        <v>1225</v>
      </c>
      <c r="BE131" s="32" t="s">
        <v>1225</v>
      </c>
      <c r="BF131" s="32" t="s">
        <v>1225</v>
      </c>
      <c r="BG131" s="32">
        <v>4163</v>
      </c>
      <c r="BH131" s="32" t="s">
        <v>2068</v>
      </c>
      <c r="BI131" s="32" t="str">
        <f>HYPERLINK("http://dx.doi.org/10.3390/en13164163","http://dx.doi.org/10.3390/en13164163")</f>
        <v>http://dx.doi.org/10.3390/en13164163</v>
      </c>
      <c r="BJ131" s="32" t="s">
        <v>1225</v>
      </c>
      <c r="BK131" s="32" t="s">
        <v>1225</v>
      </c>
      <c r="BL131" s="32" t="s">
        <v>1225</v>
      </c>
      <c r="BM131" s="32" t="s">
        <v>1225</v>
      </c>
      <c r="BN131" s="32" t="s">
        <v>1225</v>
      </c>
      <c r="BO131" s="32" t="s">
        <v>1225</v>
      </c>
      <c r="BP131" s="32" t="s">
        <v>1225</v>
      </c>
      <c r="BQ131" s="32" t="s">
        <v>1225</v>
      </c>
      <c r="BR131" s="32" t="s">
        <v>1225</v>
      </c>
      <c r="BS131" s="32" t="s">
        <v>1225</v>
      </c>
      <c r="BT131" s="32" t="s">
        <v>1225</v>
      </c>
      <c r="BU131" s="32" t="s">
        <v>1225</v>
      </c>
      <c r="BV131" s="32" t="s">
        <v>1225</v>
      </c>
      <c r="BW131" s="32" t="str">
        <f t="shared" si="4"/>
        <v>View Full Record in Web of Science</v>
      </c>
      <c r="BY131" s="41" t="str">
        <f>IF(Deletion!J131=TRUE,"Yes","No")</f>
        <v>Yes</v>
      </c>
    </row>
    <row r="132" spans="1:77" x14ac:dyDescent="0.15">
      <c r="A132" s="34">
        <f t="shared" si="3"/>
        <v>131</v>
      </c>
      <c r="B132" s="34" t="s">
        <v>4</v>
      </c>
      <c r="C132" s="34" t="s">
        <v>4</v>
      </c>
      <c r="D132" s="34" t="s">
        <v>1223</v>
      </c>
      <c r="E132" s="34" t="s">
        <v>2069</v>
      </c>
      <c r="F132" s="32" t="s">
        <v>1225</v>
      </c>
      <c r="G132" s="32" t="s">
        <v>1225</v>
      </c>
      <c r="H132" s="32" t="s">
        <v>1225</v>
      </c>
      <c r="I132" s="34" t="s">
        <v>2070</v>
      </c>
      <c r="J132" s="32" t="s">
        <v>1225</v>
      </c>
      <c r="K132" s="32" t="s">
        <v>1225</v>
      </c>
      <c r="L132" s="34" t="s">
        <v>2071</v>
      </c>
      <c r="M132" s="34" t="s">
        <v>2072</v>
      </c>
      <c r="N132" s="32" t="s">
        <v>1225</v>
      </c>
      <c r="O132" s="32" t="s">
        <v>1225</v>
      </c>
      <c r="P132" s="32" t="s">
        <v>1225</v>
      </c>
      <c r="Q132" s="34" t="s">
        <v>1227</v>
      </c>
      <c r="R132" s="32" t="s">
        <v>1225</v>
      </c>
      <c r="S132" s="32" t="s">
        <v>1225</v>
      </c>
      <c r="T132" s="32" t="s">
        <v>1225</v>
      </c>
      <c r="U132" s="32" t="s">
        <v>1225</v>
      </c>
      <c r="V132" s="32" t="s">
        <v>1225</v>
      </c>
      <c r="W132" s="34" t="s">
        <v>2073</v>
      </c>
      <c r="X132" s="34" t="s">
        <v>2074</v>
      </c>
      <c r="Y132" s="34" t="s">
        <v>2075</v>
      </c>
      <c r="Z132" s="32" t="s">
        <v>1225</v>
      </c>
      <c r="AA132" s="32" t="s">
        <v>1225</v>
      </c>
      <c r="AB132" s="32" t="s">
        <v>1225</v>
      </c>
      <c r="AC132" s="32" t="s">
        <v>1225</v>
      </c>
      <c r="AD132" s="32" t="s">
        <v>1225</v>
      </c>
      <c r="AE132" s="32" t="s">
        <v>1225</v>
      </c>
      <c r="AF132" s="32" t="s">
        <v>1225</v>
      </c>
      <c r="AG132" s="32" t="s">
        <v>1225</v>
      </c>
      <c r="AH132" s="32" t="s">
        <v>1225</v>
      </c>
      <c r="AI132" s="32" t="s">
        <v>1225</v>
      </c>
      <c r="AJ132" s="32" t="s">
        <v>1225</v>
      </c>
      <c r="AK132" s="32" t="s">
        <v>1225</v>
      </c>
      <c r="AL132" s="32" t="s">
        <v>1225</v>
      </c>
      <c r="AM132" s="32" t="s">
        <v>1225</v>
      </c>
      <c r="AN132" s="32" t="s">
        <v>1225</v>
      </c>
      <c r="AO132" s="32" t="s">
        <v>1225</v>
      </c>
      <c r="AP132" s="32" t="s">
        <v>1225</v>
      </c>
      <c r="AQ132" s="32" t="s">
        <v>1225</v>
      </c>
      <c r="AR132" s="32" t="s">
        <v>1225</v>
      </c>
      <c r="AS132" s="32" t="s">
        <v>1225</v>
      </c>
      <c r="AT132" s="32" t="s">
        <v>1225</v>
      </c>
      <c r="AU132" s="32" t="s">
        <v>1225</v>
      </c>
      <c r="AV132" s="32" t="s">
        <v>1225</v>
      </c>
      <c r="AW132" s="34" t="s">
        <v>1256</v>
      </c>
      <c r="AX132" s="34">
        <v>2016</v>
      </c>
      <c r="AY132" s="32">
        <v>76</v>
      </c>
      <c r="AZ132" s="32" t="s">
        <v>1225</v>
      </c>
      <c r="BA132" s="32" t="s">
        <v>1225</v>
      </c>
      <c r="BB132" s="32" t="s">
        <v>1225</v>
      </c>
      <c r="BC132" s="32" t="s">
        <v>1225</v>
      </c>
      <c r="BD132" s="32" t="s">
        <v>1225</v>
      </c>
      <c r="BE132" s="32">
        <v>73</v>
      </c>
      <c r="BF132" s="32">
        <v>83</v>
      </c>
      <c r="BG132" s="32" t="s">
        <v>1225</v>
      </c>
      <c r="BH132" s="34" t="s">
        <v>2076</v>
      </c>
      <c r="BI132" s="34" t="str">
        <f>HYPERLINK("http://dx.doi.org/10.1016/j.cor.2016.06.013","http://dx.doi.org/10.1016/j.cor.2016.06.013")</f>
        <v>http://dx.doi.org/10.1016/j.cor.2016.06.013</v>
      </c>
      <c r="BJ132" s="32" t="s">
        <v>1225</v>
      </c>
      <c r="BK132" s="32" t="s">
        <v>1225</v>
      </c>
      <c r="BL132" s="32" t="s">
        <v>1225</v>
      </c>
      <c r="BM132" s="32" t="s">
        <v>1225</v>
      </c>
      <c r="BN132" s="32" t="s">
        <v>1225</v>
      </c>
      <c r="BO132" s="32" t="s">
        <v>1225</v>
      </c>
      <c r="BP132" s="32" t="s">
        <v>1225</v>
      </c>
      <c r="BQ132" s="32" t="s">
        <v>1225</v>
      </c>
      <c r="BR132" s="32" t="s">
        <v>1225</v>
      </c>
      <c r="BS132" s="32" t="s">
        <v>1225</v>
      </c>
      <c r="BT132" s="32" t="s">
        <v>1225</v>
      </c>
      <c r="BU132" s="32" t="s">
        <v>1225</v>
      </c>
      <c r="BV132" s="32" t="s">
        <v>1225</v>
      </c>
      <c r="BW132" s="32" t="str">
        <f t="shared" si="4"/>
        <v>View Full Record in Web of Science</v>
      </c>
      <c r="BY132" s="41" t="str">
        <f>IF(Deletion!J132=TRUE,"Yes","No")</f>
        <v>No</v>
      </c>
    </row>
    <row r="133" spans="1:77" x14ac:dyDescent="0.15">
      <c r="A133" s="34">
        <f t="shared" ref="A133:A196" si="5">A132+1</f>
        <v>132</v>
      </c>
      <c r="B133" s="34" t="s">
        <v>4</v>
      </c>
      <c r="C133" s="34" t="s">
        <v>4</v>
      </c>
      <c r="D133" s="34" t="s">
        <v>1223</v>
      </c>
      <c r="E133" s="34" t="s">
        <v>2077</v>
      </c>
      <c r="F133" s="32" t="s">
        <v>1225</v>
      </c>
      <c r="G133" s="32" t="s">
        <v>1225</v>
      </c>
      <c r="H133" s="32" t="s">
        <v>1225</v>
      </c>
      <c r="I133" s="34" t="s">
        <v>2078</v>
      </c>
      <c r="J133" s="32" t="s">
        <v>1225</v>
      </c>
      <c r="K133" s="32" t="s">
        <v>1225</v>
      </c>
      <c r="L133" s="34" t="s">
        <v>2079</v>
      </c>
      <c r="M133" s="34" t="s">
        <v>313</v>
      </c>
      <c r="N133" s="32" t="s">
        <v>1225</v>
      </c>
      <c r="O133" s="32" t="s">
        <v>1225</v>
      </c>
      <c r="P133" s="32" t="s">
        <v>1225</v>
      </c>
      <c r="Q133" s="34" t="s">
        <v>1227</v>
      </c>
      <c r="R133" s="32" t="s">
        <v>1225</v>
      </c>
      <c r="S133" s="32" t="s">
        <v>1225</v>
      </c>
      <c r="T133" s="32" t="s">
        <v>1225</v>
      </c>
      <c r="U133" s="32" t="s">
        <v>1225</v>
      </c>
      <c r="V133" s="32" t="s">
        <v>1225</v>
      </c>
      <c r="W133" s="34" t="s">
        <v>2080</v>
      </c>
      <c r="X133" s="34" t="s">
        <v>2081</v>
      </c>
      <c r="Y133" s="34" t="s">
        <v>2082</v>
      </c>
      <c r="Z133" s="32" t="s">
        <v>1225</v>
      </c>
      <c r="AA133" s="32" t="s">
        <v>1225</v>
      </c>
      <c r="AB133" s="32" t="s">
        <v>1225</v>
      </c>
      <c r="AC133" s="32" t="s">
        <v>1225</v>
      </c>
      <c r="AD133" s="32" t="s">
        <v>1225</v>
      </c>
      <c r="AE133" s="32" t="s">
        <v>1225</v>
      </c>
      <c r="AF133" s="32" t="s">
        <v>1225</v>
      </c>
      <c r="AG133" s="32" t="s">
        <v>1225</v>
      </c>
      <c r="AH133" s="32" t="s">
        <v>1225</v>
      </c>
      <c r="AI133" s="32" t="s">
        <v>1225</v>
      </c>
      <c r="AJ133" s="32" t="s">
        <v>1225</v>
      </c>
      <c r="AK133" s="32" t="s">
        <v>1225</v>
      </c>
      <c r="AL133" s="32" t="s">
        <v>1225</v>
      </c>
      <c r="AM133" s="32" t="s">
        <v>1225</v>
      </c>
      <c r="AN133" s="32" t="s">
        <v>1225</v>
      </c>
      <c r="AO133" s="32" t="s">
        <v>1225</v>
      </c>
      <c r="AP133" s="32" t="s">
        <v>1225</v>
      </c>
      <c r="AQ133" s="32" t="s">
        <v>1225</v>
      </c>
      <c r="AR133" s="32" t="s">
        <v>1225</v>
      </c>
      <c r="AS133" s="32" t="s">
        <v>1225</v>
      </c>
      <c r="AT133" s="32" t="s">
        <v>1225</v>
      </c>
      <c r="AU133" s="32" t="s">
        <v>1225</v>
      </c>
      <c r="AV133" s="32" t="s">
        <v>1225</v>
      </c>
      <c r="AW133" s="34" t="s">
        <v>1285</v>
      </c>
      <c r="AX133" s="34">
        <v>2020</v>
      </c>
      <c r="AY133" s="32">
        <v>117</v>
      </c>
      <c r="AZ133" s="32" t="s">
        <v>1225</v>
      </c>
      <c r="BA133" s="32" t="s">
        <v>1225</v>
      </c>
      <c r="BB133" s="32" t="s">
        <v>1225</v>
      </c>
      <c r="BC133" s="32" t="s">
        <v>1225</v>
      </c>
      <c r="BD133" s="32" t="s">
        <v>1225</v>
      </c>
      <c r="BE133" s="32" t="s">
        <v>1225</v>
      </c>
      <c r="BF133" s="32" t="s">
        <v>1225</v>
      </c>
      <c r="BG133" s="32">
        <v>105628</v>
      </c>
      <c r="BH133" s="34" t="s">
        <v>2083</v>
      </c>
      <c r="BI133" s="34" t="str">
        <f>HYPERLINK("http://dx.doi.org/10.1016/j.ijepes.2019.105628","http://dx.doi.org/10.1016/j.ijepes.2019.105628")</f>
        <v>http://dx.doi.org/10.1016/j.ijepes.2019.105628</v>
      </c>
      <c r="BJ133" s="32" t="s">
        <v>1225</v>
      </c>
      <c r="BK133" s="32" t="s">
        <v>1225</v>
      </c>
      <c r="BL133" s="32" t="s">
        <v>1225</v>
      </c>
      <c r="BM133" s="32" t="s">
        <v>1225</v>
      </c>
      <c r="BN133" s="32" t="s">
        <v>1225</v>
      </c>
      <c r="BO133" s="32" t="s">
        <v>1225</v>
      </c>
      <c r="BP133" s="32" t="s">
        <v>1225</v>
      </c>
      <c r="BQ133" s="32" t="s">
        <v>1225</v>
      </c>
      <c r="BR133" s="32" t="s">
        <v>1225</v>
      </c>
      <c r="BS133" s="32" t="s">
        <v>1225</v>
      </c>
      <c r="BT133" s="32" t="s">
        <v>1225</v>
      </c>
      <c r="BU133" s="32" t="s">
        <v>1225</v>
      </c>
      <c r="BV133" s="32" t="s">
        <v>1225</v>
      </c>
      <c r="BW133" s="32" t="str">
        <f t="shared" si="4"/>
        <v>View Full Record in Web of Science</v>
      </c>
      <c r="BY133" s="41" t="str">
        <f>IF(Deletion!J133=TRUE,"Yes","No")</f>
        <v>No</v>
      </c>
    </row>
    <row r="134" spans="1:77" x14ac:dyDescent="0.15">
      <c r="A134" s="32">
        <f t="shared" si="5"/>
        <v>133</v>
      </c>
      <c r="D134" s="32" t="s">
        <v>1223</v>
      </c>
      <c r="E134" s="32" t="s">
        <v>2084</v>
      </c>
      <c r="F134" s="32" t="s">
        <v>1225</v>
      </c>
      <c r="G134" s="32" t="s">
        <v>1225</v>
      </c>
      <c r="H134" s="32" t="s">
        <v>1225</v>
      </c>
      <c r="I134" s="32" t="s">
        <v>2085</v>
      </c>
      <c r="J134" s="32" t="s">
        <v>1225</v>
      </c>
      <c r="K134" s="32" t="s">
        <v>1225</v>
      </c>
      <c r="L134" s="32" t="s">
        <v>2086</v>
      </c>
      <c r="M134" s="32" t="s">
        <v>97</v>
      </c>
      <c r="N134" s="32" t="s">
        <v>1225</v>
      </c>
      <c r="O134" s="32" t="s">
        <v>1225</v>
      </c>
      <c r="P134" s="32" t="s">
        <v>1225</v>
      </c>
      <c r="Q134" s="32" t="s">
        <v>1227</v>
      </c>
      <c r="R134" s="32" t="s">
        <v>1225</v>
      </c>
      <c r="S134" s="32" t="s">
        <v>1225</v>
      </c>
      <c r="T134" s="32" t="s">
        <v>1225</v>
      </c>
      <c r="U134" s="32" t="s">
        <v>1225</v>
      </c>
      <c r="V134" s="32" t="s">
        <v>1225</v>
      </c>
      <c r="W134" s="32" t="s">
        <v>2087</v>
      </c>
      <c r="X134" s="32" t="s">
        <v>2088</v>
      </c>
      <c r="Y134" s="32" t="s">
        <v>2089</v>
      </c>
      <c r="Z134" s="32" t="s">
        <v>1225</v>
      </c>
      <c r="AA134" s="32" t="s">
        <v>1225</v>
      </c>
      <c r="AB134" s="32" t="s">
        <v>1225</v>
      </c>
      <c r="AC134" s="32" t="s">
        <v>1225</v>
      </c>
      <c r="AD134" s="32" t="s">
        <v>1225</v>
      </c>
      <c r="AE134" s="32" t="s">
        <v>1225</v>
      </c>
      <c r="AF134" s="32" t="s">
        <v>1225</v>
      </c>
      <c r="AG134" s="32" t="s">
        <v>1225</v>
      </c>
      <c r="AH134" s="32" t="s">
        <v>1225</v>
      </c>
      <c r="AI134" s="32" t="s">
        <v>1225</v>
      </c>
      <c r="AJ134" s="32" t="s">
        <v>1225</v>
      </c>
      <c r="AK134" s="32" t="s">
        <v>1225</v>
      </c>
      <c r="AL134" s="32" t="s">
        <v>1225</v>
      </c>
      <c r="AM134" s="32" t="s">
        <v>1225</v>
      </c>
      <c r="AN134" s="32" t="s">
        <v>1225</v>
      </c>
      <c r="AO134" s="32" t="s">
        <v>1225</v>
      </c>
      <c r="AP134" s="32" t="s">
        <v>1225</v>
      </c>
      <c r="AQ134" s="32" t="s">
        <v>1225</v>
      </c>
      <c r="AR134" s="32" t="s">
        <v>1225</v>
      </c>
      <c r="AS134" s="32" t="s">
        <v>1225</v>
      </c>
      <c r="AT134" s="32" t="s">
        <v>1225</v>
      </c>
      <c r="AU134" s="32" t="s">
        <v>1225</v>
      </c>
      <c r="AV134" s="32" t="s">
        <v>1225</v>
      </c>
      <c r="AW134" s="32" t="s">
        <v>2090</v>
      </c>
      <c r="AX134" s="32">
        <v>2020</v>
      </c>
      <c r="AY134" s="32">
        <v>276</v>
      </c>
      <c r="AZ134" s="32" t="s">
        <v>1225</v>
      </c>
      <c r="BA134" s="32" t="s">
        <v>1225</v>
      </c>
      <c r="BB134" s="32" t="s">
        <v>1225</v>
      </c>
      <c r="BC134" s="32" t="s">
        <v>1225</v>
      </c>
      <c r="BD134" s="32" t="s">
        <v>1225</v>
      </c>
      <c r="BE134" s="32" t="s">
        <v>1225</v>
      </c>
      <c r="BF134" s="32" t="s">
        <v>1225</v>
      </c>
      <c r="BG134" s="32">
        <v>115455</v>
      </c>
      <c r="BH134" s="32" t="s">
        <v>2091</v>
      </c>
      <c r="BI134" s="32" t="str">
        <f>HYPERLINK("http://dx.doi.org/10.1016/j.apenergy.2020.115455","http://dx.doi.org/10.1016/j.apenergy.2020.115455")</f>
        <v>http://dx.doi.org/10.1016/j.apenergy.2020.115455</v>
      </c>
      <c r="BJ134" s="32" t="s">
        <v>1225</v>
      </c>
      <c r="BK134" s="32" t="s">
        <v>1225</v>
      </c>
      <c r="BL134" s="32" t="s">
        <v>1225</v>
      </c>
      <c r="BM134" s="32" t="s">
        <v>1225</v>
      </c>
      <c r="BN134" s="32" t="s">
        <v>1225</v>
      </c>
      <c r="BO134" s="32" t="s">
        <v>1225</v>
      </c>
      <c r="BP134" s="32" t="s">
        <v>1225</v>
      </c>
      <c r="BQ134" s="32" t="s">
        <v>1225</v>
      </c>
      <c r="BR134" s="32" t="s">
        <v>1225</v>
      </c>
      <c r="BS134" s="32" t="s">
        <v>1225</v>
      </c>
      <c r="BT134" s="32" t="s">
        <v>1225</v>
      </c>
      <c r="BU134" s="32" t="s">
        <v>1225</v>
      </c>
      <c r="BV134" s="32" t="s">
        <v>1225</v>
      </c>
      <c r="BW134" s="32" t="str">
        <f t="shared" si="4"/>
        <v>View Full Record in Web of Science</v>
      </c>
      <c r="BY134" s="41" t="str">
        <f>IF(Deletion!J134=TRUE,"Yes","No")</f>
        <v>Yes</v>
      </c>
    </row>
    <row r="135" spans="1:77" x14ac:dyDescent="0.15">
      <c r="A135" s="32">
        <f t="shared" si="5"/>
        <v>134</v>
      </c>
      <c r="D135" s="32" t="s">
        <v>1223</v>
      </c>
      <c r="E135" s="32" t="s">
        <v>2092</v>
      </c>
      <c r="F135" s="32" t="s">
        <v>1225</v>
      </c>
      <c r="G135" s="32" t="s">
        <v>1225</v>
      </c>
      <c r="H135" s="32" t="s">
        <v>1225</v>
      </c>
      <c r="I135" s="32" t="s">
        <v>2093</v>
      </c>
      <c r="J135" s="32" t="s">
        <v>1225</v>
      </c>
      <c r="K135" s="32" t="s">
        <v>1225</v>
      </c>
      <c r="L135" s="32" t="s">
        <v>2094</v>
      </c>
      <c r="M135" s="32" t="s">
        <v>2044</v>
      </c>
      <c r="N135" s="32" t="s">
        <v>1225</v>
      </c>
      <c r="O135" s="32" t="s">
        <v>1225</v>
      </c>
      <c r="P135" s="32" t="s">
        <v>1225</v>
      </c>
      <c r="Q135" s="32" t="s">
        <v>1227</v>
      </c>
      <c r="R135" s="32" t="s">
        <v>1225</v>
      </c>
      <c r="S135" s="32" t="s">
        <v>1225</v>
      </c>
      <c r="T135" s="32" t="s">
        <v>1225</v>
      </c>
      <c r="U135" s="32" t="s">
        <v>1225</v>
      </c>
      <c r="V135" s="32" t="s">
        <v>1225</v>
      </c>
      <c r="W135" s="32" t="s">
        <v>2095</v>
      </c>
      <c r="X135" s="32" t="s">
        <v>2096</v>
      </c>
      <c r="Y135" s="32" t="s">
        <v>2097</v>
      </c>
      <c r="Z135" s="32" t="s">
        <v>1225</v>
      </c>
      <c r="AA135" s="32" t="s">
        <v>1225</v>
      </c>
      <c r="AB135" s="32" t="s">
        <v>1225</v>
      </c>
      <c r="AC135" s="32" t="s">
        <v>1225</v>
      </c>
      <c r="AD135" s="32" t="s">
        <v>1225</v>
      </c>
      <c r="AE135" s="32" t="s">
        <v>1225</v>
      </c>
      <c r="AF135" s="32" t="s">
        <v>1225</v>
      </c>
      <c r="AG135" s="32" t="s">
        <v>1225</v>
      </c>
      <c r="AH135" s="32" t="s">
        <v>1225</v>
      </c>
      <c r="AI135" s="32" t="s">
        <v>1225</v>
      </c>
      <c r="AJ135" s="32" t="s">
        <v>1225</v>
      </c>
      <c r="AK135" s="32" t="s">
        <v>1225</v>
      </c>
      <c r="AL135" s="32" t="s">
        <v>1225</v>
      </c>
      <c r="AM135" s="32" t="s">
        <v>1225</v>
      </c>
      <c r="AN135" s="32" t="s">
        <v>1225</v>
      </c>
      <c r="AO135" s="32" t="s">
        <v>1225</v>
      </c>
      <c r="AP135" s="32" t="s">
        <v>1225</v>
      </c>
      <c r="AQ135" s="32" t="s">
        <v>1225</v>
      </c>
      <c r="AR135" s="32" t="s">
        <v>1225</v>
      </c>
      <c r="AS135" s="32" t="s">
        <v>1225</v>
      </c>
      <c r="AT135" s="32" t="s">
        <v>1225</v>
      </c>
      <c r="AU135" s="32" t="s">
        <v>1225</v>
      </c>
      <c r="AV135" s="32" t="s">
        <v>1225</v>
      </c>
      <c r="AW135" s="32" t="s">
        <v>1285</v>
      </c>
      <c r="AX135" s="32">
        <v>2019</v>
      </c>
      <c r="AY135" s="32">
        <v>68</v>
      </c>
      <c r="AZ135" s="32">
        <v>5</v>
      </c>
      <c r="BA135" s="32" t="s">
        <v>1225</v>
      </c>
      <c r="BB135" s="32" t="s">
        <v>1225</v>
      </c>
      <c r="BC135" s="32" t="s">
        <v>1225</v>
      </c>
      <c r="BD135" s="32" t="s">
        <v>1225</v>
      </c>
      <c r="BE135" s="32">
        <v>4404</v>
      </c>
      <c r="BF135" s="32">
        <v>4418</v>
      </c>
      <c r="BG135" s="32" t="s">
        <v>1225</v>
      </c>
      <c r="BH135" s="32" t="s">
        <v>2098</v>
      </c>
      <c r="BI135" s="32" t="str">
        <f>HYPERLINK("http://dx.doi.org/10.1109/TVT.2019.2904464","http://dx.doi.org/10.1109/TVT.2019.2904464")</f>
        <v>http://dx.doi.org/10.1109/TVT.2019.2904464</v>
      </c>
      <c r="BJ135" s="32" t="s">
        <v>1225</v>
      </c>
      <c r="BK135" s="32" t="s">
        <v>1225</v>
      </c>
      <c r="BL135" s="32" t="s">
        <v>1225</v>
      </c>
      <c r="BM135" s="32" t="s">
        <v>1225</v>
      </c>
      <c r="BN135" s="32" t="s">
        <v>1225</v>
      </c>
      <c r="BO135" s="32" t="s">
        <v>1225</v>
      </c>
      <c r="BP135" s="32" t="s">
        <v>1225</v>
      </c>
      <c r="BQ135" s="32" t="s">
        <v>1225</v>
      </c>
      <c r="BR135" s="32" t="s">
        <v>1225</v>
      </c>
      <c r="BS135" s="32" t="s">
        <v>1225</v>
      </c>
      <c r="BT135" s="32" t="s">
        <v>1225</v>
      </c>
      <c r="BU135" s="32" t="s">
        <v>1225</v>
      </c>
      <c r="BV135" s="32" t="s">
        <v>1225</v>
      </c>
      <c r="BW135" s="32" t="str">
        <f t="shared" si="4"/>
        <v>View Full Record in Web of Science</v>
      </c>
      <c r="BY135" s="41" t="str">
        <f>IF(Deletion!J135=TRUE,"Yes","No")</f>
        <v>Yes</v>
      </c>
    </row>
    <row r="136" spans="1:77" x14ac:dyDescent="0.15">
      <c r="A136" s="32">
        <f t="shared" si="5"/>
        <v>135</v>
      </c>
      <c r="D136" s="32" t="s">
        <v>1223</v>
      </c>
      <c r="E136" s="32" t="s">
        <v>2099</v>
      </c>
      <c r="F136" s="32" t="s">
        <v>1225</v>
      </c>
      <c r="G136" s="32" t="s">
        <v>1225</v>
      </c>
      <c r="H136" s="32" t="s">
        <v>1225</v>
      </c>
      <c r="I136" s="32" t="s">
        <v>2100</v>
      </c>
      <c r="J136" s="32" t="s">
        <v>1225</v>
      </c>
      <c r="K136" s="32" t="s">
        <v>1225</v>
      </c>
      <c r="L136" s="32" t="s">
        <v>2101</v>
      </c>
      <c r="M136" s="32" t="s">
        <v>97</v>
      </c>
      <c r="N136" s="32" t="s">
        <v>1225</v>
      </c>
      <c r="O136" s="32" t="s">
        <v>1225</v>
      </c>
      <c r="P136" s="32" t="s">
        <v>1225</v>
      </c>
      <c r="Q136" s="32" t="s">
        <v>1227</v>
      </c>
      <c r="R136" s="32" t="s">
        <v>1225</v>
      </c>
      <c r="S136" s="32" t="s">
        <v>1225</v>
      </c>
      <c r="T136" s="32" t="s">
        <v>1225</v>
      </c>
      <c r="U136" s="32" t="s">
        <v>1225</v>
      </c>
      <c r="V136" s="32" t="s">
        <v>1225</v>
      </c>
      <c r="W136" s="32" t="s">
        <v>2102</v>
      </c>
      <c r="X136" s="32" t="s">
        <v>2103</v>
      </c>
      <c r="Y136" s="32" t="s">
        <v>2104</v>
      </c>
      <c r="Z136" s="32" t="s">
        <v>1225</v>
      </c>
      <c r="AA136" s="32" t="s">
        <v>1225</v>
      </c>
      <c r="AB136" s="32" t="s">
        <v>1225</v>
      </c>
      <c r="AC136" s="32" t="s">
        <v>1225</v>
      </c>
      <c r="AD136" s="32" t="s">
        <v>1225</v>
      </c>
      <c r="AE136" s="32" t="s">
        <v>1225</v>
      </c>
      <c r="AF136" s="32" t="s">
        <v>1225</v>
      </c>
      <c r="AG136" s="32" t="s">
        <v>1225</v>
      </c>
      <c r="AH136" s="32" t="s">
        <v>1225</v>
      </c>
      <c r="AI136" s="32" t="s">
        <v>1225</v>
      </c>
      <c r="AJ136" s="32" t="s">
        <v>1225</v>
      </c>
      <c r="AK136" s="32" t="s">
        <v>1225</v>
      </c>
      <c r="AL136" s="32" t="s">
        <v>1225</v>
      </c>
      <c r="AM136" s="32" t="s">
        <v>1225</v>
      </c>
      <c r="AN136" s="32" t="s">
        <v>1225</v>
      </c>
      <c r="AO136" s="32" t="s">
        <v>1225</v>
      </c>
      <c r="AP136" s="32" t="s">
        <v>1225</v>
      </c>
      <c r="AQ136" s="32" t="s">
        <v>1225</v>
      </c>
      <c r="AR136" s="32" t="s">
        <v>1225</v>
      </c>
      <c r="AS136" s="32" t="s">
        <v>1225</v>
      </c>
      <c r="AT136" s="32" t="s">
        <v>1225</v>
      </c>
      <c r="AU136" s="32" t="s">
        <v>1225</v>
      </c>
      <c r="AV136" s="32" t="s">
        <v>1225</v>
      </c>
      <c r="AW136" s="32" t="s">
        <v>1399</v>
      </c>
      <c r="AX136" s="32">
        <v>2016</v>
      </c>
      <c r="AY136" s="32">
        <v>178</v>
      </c>
      <c r="AZ136" s="32" t="s">
        <v>1225</v>
      </c>
      <c r="BA136" s="32" t="s">
        <v>1225</v>
      </c>
      <c r="BB136" s="32" t="s">
        <v>1225</v>
      </c>
      <c r="BC136" s="32" t="s">
        <v>1225</v>
      </c>
      <c r="BD136" s="32" t="s">
        <v>1225</v>
      </c>
      <c r="BE136" s="32">
        <v>155</v>
      </c>
      <c r="BF136" s="32">
        <v>163</v>
      </c>
      <c r="BG136" s="32" t="s">
        <v>1225</v>
      </c>
      <c r="BH136" s="32" t="s">
        <v>2105</v>
      </c>
      <c r="BI136" s="32" t="str">
        <f>HYPERLINK("http://dx.doi.org/10.1016/j.apenergy.2016.06.025","http://dx.doi.org/10.1016/j.apenergy.2016.06.025")</f>
        <v>http://dx.doi.org/10.1016/j.apenergy.2016.06.025</v>
      </c>
      <c r="BJ136" s="32" t="s">
        <v>1225</v>
      </c>
      <c r="BK136" s="32" t="s">
        <v>1225</v>
      </c>
      <c r="BL136" s="32" t="s">
        <v>1225</v>
      </c>
      <c r="BM136" s="32" t="s">
        <v>1225</v>
      </c>
      <c r="BN136" s="32" t="s">
        <v>1225</v>
      </c>
      <c r="BO136" s="32" t="s">
        <v>1225</v>
      </c>
      <c r="BP136" s="32" t="s">
        <v>1225</v>
      </c>
      <c r="BQ136" s="32" t="s">
        <v>1225</v>
      </c>
      <c r="BR136" s="32" t="s">
        <v>1225</v>
      </c>
      <c r="BS136" s="32" t="s">
        <v>1225</v>
      </c>
      <c r="BT136" s="32" t="s">
        <v>1225</v>
      </c>
      <c r="BU136" s="32" t="s">
        <v>1225</v>
      </c>
      <c r="BV136" s="32" t="s">
        <v>1225</v>
      </c>
      <c r="BW136" s="32" t="str">
        <f t="shared" si="4"/>
        <v>View Full Record in Web of Science</v>
      </c>
      <c r="BY136" s="41" t="str">
        <f>IF(Deletion!J136=TRUE,"Yes","No")</f>
        <v>Yes</v>
      </c>
    </row>
    <row r="137" spans="1:77" x14ac:dyDescent="0.15">
      <c r="A137" s="34">
        <f t="shared" si="5"/>
        <v>136</v>
      </c>
      <c r="B137" s="34" t="s">
        <v>4</v>
      </c>
      <c r="C137" s="34" t="s">
        <v>4</v>
      </c>
      <c r="D137" s="34" t="s">
        <v>1223</v>
      </c>
      <c r="E137" s="34" t="s">
        <v>2106</v>
      </c>
      <c r="F137" s="32" t="s">
        <v>1225</v>
      </c>
      <c r="G137" s="32" t="s">
        <v>1225</v>
      </c>
      <c r="H137" s="32" t="s">
        <v>1225</v>
      </c>
      <c r="I137" s="34" t="s">
        <v>2107</v>
      </c>
      <c r="J137" s="32" t="s">
        <v>1225</v>
      </c>
      <c r="K137" s="32" t="s">
        <v>1225</v>
      </c>
      <c r="L137" s="34" t="s">
        <v>2108</v>
      </c>
      <c r="M137" s="34" t="s">
        <v>2109</v>
      </c>
      <c r="N137" s="32" t="s">
        <v>1225</v>
      </c>
      <c r="O137" s="32" t="s">
        <v>1225</v>
      </c>
      <c r="P137" s="32" t="s">
        <v>1225</v>
      </c>
      <c r="Q137" s="34" t="s">
        <v>1227</v>
      </c>
      <c r="R137" s="32" t="s">
        <v>1225</v>
      </c>
      <c r="S137" s="32" t="s">
        <v>1225</v>
      </c>
      <c r="T137" s="32" t="s">
        <v>1225</v>
      </c>
      <c r="U137" s="32" t="s">
        <v>1225</v>
      </c>
      <c r="V137" s="32" t="s">
        <v>1225</v>
      </c>
      <c r="W137" s="34" t="s">
        <v>2110</v>
      </c>
      <c r="X137" s="34" t="s">
        <v>1225</v>
      </c>
      <c r="Y137" s="34" t="s">
        <v>2111</v>
      </c>
      <c r="Z137" s="32" t="s">
        <v>1225</v>
      </c>
      <c r="AA137" s="32" t="s">
        <v>1225</v>
      </c>
      <c r="AB137" s="32" t="s">
        <v>1225</v>
      </c>
      <c r="AC137" s="32" t="s">
        <v>1225</v>
      </c>
      <c r="AD137" s="32" t="s">
        <v>1225</v>
      </c>
      <c r="AE137" s="32" t="s">
        <v>1225</v>
      </c>
      <c r="AF137" s="32" t="s">
        <v>1225</v>
      </c>
      <c r="AG137" s="32" t="s">
        <v>1225</v>
      </c>
      <c r="AH137" s="32" t="s">
        <v>1225</v>
      </c>
      <c r="AI137" s="32" t="s">
        <v>1225</v>
      </c>
      <c r="AJ137" s="32" t="s">
        <v>1225</v>
      </c>
      <c r="AK137" s="32" t="s">
        <v>1225</v>
      </c>
      <c r="AL137" s="32" t="s">
        <v>1225</v>
      </c>
      <c r="AM137" s="32" t="s">
        <v>1225</v>
      </c>
      <c r="AN137" s="32" t="s">
        <v>1225</v>
      </c>
      <c r="AO137" s="32" t="s">
        <v>1225</v>
      </c>
      <c r="AP137" s="32" t="s">
        <v>1225</v>
      </c>
      <c r="AQ137" s="32" t="s">
        <v>1225</v>
      </c>
      <c r="AR137" s="32" t="s">
        <v>1225</v>
      </c>
      <c r="AS137" s="32" t="s">
        <v>1225</v>
      </c>
      <c r="AT137" s="32" t="s">
        <v>1225</v>
      </c>
      <c r="AU137" s="32" t="s">
        <v>1225</v>
      </c>
      <c r="AV137" s="32" t="s">
        <v>1225</v>
      </c>
      <c r="AW137" s="34" t="s">
        <v>1285</v>
      </c>
      <c r="AX137" s="34">
        <v>2020</v>
      </c>
      <c r="AY137" s="32">
        <v>3</v>
      </c>
      <c r="AZ137" s="32">
        <v>3</v>
      </c>
      <c r="BA137" s="32" t="s">
        <v>1225</v>
      </c>
      <c r="BB137" s="32" t="s">
        <v>1225</v>
      </c>
      <c r="BC137" s="32" t="s">
        <v>1225</v>
      </c>
      <c r="BD137" s="32" t="s">
        <v>1225</v>
      </c>
      <c r="BE137" s="32" t="s">
        <v>1225</v>
      </c>
      <c r="BF137" s="32" t="s">
        <v>1225</v>
      </c>
      <c r="BG137" s="32" t="s">
        <v>2112</v>
      </c>
      <c r="BH137" s="34" t="s">
        <v>2113</v>
      </c>
      <c r="BI137" s="34" t="str">
        <f>HYPERLINK("http://dx.doi.org/10.1002/itl2.161","http://dx.doi.org/10.1002/itl2.161")</f>
        <v>http://dx.doi.org/10.1002/itl2.161</v>
      </c>
      <c r="BJ137" s="32" t="s">
        <v>1225</v>
      </c>
      <c r="BK137" s="32" t="s">
        <v>1225</v>
      </c>
      <c r="BL137" s="32" t="s">
        <v>1225</v>
      </c>
      <c r="BM137" s="32" t="s">
        <v>1225</v>
      </c>
      <c r="BN137" s="32" t="s">
        <v>1225</v>
      </c>
      <c r="BO137" s="32" t="s">
        <v>1225</v>
      </c>
      <c r="BP137" s="32" t="s">
        <v>1225</v>
      </c>
      <c r="BQ137" s="32" t="s">
        <v>1225</v>
      </c>
      <c r="BR137" s="32" t="s">
        <v>1225</v>
      </c>
      <c r="BS137" s="32" t="s">
        <v>1225</v>
      </c>
      <c r="BT137" s="32" t="s">
        <v>1225</v>
      </c>
      <c r="BU137" s="32" t="s">
        <v>1225</v>
      </c>
      <c r="BV137" s="32" t="s">
        <v>1225</v>
      </c>
      <c r="BW137" s="32" t="str">
        <f t="shared" si="4"/>
        <v>View Full Record in Web of Science</v>
      </c>
      <c r="BY137" s="41" t="str">
        <f>IF(Deletion!J137=TRUE,"Yes","No")</f>
        <v>No</v>
      </c>
    </row>
    <row r="138" spans="1:77" x14ac:dyDescent="0.15">
      <c r="A138" s="34">
        <f t="shared" si="5"/>
        <v>137</v>
      </c>
      <c r="B138" s="34" t="s">
        <v>4</v>
      </c>
      <c r="C138" s="34" t="s">
        <v>4</v>
      </c>
      <c r="D138" s="34" t="s">
        <v>1223</v>
      </c>
      <c r="E138" s="34" t="s">
        <v>2114</v>
      </c>
      <c r="F138" s="32" t="s">
        <v>1225</v>
      </c>
      <c r="G138" s="32" t="s">
        <v>1225</v>
      </c>
      <c r="H138" s="32" t="s">
        <v>1225</v>
      </c>
      <c r="I138" s="34" t="s">
        <v>2115</v>
      </c>
      <c r="J138" s="32" t="s">
        <v>1225</v>
      </c>
      <c r="K138" s="32" t="s">
        <v>1225</v>
      </c>
      <c r="L138" s="34" t="s">
        <v>2116</v>
      </c>
      <c r="M138" s="34" t="s">
        <v>2117</v>
      </c>
      <c r="N138" s="32" t="s">
        <v>1225</v>
      </c>
      <c r="O138" s="32" t="s">
        <v>1225</v>
      </c>
      <c r="P138" s="32" t="s">
        <v>1225</v>
      </c>
      <c r="Q138" s="34" t="s">
        <v>1227</v>
      </c>
      <c r="R138" s="32" t="s">
        <v>1225</v>
      </c>
      <c r="S138" s="32" t="s">
        <v>1225</v>
      </c>
      <c r="T138" s="32" t="s">
        <v>1225</v>
      </c>
      <c r="U138" s="32" t="s">
        <v>1225</v>
      </c>
      <c r="V138" s="32" t="s">
        <v>1225</v>
      </c>
      <c r="W138" s="34" t="s">
        <v>2118</v>
      </c>
      <c r="X138" s="34" t="s">
        <v>2119</v>
      </c>
      <c r="Y138" s="34" t="s">
        <v>2120</v>
      </c>
      <c r="Z138" s="32" t="s">
        <v>1225</v>
      </c>
      <c r="AA138" s="32" t="s">
        <v>1225</v>
      </c>
      <c r="AB138" s="32" t="s">
        <v>1225</v>
      </c>
      <c r="AC138" s="32" t="s">
        <v>1225</v>
      </c>
      <c r="AD138" s="32" t="s">
        <v>1225</v>
      </c>
      <c r="AE138" s="32" t="s">
        <v>1225</v>
      </c>
      <c r="AF138" s="32" t="s">
        <v>1225</v>
      </c>
      <c r="AG138" s="32" t="s">
        <v>1225</v>
      </c>
      <c r="AH138" s="32" t="s">
        <v>1225</v>
      </c>
      <c r="AI138" s="32" t="s">
        <v>1225</v>
      </c>
      <c r="AJ138" s="32" t="s">
        <v>1225</v>
      </c>
      <c r="AK138" s="32" t="s">
        <v>1225</v>
      </c>
      <c r="AL138" s="32" t="s">
        <v>1225</v>
      </c>
      <c r="AM138" s="32" t="s">
        <v>1225</v>
      </c>
      <c r="AN138" s="32" t="s">
        <v>1225</v>
      </c>
      <c r="AO138" s="32" t="s">
        <v>1225</v>
      </c>
      <c r="AP138" s="32" t="s">
        <v>1225</v>
      </c>
      <c r="AQ138" s="32" t="s">
        <v>1225</v>
      </c>
      <c r="AR138" s="32" t="s">
        <v>1225</v>
      </c>
      <c r="AS138" s="32" t="s">
        <v>1225</v>
      </c>
      <c r="AT138" s="32" t="s">
        <v>1225</v>
      </c>
      <c r="AU138" s="32" t="s">
        <v>1225</v>
      </c>
      <c r="AV138" s="32" t="s">
        <v>1225</v>
      </c>
      <c r="AW138" s="34" t="s">
        <v>1225</v>
      </c>
      <c r="AX138" s="34">
        <v>2019</v>
      </c>
      <c r="AY138" s="32">
        <v>40</v>
      </c>
      <c r="AZ138" s="32">
        <v>5</v>
      </c>
      <c r="BA138" s="32" t="s">
        <v>1225</v>
      </c>
      <c r="BB138" s="32" t="s">
        <v>1225</v>
      </c>
      <c r="BC138" s="32" t="s">
        <v>1225</v>
      </c>
      <c r="BD138" s="32" t="s">
        <v>1225</v>
      </c>
      <c r="BE138" s="32">
        <v>504</v>
      </c>
      <c r="BF138" s="32">
        <v>516</v>
      </c>
      <c r="BG138" s="32" t="s">
        <v>1225</v>
      </c>
      <c r="BH138" s="34" t="s">
        <v>2121</v>
      </c>
      <c r="BI138" s="34" t="str">
        <f>HYPERLINK("http://dx.doi.org/10.1080/01430750.2017.1412349","http://dx.doi.org/10.1080/01430750.2017.1412349")</f>
        <v>http://dx.doi.org/10.1080/01430750.2017.1412349</v>
      </c>
      <c r="BJ138" s="32" t="s">
        <v>1225</v>
      </c>
      <c r="BK138" s="32" t="s">
        <v>1225</v>
      </c>
      <c r="BL138" s="32" t="s">
        <v>1225</v>
      </c>
      <c r="BM138" s="32" t="s">
        <v>1225</v>
      </c>
      <c r="BN138" s="32" t="s">
        <v>1225</v>
      </c>
      <c r="BO138" s="32" t="s">
        <v>1225</v>
      </c>
      <c r="BP138" s="32" t="s">
        <v>1225</v>
      </c>
      <c r="BQ138" s="32" t="s">
        <v>1225</v>
      </c>
      <c r="BR138" s="32" t="s">
        <v>1225</v>
      </c>
      <c r="BS138" s="32" t="s">
        <v>1225</v>
      </c>
      <c r="BT138" s="32" t="s">
        <v>1225</v>
      </c>
      <c r="BU138" s="32" t="s">
        <v>1225</v>
      </c>
      <c r="BV138" s="32" t="s">
        <v>1225</v>
      </c>
      <c r="BW138" s="32" t="str">
        <f t="shared" si="4"/>
        <v>View Full Record in Web of Science</v>
      </c>
      <c r="BY138" s="41" t="str">
        <f>IF(Deletion!J138=TRUE,"Yes","No")</f>
        <v>No</v>
      </c>
    </row>
    <row r="139" spans="1:77" x14ac:dyDescent="0.15">
      <c r="A139" s="32">
        <f t="shared" si="5"/>
        <v>138</v>
      </c>
      <c r="D139" s="32" t="s">
        <v>1223</v>
      </c>
      <c r="E139" s="32" t="s">
        <v>2122</v>
      </c>
      <c r="F139" s="32" t="s">
        <v>1225</v>
      </c>
      <c r="G139" s="32" t="s">
        <v>1225</v>
      </c>
      <c r="H139" s="32" t="s">
        <v>1225</v>
      </c>
      <c r="I139" s="32" t="s">
        <v>2123</v>
      </c>
      <c r="J139" s="32" t="s">
        <v>1225</v>
      </c>
      <c r="K139" s="32" t="s">
        <v>1225</v>
      </c>
      <c r="L139" s="32" t="s">
        <v>2124</v>
      </c>
      <c r="M139" s="32" t="s">
        <v>422</v>
      </c>
      <c r="N139" s="32" t="s">
        <v>1225</v>
      </c>
      <c r="O139" s="32" t="s">
        <v>1225</v>
      </c>
      <c r="P139" s="32" t="s">
        <v>1225</v>
      </c>
      <c r="Q139" s="32" t="s">
        <v>1227</v>
      </c>
      <c r="R139" s="32" t="s">
        <v>1225</v>
      </c>
      <c r="S139" s="32" t="s">
        <v>1225</v>
      </c>
      <c r="T139" s="32" t="s">
        <v>1225</v>
      </c>
      <c r="U139" s="32" t="s">
        <v>1225</v>
      </c>
      <c r="V139" s="32" t="s">
        <v>1225</v>
      </c>
      <c r="W139" s="32" t="s">
        <v>2125</v>
      </c>
      <c r="X139" s="32" t="s">
        <v>2126</v>
      </c>
      <c r="Y139" s="32" t="s">
        <v>2127</v>
      </c>
      <c r="Z139" s="32" t="s">
        <v>1225</v>
      </c>
      <c r="AA139" s="32" t="s">
        <v>1225</v>
      </c>
      <c r="AB139" s="32" t="s">
        <v>1225</v>
      </c>
      <c r="AC139" s="32" t="s">
        <v>1225</v>
      </c>
      <c r="AD139" s="32" t="s">
        <v>1225</v>
      </c>
      <c r="AE139" s="32" t="s">
        <v>1225</v>
      </c>
      <c r="AF139" s="32" t="s">
        <v>1225</v>
      </c>
      <c r="AG139" s="32" t="s">
        <v>1225</v>
      </c>
      <c r="AH139" s="32" t="s">
        <v>1225</v>
      </c>
      <c r="AI139" s="32" t="s">
        <v>1225</v>
      </c>
      <c r="AJ139" s="32" t="s">
        <v>1225</v>
      </c>
      <c r="AK139" s="32" t="s">
        <v>1225</v>
      </c>
      <c r="AL139" s="32" t="s">
        <v>1225</v>
      </c>
      <c r="AM139" s="32" t="s">
        <v>1225</v>
      </c>
      <c r="AN139" s="32" t="s">
        <v>1225</v>
      </c>
      <c r="AO139" s="32" t="s">
        <v>1225</v>
      </c>
      <c r="AP139" s="32" t="s">
        <v>1225</v>
      </c>
      <c r="AQ139" s="32" t="s">
        <v>1225</v>
      </c>
      <c r="AR139" s="32" t="s">
        <v>1225</v>
      </c>
      <c r="AS139" s="32" t="s">
        <v>1225</v>
      </c>
      <c r="AT139" s="32" t="s">
        <v>1225</v>
      </c>
      <c r="AU139" s="32" t="s">
        <v>1225</v>
      </c>
      <c r="AV139" s="32" t="s">
        <v>1225</v>
      </c>
      <c r="AW139" s="32" t="s">
        <v>1285</v>
      </c>
      <c r="AX139" s="32">
        <v>2022</v>
      </c>
      <c r="AY139" s="32">
        <v>15</v>
      </c>
      <c r="AZ139" s="32">
        <v>10</v>
      </c>
      <c r="BA139" s="32" t="s">
        <v>1225</v>
      </c>
      <c r="BB139" s="32" t="s">
        <v>1225</v>
      </c>
      <c r="BC139" s="32" t="s">
        <v>1225</v>
      </c>
      <c r="BD139" s="32" t="s">
        <v>1225</v>
      </c>
      <c r="BE139" s="32" t="s">
        <v>1225</v>
      </c>
      <c r="BF139" s="32" t="s">
        <v>1225</v>
      </c>
      <c r="BG139" s="32">
        <v>3714</v>
      </c>
      <c r="BH139" s="32" t="s">
        <v>2128</v>
      </c>
      <c r="BI139" s="32" t="str">
        <f>HYPERLINK("http://dx.doi.org/10.3390/en15103714","http://dx.doi.org/10.3390/en15103714")</f>
        <v>http://dx.doi.org/10.3390/en15103714</v>
      </c>
      <c r="BJ139" s="32" t="s">
        <v>1225</v>
      </c>
      <c r="BK139" s="32" t="s">
        <v>1225</v>
      </c>
      <c r="BL139" s="32" t="s">
        <v>1225</v>
      </c>
      <c r="BM139" s="32" t="s">
        <v>1225</v>
      </c>
      <c r="BN139" s="32" t="s">
        <v>1225</v>
      </c>
      <c r="BO139" s="32" t="s">
        <v>1225</v>
      </c>
      <c r="BP139" s="32" t="s">
        <v>1225</v>
      </c>
      <c r="BQ139" s="32" t="s">
        <v>1225</v>
      </c>
      <c r="BR139" s="32" t="s">
        <v>1225</v>
      </c>
      <c r="BS139" s="32" t="s">
        <v>1225</v>
      </c>
      <c r="BT139" s="32" t="s">
        <v>1225</v>
      </c>
      <c r="BU139" s="32" t="s">
        <v>1225</v>
      </c>
      <c r="BV139" s="32" t="s">
        <v>1225</v>
      </c>
      <c r="BW139" s="32" t="str">
        <f t="shared" si="4"/>
        <v>View Full Record in Web of Science</v>
      </c>
      <c r="BY139" s="41" t="str">
        <f>IF(Deletion!J139=TRUE,"Yes","No")</f>
        <v>Yes</v>
      </c>
    </row>
    <row r="140" spans="1:77" x14ac:dyDescent="0.15">
      <c r="A140" s="32">
        <f t="shared" si="5"/>
        <v>139</v>
      </c>
      <c r="D140" s="32" t="s">
        <v>1223</v>
      </c>
      <c r="E140" s="32" t="s">
        <v>2129</v>
      </c>
      <c r="F140" s="32" t="s">
        <v>1225</v>
      </c>
      <c r="G140" s="32" t="s">
        <v>1225</v>
      </c>
      <c r="H140" s="32" t="s">
        <v>1225</v>
      </c>
      <c r="I140" s="32" t="s">
        <v>2130</v>
      </c>
      <c r="J140" s="32" t="s">
        <v>1225</v>
      </c>
      <c r="K140" s="32" t="s">
        <v>1225</v>
      </c>
      <c r="L140" s="32" t="s">
        <v>2131</v>
      </c>
      <c r="M140" s="32" t="s">
        <v>422</v>
      </c>
      <c r="N140" s="32" t="s">
        <v>1225</v>
      </c>
      <c r="O140" s="32" t="s">
        <v>1225</v>
      </c>
      <c r="P140" s="32" t="s">
        <v>1225</v>
      </c>
      <c r="Q140" s="32" t="s">
        <v>1227</v>
      </c>
      <c r="R140" s="32" t="s">
        <v>1225</v>
      </c>
      <c r="S140" s="32" t="s">
        <v>1225</v>
      </c>
      <c r="T140" s="32" t="s">
        <v>1225</v>
      </c>
      <c r="U140" s="32" t="s">
        <v>1225</v>
      </c>
      <c r="V140" s="32" t="s">
        <v>1225</v>
      </c>
      <c r="W140" s="32" t="s">
        <v>2132</v>
      </c>
      <c r="X140" s="32" t="s">
        <v>1225</v>
      </c>
      <c r="Y140" s="32" t="s">
        <v>2133</v>
      </c>
      <c r="Z140" s="32" t="s">
        <v>1225</v>
      </c>
      <c r="AA140" s="32" t="s">
        <v>1225</v>
      </c>
      <c r="AB140" s="32" t="s">
        <v>1225</v>
      </c>
      <c r="AC140" s="32" t="s">
        <v>1225</v>
      </c>
      <c r="AD140" s="32" t="s">
        <v>1225</v>
      </c>
      <c r="AE140" s="32" t="s">
        <v>1225</v>
      </c>
      <c r="AF140" s="32" t="s">
        <v>1225</v>
      </c>
      <c r="AG140" s="32" t="s">
        <v>1225</v>
      </c>
      <c r="AH140" s="32" t="s">
        <v>1225</v>
      </c>
      <c r="AI140" s="32" t="s">
        <v>1225</v>
      </c>
      <c r="AJ140" s="32" t="s">
        <v>1225</v>
      </c>
      <c r="AK140" s="32" t="s">
        <v>1225</v>
      </c>
      <c r="AL140" s="32" t="s">
        <v>1225</v>
      </c>
      <c r="AM140" s="32" t="s">
        <v>1225</v>
      </c>
      <c r="AN140" s="32" t="s">
        <v>1225</v>
      </c>
      <c r="AO140" s="32" t="s">
        <v>1225</v>
      </c>
      <c r="AP140" s="32" t="s">
        <v>1225</v>
      </c>
      <c r="AQ140" s="32" t="s">
        <v>1225</v>
      </c>
      <c r="AR140" s="32" t="s">
        <v>1225</v>
      </c>
      <c r="AS140" s="32" t="s">
        <v>1225</v>
      </c>
      <c r="AT140" s="32" t="s">
        <v>1225</v>
      </c>
      <c r="AU140" s="32" t="s">
        <v>1225</v>
      </c>
      <c r="AV140" s="32" t="s">
        <v>1225</v>
      </c>
      <c r="AW140" s="32" t="s">
        <v>1272</v>
      </c>
      <c r="AX140" s="32">
        <v>2022</v>
      </c>
      <c r="AY140" s="32">
        <v>15</v>
      </c>
      <c r="AZ140" s="32">
        <v>5</v>
      </c>
      <c r="BA140" s="32" t="s">
        <v>1225</v>
      </c>
      <c r="BB140" s="32" t="s">
        <v>1225</v>
      </c>
      <c r="BC140" s="32" t="s">
        <v>1225</v>
      </c>
      <c r="BD140" s="32" t="s">
        <v>1225</v>
      </c>
      <c r="BE140" s="32" t="s">
        <v>1225</v>
      </c>
      <c r="BF140" s="32" t="s">
        <v>1225</v>
      </c>
      <c r="BG140" s="32">
        <v>1660</v>
      </c>
      <c r="BH140" s="32" t="s">
        <v>2134</v>
      </c>
      <c r="BI140" s="32" t="str">
        <f>HYPERLINK("http://dx.doi.org/10.3390/en15051660","http://dx.doi.org/10.3390/en15051660")</f>
        <v>http://dx.doi.org/10.3390/en15051660</v>
      </c>
      <c r="BJ140" s="32" t="s">
        <v>1225</v>
      </c>
      <c r="BK140" s="32" t="s">
        <v>1225</v>
      </c>
      <c r="BL140" s="32" t="s">
        <v>1225</v>
      </c>
      <c r="BM140" s="32" t="s">
        <v>1225</v>
      </c>
      <c r="BN140" s="32" t="s">
        <v>1225</v>
      </c>
      <c r="BO140" s="32" t="s">
        <v>1225</v>
      </c>
      <c r="BP140" s="32" t="s">
        <v>1225</v>
      </c>
      <c r="BQ140" s="32" t="s">
        <v>1225</v>
      </c>
      <c r="BR140" s="32" t="s">
        <v>1225</v>
      </c>
      <c r="BS140" s="32" t="s">
        <v>1225</v>
      </c>
      <c r="BT140" s="32" t="s">
        <v>1225</v>
      </c>
      <c r="BU140" s="32" t="s">
        <v>1225</v>
      </c>
      <c r="BV140" s="32" t="s">
        <v>1225</v>
      </c>
      <c r="BW140" s="32" t="str">
        <f t="shared" si="4"/>
        <v>View Full Record in Web of Science</v>
      </c>
      <c r="BY140" s="41" t="str">
        <f>IF(Deletion!J140=TRUE,"Yes","No")</f>
        <v>Yes</v>
      </c>
    </row>
    <row r="141" spans="1:77" x14ac:dyDescent="0.15">
      <c r="A141" s="34">
        <f t="shared" si="5"/>
        <v>140</v>
      </c>
      <c r="B141" s="34" t="s">
        <v>4</v>
      </c>
      <c r="C141" s="34" t="s">
        <v>4</v>
      </c>
      <c r="D141" s="34" t="s">
        <v>1223</v>
      </c>
      <c r="E141" s="34" t="s">
        <v>2135</v>
      </c>
      <c r="F141" s="32" t="s">
        <v>1225</v>
      </c>
      <c r="G141" s="32" t="s">
        <v>1225</v>
      </c>
      <c r="H141" s="32" t="s">
        <v>1225</v>
      </c>
      <c r="I141" s="34" t="s">
        <v>2136</v>
      </c>
      <c r="J141" s="32" t="s">
        <v>1225</v>
      </c>
      <c r="K141" s="32" t="s">
        <v>1225</v>
      </c>
      <c r="L141" s="34" t="s">
        <v>2137</v>
      </c>
      <c r="M141" s="34" t="s">
        <v>2138</v>
      </c>
      <c r="N141" s="32" t="s">
        <v>1225</v>
      </c>
      <c r="O141" s="32" t="s">
        <v>1225</v>
      </c>
      <c r="P141" s="32" t="s">
        <v>1225</v>
      </c>
      <c r="Q141" s="34" t="s">
        <v>1227</v>
      </c>
      <c r="R141" s="32" t="s">
        <v>1225</v>
      </c>
      <c r="S141" s="32" t="s">
        <v>1225</v>
      </c>
      <c r="T141" s="32" t="s">
        <v>1225</v>
      </c>
      <c r="U141" s="32" t="s">
        <v>1225</v>
      </c>
      <c r="V141" s="32" t="s">
        <v>1225</v>
      </c>
      <c r="W141" s="34" t="s">
        <v>2139</v>
      </c>
      <c r="X141" s="34" t="s">
        <v>2140</v>
      </c>
      <c r="Y141" s="34" t="s">
        <v>2141</v>
      </c>
      <c r="Z141" s="32" t="s">
        <v>1225</v>
      </c>
      <c r="AA141" s="32" t="s">
        <v>1225</v>
      </c>
      <c r="AB141" s="32" t="s">
        <v>1225</v>
      </c>
      <c r="AC141" s="32" t="s">
        <v>1225</v>
      </c>
      <c r="AD141" s="32" t="s">
        <v>1225</v>
      </c>
      <c r="AE141" s="32" t="s">
        <v>1225</v>
      </c>
      <c r="AF141" s="32" t="s">
        <v>1225</v>
      </c>
      <c r="AG141" s="32" t="s">
        <v>1225</v>
      </c>
      <c r="AH141" s="32" t="s">
        <v>1225</v>
      </c>
      <c r="AI141" s="32" t="s">
        <v>1225</v>
      </c>
      <c r="AJ141" s="32" t="s">
        <v>1225</v>
      </c>
      <c r="AK141" s="32" t="s">
        <v>1225</v>
      </c>
      <c r="AL141" s="32" t="s">
        <v>1225</v>
      </c>
      <c r="AM141" s="32" t="s">
        <v>1225</v>
      </c>
      <c r="AN141" s="32" t="s">
        <v>1225</v>
      </c>
      <c r="AO141" s="32" t="s">
        <v>1225</v>
      </c>
      <c r="AP141" s="32" t="s">
        <v>1225</v>
      </c>
      <c r="AQ141" s="32" t="s">
        <v>1225</v>
      </c>
      <c r="AR141" s="32" t="s">
        <v>1225</v>
      </c>
      <c r="AS141" s="32" t="s">
        <v>1225</v>
      </c>
      <c r="AT141" s="32" t="s">
        <v>1225</v>
      </c>
      <c r="AU141" s="32" t="s">
        <v>1225</v>
      </c>
      <c r="AV141" s="32" t="s">
        <v>1225</v>
      </c>
      <c r="AW141" s="34" t="s">
        <v>1298</v>
      </c>
      <c r="AX141" s="34">
        <v>2021</v>
      </c>
      <c r="AY141" s="32">
        <v>4</v>
      </c>
      <c r="AZ141" s="32">
        <v>3</v>
      </c>
      <c r="BA141" s="32" t="s">
        <v>1225</v>
      </c>
      <c r="BB141" s="32" t="s">
        <v>1225</v>
      </c>
      <c r="BC141" s="32" t="s">
        <v>1225</v>
      </c>
      <c r="BD141" s="32" t="s">
        <v>1225</v>
      </c>
      <c r="BE141" s="32" t="s">
        <v>1225</v>
      </c>
      <c r="BF141" s="32" t="s">
        <v>1225</v>
      </c>
      <c r="BG141" s="32">
        <v>58</v>
      </c>
      <c r="BH141" s="34" t="s">
        <v>2142</v>
      </c>
      <c r="BI141" s="34" t="str">
        <f>HYPERLINK("http://dx.doi.org/10.3390/asi4030058","http://dx.doi.org/10.3390/asi4030058")</f>
        <v>http://dx.doi.org/10.3390/asi4030058</v>
      </c>
      <c r="BJ141" s="32" t="s">
        <v>1225</v>
      </c>
      <c r="BK141" s="32" t="s">
        <v>1225</v>
      </c>
      <c r="BL141" s="32" t="s">
        <v>1225</v>
      </c>
      <c r="BM141" s="32" t="s">
        <v>1225</v>
      </c>
      <c r="BN141" s="32" t="s">
        <v>1225</v>
      </c>
      <c r="BO141" s="32" t="s">
        <v>1225</v>
      </c>
      <c r="BP141" s="32" t="s">
        <v>1225</v>
      </c>
      <c r="BQ141" s="32" t="s">
        <v>1225</v>
      </c>
      <c r="BR141" s="32" t="s">
        <v>1225</v>
      </c>
      <c r="BS141" s="32" t="s">
        <v>1225</v>
      </c>
      <c r="BT141" s="32" t="s">
        <v>1225</v>
      </c>
      <c r="BU141" s="32" t="s">
        <v>1225</v>
      </c>
      <c r="BV141" s="32" t="s">
        <v>1225</v>
      </c>
      <c r="BW141" s="32" t="str">
        <f t="shared" si="4"/>
        <v>View Full Record in Web of Science</v>
      </c>
      <c r="BY141" s="41" t="str">
        <f>IF(Deletion!J141=TRUE,"Yes","No")</f>
        <v>No</v>
      </c>
    </row>
    <row r="142" spans="1:77" x14ac:dyDescent="0.15">
      <c r="A142" s="34">
        <f t="shared" si="5"/>
        <v>141</v>
      </c>
      <c r="B142" s="34" t="s">
        <v>4</v>
      </c>
      <c r="C142" s="34" t="s">
        <v>4</v>
      </c>
      <c r="D142" s="34" t="s">
        <v>1223</v>
      </c>
      <c r="E142" s="34" t="s">
        <v>2143</v>
      </c>
      <c r="F142" s="32" t="s">
        <v>1225</v>
      </c>
      <c r="G142" s="32" t="s">
        <v>1225</v>
      </c>
      <c r="H142" s="32" t="s">
        <v>1225</v>
      </c>
      <c r="I142" s="34" t="s">
        <v>2144</v>
      </c>
      <c r="J142" s="32" t="s">
        <v>1225</v>
      </c>
      <c r="K142" s="32" t="s">
        <v>1225</v>
      </c>
      <c r="L142" s="34" t="s">
        <v>2145</v>
      </c>
      <c r="M142" s="34" t="s">
        <v>2146</v>
      </c>
      <c r="N142" s="32" t="s">
        <v>1225</v>
      </c>
      <c r="O142" s="32" t="s">
        <v>1225</v>
      </c>
      <c r="P142" s="32" t="s">
        <v>1225</v>
      </c>
      <c r="Q142" s="34" t="s">
        <v>1227</v>
      </c>
      <c r="R142" s="32" t="s">
        <v>1225</v>
      </c>
      <c r="S142" s="32" t="s">
        <v>1225</v>
      </c>
      <c r="T142" s="32" t="s">
        <v>1225</v>
      </c>
      <c r="U142" s="32" t="s">
        <v>1225</v>
      </c>
      <c r="V142" s="32" t="s">
        <v>1225</v>
      </c>
      <c r="W142" s="34" t="s">
        <v>2147</v>
      </c>
      <c r="X142" s="34" t="s">
        <v>2148</v>
      </c>
      <c r="Y142" s="34" t="s">
        <v>2149</v>
      </c>
      <c r="Z142" s="32" t="s">
        <v>1225</v>
      </c>
      <c r="AA142" s="32" t="s">
        <v>1225</v>
      </c>
      <c r="AB142" s="32" t="s">
        <v>1225</v>
      </c>
      <c r="AC142" s="32" t="s">
        <v>1225</v>
      </c>
      <c r="AD142" s="32" t="s">
        <v>1225</v>
      </c>
      <c r="AE142" s="32" t="s">
        <v>1225</v>
      </c>
      <c r="AF142" s="32" t="s">
        <v>1225</v>
      </c>
      <c r="AG142" s="32" t="s">
        <v>1225</v>
      </c>
      <c r="AH142" s="32" t="s">
        <v>1225</v>
      </c>
      <c r="AI142" s="32" t="s">
        <v>1225</v>
      </c>
      <c r="AJ142" s="32" t="s">
        <v>1225</v>
      </c>
      <c r="AK142" s="32" t="s">
        <v>1225</v>
      </c>
      <c r="AL142" s="32" t="s">
        <v>1225</v>
      </c>
      <c r="AM142" s="32" t="s">
        <v>1225</v>
      </c>
      <c r="AN142" s="32" t="s">
        <v>1225</v>
      </c>
      <c r="AO142" s="32" t="s">
        <v>1225</v>
      </c>
      <c r="AP142" s="32" t="s">
        <v>1225</v>
      </c>
      <c r="AQ142" s="32" t="s">
        <v>1225</v>
      </c>
      <c r="AR142" s="32" t="s">
        <v>1225</v>
      </c>
      <c r="AS142" s="32" t="s">
        <v>1225</v>
      </c>
      <c r="AT142" s="32" t="s">
        <v>1225</v>
      </c>
      <c r="AU142" s="32" t="s">
        <v>1225</v>
      </c>
      <c r="AV142" s="32" t="s">
        <v>1225</v>
      </c>
      <c r="AW142" s="34" t="s">
        <v>2150</v>
      </c>
      <c r="AX142" s="34">
        <v>2021</v>
      </c>
      <c r="AY142" s="32">
        <v>21</v>
      </c>
      <c r="AZ142" s="32">
        <v>14</v>
      </c>
      <c r="BA142" s="32" t="s">
        <v>1225</v>
      </c>
      <c r="BB142" s="32" t="s">
        <v>1225</v>
      </c>
      <c r="BC142" s="32" t="s">
        <v>1225</v>
      </c>
      <c r="BD142" s="32" t="s">
        <v>1225</v>
      </c>
      <c r="BE142" s="32">
        <v>15504</v>
      </c>
      <c r="BF142" s="32">
        <v>15514</v>
      </c>
      <c r="BG142" s="32" t="s">
        <v>1225</v>
      </c>
      <c r="BH142" s="34" t="s">
        <v>2151</v>
      </c>
      <c r="BI142" s="34" t="str">
        <f>HYPERLINK("http://dx.doi.org/10.1109/JSEN.2020.3006706","http://dx.doi.org/10.1109/JSEN.2020.3006706")</f>
        <v>http://dx.doi.org/10.1109/JSEN.2020.3006706</v>
      </c>
      <c r="BJ142" s="32" t="s">
        <v>1225</v>
      </c>
      <c r="BK142" s="32" t="s">
        <v>1225</v>
      </c>
      <c r="BL142" s="32" t="s">
        <v>1225</v>
      </c>
      <c r="BM142" s="32" t="s">
        <v>1225</v>
      </c>
      <c r="BN142" s="32" t="s">
        <v>1225</v>
      </c>
      <c r="BO142" s="32" t="s">
        <v>1225</v>
      </c>
      <c r="BP142" s="32" t="s">
        <v>1225</v>
      </c>
      <c r="BQ142" s="32" t="s">
        <v>1225</v>
      </c>
      <c r="BR142" s="32" t="s">
        <v>1225</v>
      </c>
      <c r="BS142" s="32" t="s">
        <v>1225</v>
      </c>
      <c r="BT142" s="32" t="s">
        <v>1225</v>
      </c>
      <c r="BU142" s="32" t="s">
        <v>1225</v>
      </c>
      <c r="BV142" s="32" t="s">
        <v>1225</v>
      </c>
      <c r="BW142" s="32" t="str">
        <f t="shared" si="4"/>
        <v>View Full Record in Web of Science</v>
      </c>
      <c r="BY142" s="41" t="str">
        <f>IF(Deletion!J142=TRUE,"Yes","No")</f>
        <v>No</v>
      </c>
    </row>
    <row r="143" spans="1:77" x14ac:dyDescent="0.15">
      <c r="A143" s="34">
        <f t="shared" si="5"/>
        <v>142</v>
      </c>
      <c r="B143" s="34" t="s">
        <v>4</v>
      </c>
      <c r="C143" s="34" t="s">
        <v>4</v>
      </c>
      <c r="D143" s="34" t="s">
        <v>1223</v>
      </c>
      <c r="E143" s="34" t="s">
        <v>2152</v>
      </c>
      <c r="F143" s="32" t="s">
        <v>1225</v>
      </c>
      <c r="G143" s="32" t="s">
        <v>1225</v>
      </c>
      <c r="H143" s="32" t="s">
        <v>1225</v>
      </c>
      <c r="I143" s="34" t="s">
        <v>2153</v>
      </c>
      <c r="J143" s="32" t="s">
        <v>1225</v>
      </c>
      <c r="K143" s="32" t="s">
        <v>1225</v>
      </c>
      <c r="L143" s="34" t="s">
        <v>2154</v>
      </c>
      <c r="M143" s="34" t="s">
        <v>2155</v>
      </c>
      <c r="N143" s="32" t="s">
        <v>1225</v>
      </c>
      <c r="O143" s="32" t="s">
        <v>1225</v>
      </c>
      <c r="P143" s="32" t="s">
        <v>1225</v>
      </c>
      <c r="Q143" s="34" t="s">
        <v>1227</v>
      </c>
      <c r="R143" s="32" t="s">
        <v>1225</v>
      </c>
      <c r="S143" s="32" t="s">
        <v>1225</v>
      </c>
      <c r="T143" s="32" t="s">
        <v>1225</v>
      </c>
      <c r="U143" s="32" t="s">
        <v>1225</v>
      </c>
      <c r="V143" s="32" t="s">
        <v>1225</v>
      </c>
      <c r="W143" s="34" t="s">
        <v>2156</v>
      </c>
      <c r="X143" s="34" t="s">
        <v>2157</v>
      </c>
      <c r="Y143" s="34" t="s">
        <v>2158</v>
      </c>
      <c r="Z143" s="32" t="s">
        <v>1225</v>
      </c>
      <c r="AA143" s="32" t="s">
        <v>1225</v>
      </c>
      <c r="AB143" s="32" t="s">
        <v>1225</v>
      </c>
      <c r="AC143" s="32" t="s">
        <v>1225</v>
      </c>
      <c r="AD143" s="32" t="s">
        <v>1225</v>
      </c>
      <c r="AE143" s="32" t="s">
        <v>1225</v>
      </c>
      <c r="AF143" s="32" t="s">
        <v>1225</v>
      </c>
      <c r="AG143" s="32" t="s">
        <v>1225</v>
      </c>
      <c r="AH143" s="32" t="s">
        <v>1225</v>
      </c>
      <c r="AI143" s="32" t="s">
        <v>1225</v>
      </c>
      <c r="AJ143" s="32" t="s">
        <v>1225</v>
      </c>
      <c r="AK143" s="32" t="s">
        <v>1225</v>
      </c>
      <c r="AL143" s="32" t="s">
        <v>1225</v>
      </c>
      <c r="AM143" s="32" t="s">
        <v>1225</v>
      </c>
      <c r="AN143" s="32" t="s">
        <v>1225</v>
      </c>
      <c r="AO143" s="32" t="s">
        <v>1225</v>
      </c>
      <c r="AP143" s="32" t="s">
        <v>1225</v>
      </c>
      <c r="AQ143" s="32" t="s">
        <v>1225</v>
      </c>
      <c r="AR143" s="32" t="s">
        <v>1225</v>
      </c>
      <c r="AS143" s="32" t="s">
        <v>1225</v>
      </c>
      <c r="AT143" s="32" t="s">
        <v>1225</v>
      </c>
      <c r="AU143" s="32" t="s">
        <v>1225</v>
      </c>
      <c r="AV143" s="32" t="s">
        <v>1225</v>
      </c>
      <c r="AW143" s="34" t="s">
        <v>2159</v>
      </c>
      <c r="AX143" s="34">
        <v>2021</v>
      </c>
      <c r="AY143" s="32">
        <v>11</v>
      </c>
      <c r="AZ143" s="32">
        <v>1</v>
      </c>
      <c r="BA143" s="32" t="s">
        <v>1225</v>
      </c>
      <c r="BB143" s="32" t="s">
        <v>1225</v>
      </c>
      <c r="BC143" s="32" t="s">
        <v>1225</v>
      </c>
      <c r="BD143" s="32" t="s">
        <v>1225</v>
      </c>
      <c r="BE143" s="32" t="s">
        <v>1225</v>
      </c>
      <c r="BF143" s="32" t="s">
        <v>1225</v>
      </c>
      <c r="BG143" s="32">
        <v>44</v>
      </c>
      <c r="BH143" s="34" t="s">
        <v>2160</v>
      </c>
      <c r="BI143" s="34" t="str">
        <f>HYPERLINK("http://dx.doi.org/10.1186/s13705-021-00319-z","http://dx.doi.org/10.1186/s13705-021-00319-z")</f>
        <v>http://dx.doi.org/10.1186/s13705-021-00319-z</v>
      </c>
      <c r="BJ143" s="32" t="s">
        <v>1225</v>
      </c>
      <c r="BK143" s="32" t="s">
        <v>1225</v>
      </c>
      <c r="BL143" s="32" t="s">
        <v>1225</v>
      </c>
      <c r="BM143" s="32" t="s">
        <v>1225</v>
      </c>
      <c r="BN143" s="32" t="s">
        <v>1225</v>
      </c>
      <c r="BO143" s="32" t="s">
        <v>1225</v>
      </c>
      <c r="BP143" s="32" t="s">
        <v>1225</v>
      </c>
      <c r="BQ143" s="32" t="s">
        <v>1225</v>
      </c>
      <c r="BR143" s="32" t="s">
        <v>1225</v>
      </c>
      <c r="BS143" s="32" t="s">
        <v>1225</v>
      </c>
      <c r="BT143" s="32" t="s">
        <v>1225</v>
      </c>
      <c r="BU143" s="32" t="s">
        <v>1225</v>
      </c>
      <c r="BV143" s="32" t="s">
        <v>1225</v>
      </c>
      <c r="BW143" s="32" t="str">
        <f t="shared" si="4"/>
        <v>View Full Record in Web of Science</v>
      </c>
      <c r="BY143" s="41" t="str">
        <f>IF(Deletion!J143=TRUE,"Yes","No")</f>
        <v>No</v>
      </c>
    </row>
    <row r="144" spans="1:77" x14ac:dyDescent="0.15">
      <c r="A144" s="32">
        <f t="shared" si="5"/>
        <v>143</v>
      </c>
      <c r="D144" s="32" t="s">
        <v>1223</v>
      </c>
      <c r="E144" s="32" t="s">
        <v>2161</v>
      </c>
      <c r="F144" s="32" t="s">
        <v>1225</v>
      </c>
      <c r="G144" s="32" t="s">
        <v>1225</v>
      </c>
      <c r="H144" s="32" t="s">
        <v>1225</v>
      </c>
      <c r="I144" s="32" t="s">
        <v>2162</v>
      </c>
      <c r="J144" s="32" t="s">
        <v>1225</v>
      </c>
      <c r="K144" s="32" t="s">
        <v>1225</v>
      </c>
      <c r="L144" s="32" t="s">
        <v>2163</v>
      </c>
      <c r="M144" s="32" t="s">
        <v>2164</v>
      </c>
      <c r="N144" s="32" t="s">
        <v>1225</v>
      </c>
      <c r="O144" s="32" t="s">
        <v>1225</v>
      </c>
      <c r="P144" s="32" t="s">
        <v>1225</v>
      </c>
      <c r="Q144" s="32" t="s">
        <v>1227</v>
      </c>
      <c r="R144" s="32" t="s">
        <v>1225</v>
      </c>
      <c r="S144" s="32" t="s">
        <v>1225</v>
      </c>
      <c r="T144" s="32" t="s">
        <v>1225</v>
      </c>
      <c r="U144" s="32" t="s">
        <v>1225</v>
      </c>
      <c r="V144" s="32" t="s">
        <v>1225</v>
      </c>
      <c r="W144" s="32" t="s">
        <v>2165</v>
      </c>
      <c r="X144" s="32" t="s">
        <v>2166</v>
      </c>
      <c r="Y144" s="32" t="s">
        <v>2167</v>
      </c>
      <c r="Z144" s="32" t="s">
        <v>1225</v>
      </c>
      <c r="AA144" s="32" t="s">
        <v>1225</v>
      </c>
      <c r="AB144" s="32" t="s">
        <v>1225</v>
      </c>
      <c r="AC144" s="32" t="s">
        <v>1225</v>
      </c>
      <c r="AD144" s="32" t="s">
        <v>1225</v>
      </c>
      <c r="AE144" s="32" t="s">
        <v>1225</v>
      </c>
      <c r="AF144" s="32" t="s">
        <v>1225</v>
      </c>
      <c r="AG144" s="32" t="s">
        <v>1225</v>
      </c>
      <c r="AH144" s="32" t="s">
        <v>1225</v>
      </c>
      <c r="AI144" s="32" t="s">
        <v>1225</v>
      </c>
      <c r="AJ144" s="32" t="s">
        <v>1225</v>
      </c>
      <c r="AK144" s="32" t="s">
        <v>1225</v>
      </c>
      <c r="AL144" s="32" t="s">
        <v>1225</v>
      </c>
      <c r="AM144" s="32" t="s">
        <v>1225</v>
      </c>
      <c r="AN144" s="32" t="s">
        <v>1225</v>
      </c>
      <c r="AO144" s="32" t="s">
        <v>1225</v>
      </c>
      <c r="AP144" s="32" t="s">
        <v>1225</v>
      </c>
      <c r="AQ144" s="32" t="s">
        <v>1225</v>
      </c>
      <c r="AR144" s="32" t="s">
        <v>1225</v>
      </c>
      <c r="AS144" s="32" t="s">
        <v>1225</v>
      </c>
      <c r="AT144" s="32" t="s">
        <v>1225</v>
      </c>
      <c r="AU144" s="32" t="s">
        <v>1225</v>
      </c>
      <c r="AV144" s="32" t="s">
        <v>1225</v>
      </c>
      <c r="AW144" s="32" t="s">
        <v>2168</v>
      </c>
      <c r="AX144" s="32">
        <v>2022</v>
      </c>
      <c r="AY144" s="32">
        <v>9</v>
      </c>
      <c r="AZ144" s="32">
        <v>7</v>
      </c>
      <c r="BA144" s="32" t="s">
        <v>1225</v>
      </c>
      <c r="BB144" s="32" t="s">
        <v>1225</v>
      </c>
      <c r="BC144" s="32" t="s">
        <v>1225</v>
      </c>
      <c r="BD144" s="32" t="s">
        <v>1225</v>
      </c>
      <c r="BE144" s="32">
        <v>5019</v>
      </c>
      <c r="BF144" s="32">
        <v>5026</v>
      </c>
      <c r="BG144" s="32" t="s">
        <v>1225</v>
      </c>
      <c r="BH144" s="32" t="s">
        <v>2169</v>
      </c>
      <c r="BI144" s="32" t="str">
        <f>HYPERLINK("http://dx.doi.org/10.1109/JIOT.2021.3108698","http://dx.doi.org/10.1109/JIOT.2021.3108698")</f>
        <v>http://dx.doi.org/10.1109/JIOT.2021.3108698</v>
      </c>
      <c r="BJ144" s="32" t="s">
        <v>1225</v>
      </c>
      <c r="BK144" s="32" t="s">
        <v>1225</v>
      </c>
      <c r="BL144" s="32" t="s">
        <v>1225</v>
      </c>
      <c r="BM144" s="32" t="s">
        <v>1225</v>
      </c>
      <c r="BN144" s="32" t="s">
        <v>1225</v>
      </c>
      <c r="BO144" s="32" t="s">
        <v>1225</v>
      </c>
      <c r="BP144" s="32" t="s">
        <v>1225</v>
      </c>
      <c r="BQ144" s="32" t="s">
        <v>1225</v>
      </c>
      <c r="BR144" s="32" t="s">
        <v>1225</v>
      </c>
      <c r="BS144" s="32" t="s">
        <v>1225</v>
      </c>
      <c r="BT144" s="32" t="s">
        <v>1225</v>
      </c>
      <c r="BU144" s="32" t="s">
        <v>1225</v>
      </c>
      <c r="BV144" s="32" t="s">
        <v>1225</v>
      </c>
      <c r="BW144" s="32" t="str">
        <f t="shared" si="4"/>
        <v>View Full Record in Web of Science</v>
      </c>
      <c r="BY144" s="41" t="str">
        <f>IF(Deletion!J144=TRUE,"Yes","No")</f>
        <v>Yes</v>
      </c>
    </row>
    <row r="145" spans="1:77" x14ac:dyDescent="0.15">
      <c r="A145" s="34">
        <f t="shared" si="5"/>
        <v>144</v>
      </c>
      <c r="B145" s="34" t="s">
        <v>4</v>
      </c>
      <c r="C145" s="34" t="s">
        <v>4</v>
      </c>
      <c r="D145" s="34" t="s">
        <v>1223</v>
      </c>
      <c r="E145" s="34" t="s">
        <v>2170</v>
      </c>
      <c r="F145" s="32" t="s">
        <v>1225</v>
      </c>
      <c r="G145" s="32" t="s">
        <v>1225</v>
      </c>
      <c r="H145" s="32" t="s">
        <v>1225</v>
      </c>
      <c r="I145" s="34" t="s">
        <v>2171</v>
      </c>
      <c r="J145" s="32" t="s">
        <v>1225</v>
      </c>
      <c r="K145" s="32" t="s">
        <v>1225</v>
      </c>
      <c r="L145" s="34" t="s">
        <v>2172</v>
      </c>
      <c r="M145" s="34" t="s">
        <v>2173</v>
      </c>
      <c r="N145" s="32" t="s">
        <v>1225</v>
      </c>
      <c r="O145" s="32" t="s">
        <v>1225</v>
      </c>
      <c r="P145" s="32" t="s">
        <v>1225</v>
      </c>
      <c r="Q145" s="34" t="s">
        <v>1227</v>
      </c>
      <c r="R145" s="32" t="s">
        <v>1225</v>
      </c>
      <c r="S145" s="32" t="s">
        <v>1225</v>
      </c>
      <c r="T145" s="32" t="s">
        <v>1225</v>
      </c>
      <c r="U145" s="32" t="s">
        <v>1225</v>
      </c>
      <c r="V145" s="32" t="s">
        <v>1225</v>
      </c>
      <c r="W145" s="34" t="s">
        <v>2174</v>
      </c>
      <c r="X145" s="34" t="s">
        <v>1225</v>
      </c>
      <c r="Y145" s="34" t="s">
        <v>2175</v>
      </c>
      <c r="Z145" s="32" t="s">
        <v>1225</v>
      </c>
      <c r="AA145" s="32" t="s">
        <v>1225</v>
      </c>
      <c r="AB145" s="32" t="s">
        <v>1225</v>
      </c>
      <c r="AC145" s="32" t="s">
        <v>1225</v>
      </c>
      <c r="AD145" s="32" t="s">
        <v>1225</v>
      </c>
      <c r="AE145" s="32" t="s">
        <v>1225</v>
      </c>
      <c r="AF145" s="32" t="s">
        <v>1225</v>
      </c>
      <c r="AG145" s="32" t="s">
        <v>1225</v>
      </c>
      <c r="AH145" s="32" t="s">
        <v>1225</v>
      </c>
      <c r="AI145" s="32" t="s">
        <v>1225</v>
      </c>
      <c r="AJ145" s="32" t="s">
        <v>1225</v>
      </c>
      <c r="AK145" s="32" t="s">
        <v>1225</v>
      </c>
      <c r="AL145" s="32" t="s">
        <v>1225</v>
      </c>
      <c r="AM145" s="32" t="s">
        <v>1225</v>
      </c>
      <c r="AN145" s="32" t="s">
        <v>1225</v>
      </c>
      <c r="AO145" s="32" t="s">
        <v>1225</v>
      </c>
      <c r="AP145" s="32" t="s">
        <v>1225</v>
      </c>
      <c r="AQ145" s="32" t="s">
        <v>1225</v>
      </c>
      <c r="AR145" s="32" t="s">
        <v>1225</v>
      </c>
      <c r="AS145" s="32" t="s">
        <v>1225</v>
      </c>
      <c r="AT145" s="32" t="s">
        <v>1225</v>
      </c>
      <c r="AU145" s="32" t="s">
        <v>1225</v>
      </c>
      <c r="AV145" s="32" t="s">
        <v>1225</v>
      </c>
      <c r="AW145" s="34" t="s">
        <v>1465</v>
      </c>
      <c r="AX145" s="34">
        <v>2017</v>
      </c>
      <c r="AY145" s="32">
        <v>134</v>
      </c>
      <c r="AZ145" s="32">
        <v>1</v>
      </c>
      <c r="BA145" s="32" t="s">
        <v>1225</v>
      </c>
      <c r="BB145" s="32" t="s">
        <v>1225</v>
      </c>
      <c r="BC145" s="32" t="s">
        <v>1225</v>
      </c>
      <c r="BD145" s="32" t="s">
        <v>1225</v>
      </c>
      <c r="BE145" s="32">
        <v>78</v>
      </c>
      <c r="BF145" s="32">
        <v>85</v>
      </c>
      <c r="BG145" s="32" t="s">
        <v>1225</v>
      </c>
      <c r="BH145" s="34" t="s">
        <v>2176</v>
      </c>
      <c r="BI145" s="34" t="str">
        <f>HYPERLINK("http://dx.doi.org/10.1007/s00502-016-0454-2","http://dx.doi.org/10.1007/s00502-016-0454-2")</f>
        <v>http://dx.doi.org/10.1007/s00502-016-0454-2</v>
      </c>
      <c r="BJ145" s="32" t="s">
        <v>1225</v>
      </c>
      <c r="BK145" s="32" t="s">
        <v>1225</v>
      </c>
      <c r="BL145" s="32" t="s">
        <v>1225</v>
      </c>
      <c r="BM145" s="32" t="s">
        <v>1225</v>
      </c>
      <c r="BN145" s="32" t="s">
        <v>1225</v>
      </c>
      <c r="BO145" s="32" t="s">
        <v>1225</v>
      </c>
      <c r="BP145" s="32" t="s">
        <v>1225</v>
      </c>
      <c r="BQ145" s="32" t="s">
        <v>1225</v>
      </c>
      <c r="BR145" s="32" t="s">
        <v>1225</v>
      </c>
      <c r="BS145" s="32" t="s">
        <v>1225</v>
      </c>
      <c r="BT145" s="32" t="s">
        <v>1225</v>
      </c>
      <c r="BU145" s="32" t="s">
        <v>1225</v>
      </c>
      <c r="BV145" s="32" t="s">
        <v>1225</v>
      </c>
      <c r="BW145" s="32" t="str">
        <f t="shared" si="4"/>
        <v>View Full Record in Web of Science</v>
      </c>
      <c r="BY145" s="41" t="str">
        <f>IF(Deletion!J145=TRUE,"Yes","No")</f>
        <v>No</v>
      </c>
    </row>
    <row r="146" spans="1:77" x14ac:dyDescent="0.15">
      <c r="A146" s="32">
        <f t="shared" si="5"/>
        <v>145</v>
      </c>
      <c r="D146" s="32" t="s">
        <v>1223</v>
      </c>
      <c r="E146" s="32" t="s">
        <v>2177</v>
      </c>
      <c r="F146" s="32" t="s">
        <v>1225</v>
      </c>
      <c r="G146" s="32" t="s">
        <v>1225</v>
      </c>
      <c r="H146" s="32" t="s">
        <v>1225</v>
      </c>
      <c r="I146" s="32" t="s">
        <v>2178</v>
      </c>
      <c r="J146" s="32" t="s">
        <v>1225</v>
      </c>
      <c r="K146" s="32" t="s">
        <v>1225</v>
      </c>
      <c r="L146" s="32" t="s">
        <v>2179</v>
      </c>
      <c r="M146" s="32" t="s">
        <v>68</v>
      </c>
      <c r="N146" s="32" t="s">
        <v>1225</v>
      </c>
      <c r="O146" s="32" t="s">
        <v>1225</v>
      </c>
      <c r="P146" s="32" t="s">
        <v>1225</v>
      </c>
      <c r="Q146" s="32" t="s">
        <v>1227</v>
      </c>
      <c r="R146" s="32" t="s">
        <v>1225</v>
      </c>
      <c r="S146" s="32" t="s">
        <v>1225</v>
      </c>
      <c r="T146" s="32" t="s">
        <v>1225</v>
      </c>
      <c r="U146" s="32" t="s">
        <v>1225</v>
      </c>
      <c r="V146" s="32" t="s">
        <v>1225</v>
      </c>
      <c r="W146" s="32" t="s">
        <v>2180</v>
      </c>
      <c r="X146" s="32" t="s">
        <v>1225</v>
      </c>
      <c r="Y146" s="32" t="s">
        <v>2181</v>
      </c>
      <c r="Z146" s="32" t="s">
        <v>1225</v>
      </c>
      <c r="AA146" s="32" t="s">
        <v>1225</v>
      </c>
      <c r="AB146" s="32" t="s">
        <v>1225</v>
      </c>
      <c r="AC146" s="32" t="s">
        <v>1225</v>
      </c>
      <c r="AD146" s="32" t="s">
        <v>1225</v>
      </c>
      <c r="AE146" s="32" t="s">
        <v>1225</v>
      </c>
      <c r="AF146" s="32" t="s">
        <v>1225</v>
      </c>
      <c r="AG146" s="32" t="s">
        <v>1225</v>
      </c>
      <c r="AH146" s="32" t="s">
        <v>1225</v>
      </c>
      <c r="AI146" s="32" t="s">
        <v>1225</v>
      </c>
      <c r="AJ146" s="32" t="s">
        <v>1225</v>
      </c>
      <c r="AK146" s="32" t="s">
        <v>1225</v>
      </c>
      <c r="AL146" s="32" t="s">
        <v>1225</v>
      </c>
      <c r="AM146" s="32" t="s">
        <v>1225</v>
      </c>
      <c r="AN146" s="32" t="s">
        <v>1225</v>
      </c>
      <c r="AO146" s="32" t="s">
        <v>1225</v>
      </c>
      <c r="AP146" s="32" t="s">
        <v>1225</v>
      </c>
      <c r="AQ146" s="32" t="s">
        <v>1225</v>
      </c>
      <c r="AR146" s="32" t="s">
        <v>1225</v>
      </c>
      <c r="AS146" s="32" t="s">
        <v>1225</v>
      </c>
      <c r="AT146" s="32" t="s">
        <v>1225</v>
      </c>
      <c r="AU146" s="32" t="s">
        <v>1225</v>
      </c>
      <c r="AV146" s="32" t="s">
        <v>1225</v>
      </c>
      <c r="AW146" s="32" t="s">
        <v>1225</v>
      </c>
      <c r="AX146" s="32">
        <v>2018</v>
      </c>
      <c r="AY146" s="32">
        <v>6</v>
      </c>
      <c r="AZ146" s="32" t="s">
        <v>1225</v>
      </c>
      <c r="BA146" s="32" t="s">
        <v>1225</v>
      </c>
      <c r="BB146" s="32" t="s">
        <v>1225</v>
      </c>
      <c r="BC146" s="32" t="s">
        <v>1225</v>
      </c>
      <c r="BD146" s="32" t="s">
        <v>1225</v>
      </c>
      <c r="BE146" s="32">
        <v>25657</v>
      </c>
      <c r="BF146" s="32">
        <v>25665</v>
      </c>
      <c r="BG146" s="32" t="s">
        <v>1225</v>
      </c>
      <c r="BH146" s="32" t="s">
        <v>2182</v>
      </c>
      <c r="BI146" s="32" t="str">
        <f>HYPERLINK("http://dx.doi.org/10.1109/ACCESS.2018.2835309","http://dx.doi.org/10.1109/ACCESS.2018.2835309")</f>
        <v>http://dx.doi.org/10.1109/ACCESS.2018.2835309</v>
      </c>
      <c r="BJ146" s="32" t="s">
        <v>1225</v>
      </c>
      <c r="BK146" s="32" t="s">
        <v>1225</v>
      </c>
      <c r="BL146" s="32" t="s">
        <v>1225</v>
      </c>
      <c r="BM146" s="32" t="s">
        <v>1225</v>
      </c>
      <c r="BN146" s="32" t="s">
        <v>1225</v>
      </c>
      <c r="BO146" s="32" t="s">
        <v>1225</v>
      </c>
      <c r="BP146" s="32" t="s">
        <v>1225</v>
      </c>
      <c r="BQ146" s="32" t="s">
        <v>1225</v>
      </c>
      <c r="BR146" s="32" t="s">
        <v>1225</v>
      </c>
      <c r="BS146" s="32" t="s">
        <v>1225</v>
      </c>
      <c r="BT146" s="32" t="s">
        <v>1225</v>
      </c>
      <c r="BU146" s="32" t="s">
        <v>1225</v>
      </c>
      <c r="BV146" s="32" t="s">
        <v>1225</v>
      </c>
      <c r="BW146" s="32" t="str">
        <f t="shared" si="4"/>
        <v>View Full Record in Web of Science</v>
      </c>
      <c r="BY146" s="41" t="str">
        <f>IF(Deletion!J146=TRUE,"Yes","No")</f>
        <v>Yes</v>
      </c>
    </row>
    <row r="147" spans="1:77" x14ac:dyDescent="0.15">
      <c r="A147" s="32">
        <f t="shared" si="5"/>
        <v>146</v>
      </c>
      <c r="D147" s="32" t="s">
        <v>1223</v>
      </c>
      <c r="E147" s="32" t="s">
        <v>2183</v>
      </c>
      <c r="F147" s="32" t="s">
        <v>1225</v>
      </c>
      <c r="G147" s="32" t="s">
        <v>1225</v>
      </c>
      <c r="H147" s="32" t="s">
        <v>1225</v>
      </c>
      <c r="I147" s="32" t="s">
        <v>2184</v>
      </c>
      <c r="J147" s="32" t="s">
        <v>1225</v>
      </c>
      <c r="K147" s="32" t="s">
        <v>1225</v>
      </c>
      <c r="L147" s="32" t="s">
        <v>2185</v>
      </c>
      <c r="M147" s="32" t="s">
        <v>97</v>
      </c>
      <c r="N147" s="32" t="s">
        <v>1225</v>
      </c>
      <c r="O147" s="32" t="s">
        <v>1225</v>
      </c>
      <c r="P147" s="32" t="s">
        <v>1225</v>
      </c>
      <c r="Q147" s="32" t="s">
        <v>1227</v>
      </c>
      <c r="R147" s="32" t="s">
        <v>1225</v>
      </c>
      <c r="S147" s="32" t="s">
        <v>1225</v>
      </c>
      <c r="T147" s="32" t="s">
        <v>1225</v>
      </c>
      <c r="U147" s="32" t="s">
        <v>1225</v>
      </c>
      <c r="V147" s="32" t="s">
        <v>1225</v>
      </c>
      <c r="W147" s="32" t="s">
        <v>2186</v>
      </c>
      <c r="X147" s="32" t="s">
        <v>2187</v>
      </c>
      <c r="Y147" s="32" t="s">
        <v>2188</v>
      </c>
      <c r="Z147" s="32" t="s">
        <v>1225</v>
      </c>
      <c r="AA147" s="32" t="s">
        <v>1225</v>
      </c>
      <c r="AB147" s="32" t="s">
        <v>1225</v>
      </c>
      <c r="AC147" s="32" t="s">
        <v>1225</v>
      </c>
      <c r="AD147" s="32" t="s">
        <v>1225</v>
      </c>
      <c r="AE147" s="32" t="s">
        <v>1225</v>
      </c>
      <c r="AF147" s="32" t="s">
        <v>1225</v>
      </c>
      <c r="AG147" s="32" t="s">
        <v>1225</v>
      </c>
      <c r="AH147" s="32" t="s">
        <v>1225</v>
      </c>
      <c r="AI147" s="32" t="s">
        <v>1225</v>
      </c>
      <c r="AJ147" s="32" t="s">
        <v>1225</v>
      </c>
      <c r="AK147" s="32" t="s">
        <v>1225</v>
      </c>
      <c r="AL147" s="32" t="s">
        <v>1225</v>
      </c>
      <c r="AM147" s="32" t="s">
        <v>1225</v>
      </c>
      <c r="AN147" s="32" t="s">
        <v>1225</v>
      </c>
      <c r="AO147" s="32" t="s">
        <v>1225</v>
      </c>
      <c r="AP147" s="32" t="s">
        <v>1225</v>
      </c>
      <c r="AQ147" s="32" t="s">
        <v>1225</v>
      </c>
      <c r="AR147" s="32" t="s">
        <v>1225</v>
      </c>
      <c r="AS147" s="32" t="s">
        <v>1225</v>
      </c>
      <c r="AT147" s="32" t="s">
        <v>1225</v>
      </c>
      <c r="AU147" s="32" t="s">
        <v>1225</v>
      </c>
      <c r="AV147" s="32" t="s">
        <v>1225</v>
      </c>
      <c r="AW147" s="32" t="s">
        <v>2168</v>
      </c>
      <c r="AX147" s="32">
        <v>2016</v>
      </c>
      <c r="AY147" s="32">
        <v>167</v>
      </c>
      <c r="AZ147" s="32" t="s">
        <v>1225</v>
      </c>
      <c r="BA147" s="32" t="s">
        <v>1225</v>
      </c>
      <c r="BB147" s="32" t="s">
        <v>1225</v>
      </c>
      <c r="BC147" s="32" t="s">
        <v>1225</v>
      </c>
      <c r="BD147" s="32" t="s">
        <v>1225</v>
      </c>
      <c r="BE147" s="32">
        <v>407</v>
      </c>
      <c r="BF147" s="32">
        <v>419</v>
      </c>
      <c r="BG147" s="32" t="s">
        <v>1225</v>
      </c>
      <c r="BH147" s="32" t="s">
        <v>2189</v>
      </c>
      <c r="BI147" s="32" t="str">
        <f>HYPERLINK("http://dx.doi.org/10.1016/j.apenergy.2015.09.040","http://dx.doi.org/10.1016/j.apenergy.2015.09.040")</f>
        <v>http://dx.doi.org/10.1016/j.apenergy.2015.09.040</v>
      </c>
      <c r="BJ147" s="32" t="s">
        <v>1225</v>
      </c>
      <c r="BK147" s="32" t="s">
        <v>1225</v>
      </c>
      <c r="BL147" s="32" t="s">
        <v>1225</v>
      </c>
      <c r="BM147" s="32" t="s">
        <v>1225</v>
      </c>
      <c r="BN147" s="32" t="s">
        <v>1225</v>
      </c>
      <c r="BO147" s="32" t="s">
        <v>1225</v>
      </c>
      <c r="BP147" s="32" t="s">
        <v>1225</v>
      </c>
      <c r="BQ147" s="32" t="s">
        <v>1225</v>
      </c>
      <c r="BR147" s="32" t="s">
        <v>1225</v>
      </c>
      <c r="BS147" s="32" t="s">
        <v>1225</v>
      </c>
      <c r="BT147" s="32" t="s">
        <v>1225</v>
      </c>
      <c r="BU147" s="32" t="s">
        <v>1225</v>
      </c>
      <c r="BV147" s="32" t="s">
        <v>1225</v>
      </c>
      <c r="BW147" s="32" t="str">
        <f t="shared" si="4"/>
        <v>View Full Record in Web of Science</v>
      </c>
      <c r="BY147" s="41" t="str">
        <f>IF(Deletion!J147=TRUE,"Yes","No")</f>
        <v>Yes</v>
      </c>
    </row>
    <row r="148" spans="1:77" x14ac:dyDescent="0.15">
      <c r="A148" s="32">
        <f t="shared" si="5"/>
        <v>147</v>
      </c>
      <c r="D148" s="32" t="s">
        <v>1223</v>
      </c>
      <c r="E148" s="32" t="s">
        <v>2190</v>
      </c>
      <c r="F148" s="32" t="s">
        <v>1225</v>
      </c>
      <c r="G148" s="32" t="s">
        <v>1225</v>
      </c>
      <c r="H148" s="32" t="s">
        <v>1225</v>
      </c>
      <c r="I148" s="32" t="s">
        <v>2191</v>
      </c>
      <c r="J148" s="32" t="s">
        <v>1225</v>
      </c>
      <c r="K148" s="32" t="s">
        <v>1225</v>
      </c>
      <c r="L148" s="32" t="s">
        <v>2192</v>
      </c>
      <c r="M148" s="32" t="s">
        <v>2193</v>
      </c>
      <c r="N148" s="32" t="s">
        <v>1225</v>
      </c>
      <c r="O148" s="32" t="s">
        <v>1225</v>
      </c>
      <c r="P148" s="32" t="s">
        <v>1225</v>
      </c>
      <c r="Q148" s="32" t="s">
        <v>1688</v>
      </c>
      <c r="R148" s="32" t="s">
        <v>1225</v>
      </c>
      <c r="S148" s="32" t="s">
        <v>1225</v>
      </c>
      <c r="T148" s="32" t="s">
        <v>1225</v>
      </c>
      <c r="U148" s="32" t="s">
        <v>1225</v>
      </c>
      <c r="V148" s="32" t="s">
        <v>1225</v>
      </c>
      <c r="W148" s="32" t="s">
        <v>2194</v>
      </c>
      <c r="X148" s="32" t="s">
        <v>2195</v>
      </c>
      <c r="Y148" s="32" t="s">
        <v>2196</v>
      </c>
      <c r="Z148" s="32" t="s">
        <v>1225</v>
      </c>
      <c r="AA148" s="32" t="s">
        <v>1225</v>
      </c>
      <c r="AB148" s="32" t="s">
        <v>1225</v>
      </c>
      <c r="AC148" s="32" t="s">
        <v>1225</v>
      </c>
      <c r="AD148" s="32" t="s">
        <v>1225</v>
      </c>
      <c r="AE148" s="32" t="s">
        <v>1225</v>
      </c>
      <c r="AF148" s="32" t="s">
        <v>1225</v>
      </c>
      <c r="AG148" s="32" t="s">
        <v>1225</v>
      </c>
      <c r="AH148" s="32" t="s">
        <v>1225</v>
      </c>
      <c r="AI148" s="32" t="s">
        <v>1225</v>
      </c>
      <c r="AJ148" s="32" t="s">
        <v>1225</v>
      </c>
      <c r="AK148" s="32" t="s">
        <v>1225</v>
      </c>
      <c r="AL148" s="32" t="s">
        <v>1225</v>
      </c>
      <c r="AM148" s="32" t="s">
        <v>1225</v>
      </c>
      <c r="AN148" s="32" t="s">
        <v>1225</v>
      </c>
      <c r="AO148" s="32" t="s">
        <v>1225</v>
      </c>
      <c r="AP148" s="32" t="s">
        <v>1225</v>
      </c>
      <c r="AQ148" s="32" t="s">
        <v>1225</v>
      </c>
      <c r="AR148" s="32" t="s">
        <v>1225</v>
      </c>
      <c r="AS148" s="32" t="s">
        <v>1225</v>
      </c>
      <c r="AT148" s="32" t="s">
        <v>1225</v>
      </c>
      <c r="AU148" s="32" t="s">
        <v>1225</v>
      </c>
      <c r="AV148" s="32" t="s">
        <v>1225</v>
      </c>
      <c r="AW148" s="32" t="s">
        <v>1225</v>
      </c>
      <c r="AX148" s="32" t="s">
        <v>1225</v>
      </c>
      <c r="AY148" s="32" t="s">
        <v>1225</v>
      </c>
      <c r="AZ148" s="32" t="s">
        <v>1225</v>
      </c>
      <c r="BA148" s="32" t="s">
        <v>1225</v>
      </c>
      <c r="BB148" s="32" t="s">
        <v>1225</v>
      </c>
      <c r="BC148" s="32" t="s">
        <v>1225</v>
      </c>
      <c r="BD148" s="32" t="s">
        <v>1225</v>
      </c>
      <c r="BE148" s="32" t="s">
        <v>1225</v>
      </c>
      <c r="BF148" s="32" t="s">
        <v>1225</v>
      </c>
      <c r="BG148" s="32" t="s">
        <v>1225</v>
      </c>
      <c r="BH148" s="32" t="s">
        <v>2197</v>
      </c>
      <c r="BI148" s="32" t="str">
        <f>HYPERLINK("http://dx.doi.org/10.1002/er.6523","http://dx.doi.org/10.1002/er.6523")</f>
        <v>http://dx.doi.org/10.1002/er.6523</v>
      </c>
      <c r="BJ148" s="32" t="s">
        <v>1225</v>
      </c>
      <c r="BK148" s="32" t="s">
        <v>2198</v>
      </c>
      <c r="BL148" s="32" t="s">
        <v>1225</v>
      </c>
      <c r="BM148" s="32" t="s">
        <v>1225</v>
      </c>
      <c r="BN148" s="32" t="s">
        <v>1225</v>
      </c>
      <c r="BO148" s="32" t="s">
        <v>1225</v>
      </c>
      <c r="BP148" s="32" t="s">
        <v>1225</v>
      </c>
      <c r="BQ148" s="32" t="s">
        <v>1225</v>
      </c>
      <c r="BR148" s="32" t="s">
        <v>1225</v>
      </c>
      <c r="BS148" s="32" t="s">
        <v>1225</v>
      </c>
      <c r="BT148" s="32" t="s">
        <v>1225</v>
      </c>
      <c r="BU148" s="32" t="s">
        <v>1225</v>
      </c>
      <c r="BV148" s="32" t="s">
        <v>1225</v>
      </c>
      <c r="BW148" s="32" t="str">
        <f t="shared" si="4"/>
        <v>View Full Record in Web of Science</v>
      </c>
      <c r="BY148" s="41" t="str">
        <f>IF(Deletion!J148=TRUE,"Yes","No")</f>
        <v>Yes</v>
      </c>
    </row>
    <row r="149" spans="1:77" x14ac:dyDescent="0.15">
      <c r="A149" s="32">
        <f t="shared" si="5"/>
        <v>148</v>
      </c>
      <c r="D149" s="32" t="s">
        <v>1223</v>
      </c>
      <c r="E149" s="32" t="s">
        <v>2199</v>
      </c>
      <c r="F149" s="32" t="s">
        <v>1225</v>
      </c>
      <c r="G149" s="32" t="s">
        <v>1225</v>
      </c>
      <c r="H149" s="32" t="s">
        <v>1225</v>
      </c>
      <c r="I149" s="32" t="s">
        <v>2200</v>
      </c>
      <c r="J149" s="32" t="s">
        <v>1225</v>
      </c>
      <c r="K149" s="32" t="s">
        <v>1225</v>
      </c>
      <c r="L149" s="32" t="s">
        <v>2201</v>
      </c>
      <c r="M149" s="32" t="s">
        <v>502</v>
      </c>
      <c r="N149" s="32" t="s">
        <v>1225</v>
      </c>
      <c r="O149" s="32" t="s">
        <v>1225</v>
      </c>
      <c r="P149" s="32" t="s">
        <v>1225</v>
      </c>
      <c r="Q149" s="32" t="s">
        <v>1227</v>
      </c>
      <c r="R149" s="32" t="s">
        <v>1225</v>
      </c>
      <c r="S149" s="32" t="s">
        <v>1225</v>
      </c>
      <c r="T149" s="32" t="s">
        <v>1225</v>
      </c>
      <c r="U149" s="32" t="s">
        <v>1225</v>
      </c>
      <c r="V149" s="32" t="s">
        <v>1225</v>
      </c>
      <c r="W149" s="32" t="s">
        <v>2202</v>
      </c>
      <c r="X149" s="32" t="s">
        <v>2203</v>
      </c>
      <c r="Y149" s="32" t="s">
        <v>2204</v>
      </c>
      <c r="Z149" s="32" t="s">
        <v>1225</v>
      </c>
      <c r="AA149" s="32" t="s">
        <v>1225</v>
      </c>
      <c r="AB149" s="32" t="s">
        <v>1225</v>
      </c>
      <c r="AC149" s="32" t="s">
        <v>1225</v>
      </c>
      <c r="AD149" s="32" t="s">
        <v>1225</v>
      </c>
      <c r="AE149" s="32" t="s">
        <v>1225</v>
      </c>
      <c r="AF149" s="32" t="s">
        <v>1225</v>
      </c>
      <c r="AG149" s="32" t="s">
        <v>1225</v>
      </c>
      <c r="AH149" s="32" t="s">
        <v>1225</v>
      </c>
      <c r="AI149" s="32" t="s">
        <v>1225</v>
      </c>
      <c r="AJ149" s="32" t="s">
        <v>1225</v>
      </c>
      <c r="AK149" s="32" t="s">
        <v>1225</v>
      </c>
      <c r="AL149" s="32" t="s">
        <v>1225</v>
      </c>
      <c r="AM149" s="32" t="s">
        <v>1225</v>
      </c>
      <c r="AN149" s="32" t="s">
        <v>1225</v>
      </c>
      <c r="AO149" s="32" t="s">
        <v>1225</v>
      </c>
      <c r="AP149" s="32" t="s">
        <v>1225</v>
      </c>
      <c r="AQ149" s="32" t="s">
        <v>1225</v>
      </c>
      <c r="AR149" s="32" t="s">
        <v>1225</v>
      </c>
      <c r="AS149" s="32" t="s">
        <v>1225</v>
      </c>
      <c r="AT149" s="32" t="s">
        <v>1225</v>
      </c>
      <c r="AU149" s="32" t="s">
        <v>1225</v>
      </c>
      <c r="AV149" s="32" t="s">
        <v>1225</v>
      </c>
      <c r="AW149" s="32" t="s">
        <v>2205</v>
      </c>
      <c r="AX149" s="32">
        <v>2021</v>
      </c>
      <c r="AY149" s="32">
        <v>229</v>
      </c>
      <c r="AZ149" s="32" t="s">
        <v>1225</v>
      </c>
      <c r="BA149" s="32" t="s">
        <v>1225</v>
      </c>
      <c r="BB149" s="32" t="s">
        <v>1225</v>
      </c>
      <c r="BC149" s="32" t="s">
        <v>1225</v>
      </c>
      <c r="BD149" s="32" t="s">
        <v>1225</v>
      </c>
      <c r="BE149" s="32" t="s">
        <v>1225</v>
      </c>
      <c r="BF149" s="32" t="s">
        <v>1225</v>
      </c>
      <c r="BG149" s="32">
        <v>120691</v>
      </c>
      <c r="BH149" s="32" t="s">
        <v>2206</v>
      </c>
      <c r="BI149" s="32" t="str">
        <f>HYPERLINK("http://dx.doi.org/10.1016/j.energy.2021.120691","http://dx.doi.org/10.1016/j.energy.2021.120691")</f>
        <v>http://dx.doi.org/10.1016/j.energy.2021.120691</v>
      </c>
      <c r="BJ149" s="32" t="s">
        <v>1225</v>
      </c>
      <c r="BK149" s="32" t="s">
        <v>2207</v>
      </c>
      <c r="BL149" s="32" t="s">
        <v>1225</v>
      </c>
      <c r="BM149" s="32" t="s">
        <v>1225</v>
      </c>
      <c r="BN149" s="32" t="s">
        <v>1225</v>
      </c>
      <c r="BO149" s="32" t="s">
        <v>1225</v>
      </c>
      <c r="BP149" s="32" t="s">
        <v>1225</v>
      </c>
      <c r="BQ149" s="32" t="s">
        <v>1225</v>
      </c>
      <c r="BR149" s="32" t="s">
        <v>1225</v>
      </c>
      <c r="BS149" s="32" t="s">
        <v>1225</v>
      </c>
      <c r="BT149" s="32" t="s">
        <v>1225</v>
      </c>
      <c r="BU149" s="32" t="s">
        <v>1225</v>
      </c>
      <c r="BV149" s="32" t="s">
        <v>1225</v>
      </c>
      <c r="BW149" s="32" t="str">
        <f t="shared" si="4"/>
        <v>View Full Record in Web of Science</v>
      </c>
      <c r="BY149" s="41" t="str">
        <f>IF(Deletion!J149=TRUE,"Yes","No")</f>
        <v>Yes</v>
      </c>
    </row>
    <row r="150" spans="1:77" x14ac:dyDescent="0.15">
      <c r="A150" s="34">
        <f t="shared" si="5"/>
        <v>149</v>
      </c>
      <c r="B150" s="34" t="s">
        <v>4</v>
      </c>
      <c r="C150" s="34" t="s">
        <v>4</v>
      </c>
      <c r="D150" s="34" t="s">
        <v>1223</v>
      </c>
      <c r="E150" s="34" t="s">
        <v>2208</v>
      </c>
      <c r="F150" s="32" t="s">
        <v>1225</v>
      </c>
      <c r="G150" s="32" t="s">
        <v>1225</v>
      </c>
      <c r="H150" s="32" t="s">
        <v>1225</v>
      </c>
      <c r="I150" s="34" t="s">
        <v>2209</v>
      </c>
      <c r="J150" s="32" t="s">
        <v>1225</v>
      </c>
      <c r="K150" s="32" t="s">
        <v>1225</v>
      </c>
      <c r="L150" s="34" t="s">
        <v>2210</v>
      </c>
      <c r="M150" s="34" t="s">
        <v>2211</v>
      </c>
      <c r="N150" s="32" t="s">
        <v>1225</v>
      </c>
      <c r="O150" s="32" t="s">
        <v>1225</v>
      </c>
      <c r="P150" s="32" t="s">
        <v>1225</v>
      </c>
      <c r="Q150" s="34" t="s">
        <v>1227</v>
      </c>
      <c r="R150" s="32" t="s">
        <v>1225</v>
      </c>
      <c r="S150" s="32" t="s">
        <v>1225</v>
      </c>
      <c r="T150" s="32" t="s">
        <v>1225</v>
      </c>
      <c r="U150" s="32" t="s">
        <v>1225</v>
      </c>
      <c r="V150" s="32" t="s">
        <v>1225</v>
      </c>
      <c r="W150" s="34" t="s">
        <v>2212</v>
      </c>
      <c r="X150" s="34" t="s">
        <v>2213</v>
      </c>
      <c r="Y150" s="34" t="s">
        <v>2214</v>
      </c>
      <c r="Z150" s="32" t="s">
        <v>1225</v>
      </c>
      <c r="AA150" s="32" t="s">
        <v>1225</v>
      </c>
      <c r="AB150" s="32" t="s">
        <v>1225</v>
      </c>
      <c r="AC150" s="32" t="s">
        <v>1225</v>
      </c>
      <c r="AD150" s="32" t="s">
        <v>1225</v>
      </c>
      <c r="AE150" s="32" t="s">
        <v>1225</v>
      </c>
      <c r="AF150" s="32" t="s">
        <v>1225</v>
      </c>
      <c r="AG150" s="32" t="s">
        <v>1225</v>
      </c>
      <c r="AH150" s="32" t="s">
        <v>1225</v>
      </c>
      <c r="AI150" s="32" t="s">
        <v>1225</v>
      </c>
      <c r="AJ150" s="32" t="s">
        <v>1225</v>
      </c>
      <c r="AK150" s="32" t="s">
        <v>1225</v>
      </c>
      <c r="AL150" s="32" t="s">
        <v>1225</v>
      </c>
      <c r="AM150" s="32" t="s">
        <v>1225</v>
      </c>
      <c r="AN150" s="32" t="s">
        <v>1225</v>
      </c>
      <c r="AO150" s="32" t="s">
        <v>1225</v>
      </c>
      <c r="AP150" s="32" t="s">
        <v>1225</v>
      </c>
      <c r="AQ150" s="32" t="s">
        <v>1225</v>
      </c>
      <c r="AR150" s="32" t="s">
        <v>1225</v>
      </c>
      <c r="AS150" s="32" t="s">
        <v>1225</v>
      </c>
      <c r="AT150" s="32" t="s">
        <v>1225</v>
      </c>
      <c r="AU150" s="32" t="s">
        <v>1225</v>
      </c>
      <c r="AV150" s="32" t="s">
        <v>1225</v>
      </c>
      <c r="AW150" s="34" t="s">
        <v>2215</v>
      </c>
      <c r="AX150" s="34">
        <v>2021</v>
      </c>
      <c r="AY150" s="32">
        <v>23</v>
      </c>
      <c r="AZ150" s="32">
        <v>2</v>
      </c>
      <c r="BA150" s="32" t="s">
        <v>1225</v>
      </c>
      <c r="BB150" s="32" t="s">
        <v>1225</v>
      </c>
      <c r="BC150" s="32" t="s">
        <v>1225</v>
      </c>
      <c r="BD150" s="32" t="s">
        <v>1225</v>
      </c>
      <c r="BE150" s="32">
        <v>471</v>
      </c>
      <c r="BF150" s="32">
        <v>487</v>
      </c>
      <c r="BG150" s="32" t="s">
        <v>1225</v>
      </c>
      <c r="BH150" s="34" t="s">
        <v>2216</v>
      </c>
      <c r="BI150" s="34" t="str">
        <f>HYPERLINK("http://dx.doi.org/10.1287/msom.2019.0851","http://dx.doi.org/10.1287/msom.2019.0851")</f>
        <v>http://dx.doi.org/10.1287/msom.2019.0851</v>
      </c>
      <c r="BJ150" s="32" t="s">
        <v>1225</v>
      </c>
      <c r="BK150" s="32" t="s">
        <v>1225</v>
      </c>
      <c r="BL150" s="32" t="s">
        <v>1225</v>
      </c>
      <c r="BM150" s="32" t="s">
        <v>1225</v>
      </c>
      <c r="BN150" s="32" t="s">
        <v>1225</v>
      </c>
      <c r="BO150" s="32" t="s">
        <v>1225</v>
      </c>
      <c r="BP150" s="32" t="s">
        <v>1225</v>
      </c>
      <c r="BQ150" s="32" t="s">
        <v>1225</v>
      </c>
      <c r="BR150" s="32" t="s">
        <v>1225</v>
      </c>
      <c r="BS150" s="32" t="s">
        <v>1225</v>
      </c>
      <c r="BT150" s="32" t="s">
        <v>1225</v>
      </c>
      <c r="BU150" s="32" t="s">
        <v>1225</v>
      </c>
      <c r="BV150" s="32" t="s">
        <v>1225</v>
      </c>
      <c r="BW150" s="32" t="str">
        <f t="shared" si="4"/>
        <v>View Full Record in Web of Science</v>
      </c>
      <c r="BY150" s="41" t="str">
        <f>IF(Deletion!J150=TRUE,"Yes","No")</f>
        <v>No</v>
      </c>
    </row>
    <row r="151" spans="1:77" x14ac:dyDescent="0.15">
      <c r="A151" s="34">
        <f t="shared" si="5"/>
        <v>150</v>
      </c>
      <c r="B151" s="34" t="s">
        <v>4</v>
      </c>
      <c r="C151" s="34" t="s">
        <v>4</v>
      </c>
      <c r="D151" s="34" t="s">
        <v>1223</v>
      </c>
      <c r="E151" s="34" t="s">
        <v>2217</v>
      </c>
      <c r="F151" s="32" t="s">
        <v>1225</v>
      </c>
      <c r="G151" s="32" t="s">
        <v>1225</v>
      </c>
      <c r="H151" s="32" t="s">
        <v>1225</v>
      </c>
      <c r="I151" s="34" t="s">
        <v>2218</v>
      </c>
      <c r="J151" s="32" t="s">
        <v>1225</v>
      </c>
      <c r="K151" s="32" t="s">
        <v>1225</v>
      </c>
      <c r="L151" s="34" t="s">
        <v>2219</v>
      </c>
      <c r="M151" s="34" t="s">
        <v>422</v>
      </c>
      <c r="N151" s="32" t="s">
        <v>1225</v>
      </c>
      <c r="O151" s="32" t="s">
        <v>1225</v>
      </c>
      <c r="P151" s="32" t="s">
        <v>1225</v>
      </c>
      <c r="Q151" s="34" t="s">
        <v>2220</v>
      </c>
      <c r="R151" s="32" t="s">
        <v>1225</v>
      </c>
      <c r="S151" s="32" t="s">
        <v>1225</v>
      </c>
      <c r="T151" s="32" t="s">
        <v>1225</v>
      </c>
      <c r="U151" s="32" t="s">
        <v>1225</v>
      </c>
      <c r="V151" s="32" t="s">
        <v>1225</v>
      </c>
      <c r="W151" s="34" t="s">
        <v>2221</v>
      </c>
      <c r="X151" s="34" t="s">
        <v>2222</v>
      </c>
      <c r="Y151" s="34" t="s">
        <v>2223</v>
      </c>
      <c r="Z151" s="32" t="s">
        <v>1225</v>
      </c>
      <c r="AA151" s="32" t="s">
        <v>1225</v>
      </c>
      <c r="AB151" s="32" t="s">
        <v>1225</v>
      </c>
      <c r="AC151" s="32" t="s">
        <v>1225</v>
      </c>
      <c r="AD151" s="32" t="s">
        <v>1225</v>
      </c>
      <c r="AE151" s="32" t="s">
        <v>1225</v>
      </c>
      <c r="AF151" s="32" t="s">
        <v>1225</v>
      </c>
      <c r="AG151" s="32" t="s">
        <v>1225</v>
      </c>
      <c r="AH151" s="32" t="s">
        <v>1225</v>
      </c>
      <c r="AI151" s="32" t="s">
        <v>1225</v>
      </c>
      <c r="AJ151" s="32" t="s">
        <v>1225</v>
      </c>
      <c r="AK151" s="32" t="s">
        <v>1225</v>
      </c>
      <c r="AL151" s="32" t="s">
        <v>1225</v>
      </c>
      <c r="AM151" s="32" t="s">
        <v>1225</v>
      </c>
      <c r="AN151" s="32" t="s">
        <v>1225</v>
      </c>
      <c r="AO151" s="32" t="s">
        <v>1225</v>
      </c>
      <c r="AP151" s="32" t="s">
        <v>1225</v>
      </c>
      <c r="AQ151" s="32" t="s">
        <v>1225</v>
      </c>
      <c r="AR151" s="32" t="s">
        <v>1225</v>
      </c>
      <c r="AS151" s="32" t="s">
        <v>1225</v>
      </c>
      <c r="AT151" s="32" t="s">
        <v>1225</v>
      </c>
      <c r="AU151" s="32" t="s">
        <v>1225</v>
      </c>
      <c r="AV151" s="32" t="s">
        <v>1225</v>
      </c>
      <c r="AW151" s="34" t="s">
        <v>1276</v>
      </c>
      <c r="AX151" s="34">
        <v>2019</v>
      </c>
      <c r="AY151" s="32">
        <v>12</v>
      </c>
      <c r="AZ151" s="32">
        <v>20</v>
      </c>
      <c r="BA151" s="32" t="s">
        <v>1225</v>
      </c>
      <c r="BB151" s="32" t="s">
        <v>1225</v>
      </c>
      <c r="BC151" s="32" t="s">
        <v>1225</v>
      </c>
      <c r="BD151" s="32" t="s">
        <v>1225</v>
      </c>
      <c r="BE151" s="32" t="s">
        <v>1225</v>
      </c>
      <c r="BF151" s="32" t="s">
        <v>1225</v>
      </c>
      <c r="BG151" s="32">
        <v>3922</v>
      </c>
      <c r="BH151" s="34" t="s">
        <v>2224</v>
      </c>
      <c r="BI151" s="34" t="str">
        <f>HYPERLINK("http://dx.doi.org/10.3390/en12203922","http://dx.doi.org/10.3390/en12203922")</f>
        <v>http://dx.doi.org/10.3390/en12203922</v>
      </c>
      <c r="BJ151" s="32" t="s">
        <v>1225</v>
      </c>
      <c r="BK151" s="32" t="s">
        <v>1225</v>
      </c>
      <c r="BL151" s="32" t="s">
        <v>1225</v>
      </c>
      <c r="BM151" s="32" t="s">
        <v>1225</v>
      </c>
      <c r="BN151" s="32" t="s">
        <v>1225</v>
      </c>
      <c r="BO151" s="32" t="s">
        <v>1225</v>
      </c>
      <c r="BP151" s="32" t="s">
        <v>1225</v>
      </c>
      <c r="BQ151" s="32" t="s">
        <v>1225</v>
      </c>
      <c r="BR151" s="32" t="s">
        <v>1225</v>
      </c>
      <c r="BS151" s="32" t="s">
        <v>1225</v>
      </c>
      <c r="BT151" s="32" t="s">
        <v>1225</v>
      </c>
      <c r="BU151" s="32" t="s">
        <v>1225</v>
      </c>
      <c r="BV151" s="32" t="s">
        <v>1225</v>
      </c>
      <c r="BW151" s="32" t="str">
        <f t="shared" si="4"/>
        <v>View Full Record in Web of Science</v>
      </c>
      <c r="BY151" s="41" t="str">
        <f>IF(Deletion!J151=TRUE,"Yes","No")</f>
        <v>Yes</v>
      </c>
    </row>
    <row r="152" spans="1:77" x14ac:dyDescent="0.15">
      <c r="A152" s="32">
        <f t="shared" si="5"/>
        <v>151</v>
      </c>
      <c r="D152" s="32" t="s">
        <v>1223</v>
      </c>
      <c r="E152" s="32" t="s">
        <v>2225</v>
      </c>
      <c r="F152" s="32" t="s">
        <v>1225</v>
      </c>
      <c r="G152" s="32" t="s">
        <v>1225</v>
      </c>
      <c r="H152" s="32" t="s">
        <v>1225</v>
      </c>
      <c r="I152" s="32" t="s">
        <v>2226</v>
      </c>
      <c r="J152" s="32" t="s">
        <v>1225</v>
      </c>
      <c r="K152" s="32" t="s">
        <v>1225</v>
      </c>
      <c r="L152" s="32" t="s">
        <v>2227</v>
      </c>
      <c r="M152" s="32" t="s">
        <v>313</v>
      </c>
      <c r="N152" s="32" t="s">
        <v>1225</v>
      </c>
      <c r="O152" s="32" t="s">
        <v>1225</v>
      </c>
      <c r="P152" s="32" t="s">
        <v>1225</v>
      </c>
      <c r="Q152" s="32" t="s">
        <v>1227</v>
      </c>
      <c r="R152" s="32" t="s">
        <v>1225</v>
      </c>
      <c r="S152" s="32" t="s">
        <v>1225</v>
      </c>
      <c r="T152" s="32" t="s">
        <v>1225</v>
      </c>
      <c r="U152" s="32" t="s">
        <v>1225</v>
      </c>
      <c r="V152" s="32" t="s">
        <v>1225</v>
      </c>
      <c r="W152" s="32" t="s">
        <v>2228</v>
      </c>
      <c r="X152" s="32" t="s">
        <v>2229</v>
      </c>
      <c r="Y152" s="32" t="s">
        <v>2230</v>
      </c>
      <c r="Z152" s="32" t="s">
        <v>1225</v>
      </c>
      <c r="AA152" s="32" t="s">
        <v>1225</v>
      </c>
      <c r="AB152" s="32" t="s">
        <v>1225</v>
      </c>
      <c r="AC152" s="32" t="s">
        <v>1225</v>
      </c>
      <c r="AD152" s="32" t="s">
        <v>1225</v>
      </c>
      <c r="AE152" s="32" t="s">
        <v>1225</v>
      </c>
      <c r="AF152" s="32" t="s">
        <v>1225</v>
      </c>
      <c r="AG152" s="32" t="s">
        <v>1225</v>
      </c>
      <c r="AH152" s="32" t="s">
        <v>1225</v>
      </c>
      <c r="AI152" s="32" t="s">
        <v>1225</v>
      </c>
      <c r="AJ152" s="32" t="s">
        <v>1225</v>
      </c>
      <c r="AK152" s="32" t="s">
        <v>1225</v>
      </c>
      <c r="AL152" s="32" t="s">
        <v>1225</v>
      </c>
      <c r="AM152" s="32" t="s">
        <v>1225</v>
      </c>
      <c r="AN152" s="32" t="s">
        <v>1225</v>
      </c>
      <c r="AO152" s="32" t="s">
        <v>1225</v>
      </c>
      <c r="AP152" s="32" t="s">
        <v>1225</v>
      </c>
      <c r="AQ152" s="32" t="s">
        <v>1225</v>
      </c>
      <c r="AR152" s="32" t="s">
        <v>1225</v>
      </c>
      <c r="AS152" s="32" t="s">
        <v>1225</v>
      </c>
      <c r="AT152" s="32" t="s">
        <v>1225</v>
      </c>
      <c r="AU152" s="32" t="s">
        <v>1225</v>
      </c>
      <c r="AV152" s="32" t="s">
        <v>1225</v>
      </c>
      <c r="AW152" s="32" t="s">
        <v>1256</v>
      </c>
      <c r="AX152" s="32">
        <v>2021</v>
      </c>
      <c r="AY152" s="32">
        <v>133</v>
      </c>
      <c r="AZ152" s="32" t="s">
        <v>1225</v>
      </c>
      <c r="BA152" s="32" t="s">
        <v>1225</v>
      </c>
      <c r="BB152" s="32" t="s">
        <v>1225</v>
      </c>
      <c r="BC152" s="32" t="s">
        <v>1225</v>
      </c>
      <c r="BD152" s="32" t="s">
        <v>1225</v>
      </c>
      <c r="BE152" s="32" t="s">
        <v>1225</v>
      </c>
      <c r="BF152" s="32" t="s">
        <v>1225</v>
      </c>
      <c r="BG152" s="32">
        <v>107195</v>
      </c>
      <c r="BH152" s="32" t="s">
        <v>2231</v>
      </c>
      <c r="BI152" s="32" t="str">
        <f>HYPERLINK("http://dx.doi.org/10.1016/j.ijepes.2021.107195","http://dx.doi.org/10.1016/j.ijepes.2021.107195")</f>
        <v>http://dx.doi.org/10.1016/j.ijepes.2021.107195</v>
      </c>
      <c r="BJ152" s="32" t="s">
        <v>1225</v>
      </c>
      <c r="BK152" s="32" t="s">
        <v>1553</v>
      </c>
      <c r="BL152" s="32" t="s">
        <v>1225</v>
      </c>
      <c r="BM152" s="32" t="s">
        <v>1225</v>
      </c>
      <c r="BN152" s="32" t="s">
        <v>1225</v>
      </c>
      <c r="BO152" s="32" t="s">
        <v>1225</v>
      </c>
      <c r="BP152" s="32" t="s">
        <v>1225</v>
      </c>
      <c r="BQ152" s="32" t="s">
        <v>1225</v>
      </c>
      <c r="BR152" s="32" t="s">
        <v>1225</v>
      </c>
      <c r="BS152" s="32" t="s">
        <v>1225</v>
      </c>
      <c r="BT152" s="32" t="s">
        <v>1225</v>
      </c>
      <c r="BU152" s="32" t="s">
        <v>1225</v>
      </c>
      <c r="BV152" s="32" t="s">
        <v>1225</v>
      </c>
      <c r="BW152" s="32" t="str">
        <f t="shared" si="4"/>
        <v>View Full Record in Web of Science</v>
      </c>
      <c r="BY152" s="41" t="str">
        <f>IF(Deletion!J152=TRUE,"Yes","No")</f>
        <v>Yes</v>
      </c>
    </row>
    <row r="153" spans="1:77" x14ac:dyDescent="0.15">
      <c r="A153" s="34">
        <f t="shared" si="5"/>
        <v>152</v>
      </c>
      <c r="B153" s="34" t="s">
        <v>4</v>
      </c>
      <c r="C153" s="34" t="s">
        <v>4</v>
      </c>
      <c r="D153" s="34" t="s">
        <v>1223</v>
      </c>
      <c r="E153" s="34" t="s">
        <v>2232</v>
      </c>
      <c r="F153" s="32" t="s">
        <v>1225</v>
      </c>
      <c r="G153" s="32" t="s">
        <v>1225</v>
      </c>
      <c r="H153" s="32" t="s">
        <v>1225</v>
      </c>
      <c r="I153" s="34" t="s">
        <v>2233</v>
      </c>
      <c r="J153" s="32" t="s">
        <v>1225</v>
      </c>
      <c r="K153" s="32" t="s">
        <v>1225</v>
      </c>
      <c r="L153" s="34" t="s">
        <v>2234</v>
      </c>
      <c r="M153" s="34" t="s">
        <v>2235</v>
      </c>
      <c r="N153" s="32" t="s">
        <v>1225</v>
      </c>
      <c r="O153" s="32" t="s">
        <v>1225</v>
      </c>
      <c r="P153" s="32" t="s">
        <v>1225</v>
      </c>
      <c r="Q153" s="34" t="s">
        <v>1227</v>
      </c>
      <c r="R153" s="32" t="s">
        <v>1225</v>
      </c>
      <c r="S153" s="32" t="s">
        <v>1225</v>
      </c>
      <c r="T153" s="32" t="s">
        <v>1225</v>
      </c>
      <c r="U153" s="32" t="s">
        <v>1225</v>
      </c>
      <c r="V153" s="32" t="s">
        <v>1225</v>
      </c>
      <c r="W153" s="34" t="s">
        <v>2236</v>
      </c>
      <c r="X153" s="34" t="s">
        <v>1225</v>
      </c>
      <c r="Y153" s="34" t="s">
        <v>2237</v>
      </c>
      <c r="Z153" s="32" t="s">
        <v>1225</v>
      </c>
      <c r="AA153" s="32" t="s">
        <v>1225</v>
      </c>
      <c r="AB153" s="32" t="s">
        <v>1225</v>
      </c>
      <c r="AC153" s="32" t="s">
        <v>1225</v>
      </c>
      <c r="AD153" s="32" t="s">
        <v>1225</v>
      </c>
      <c r="AE153" s="32" t="s">
        <v>1225</v>
      </c>
      <c r="AF153" s="32" t="s">
        <v>1225</v>
      </c>
      <c r="AG153" s="32" t="s">
        <v>1225</v>
      </c>
      <c r="AH153" s="32" t="s">
        <v>1225</v>
      </c>
      <c r="AI153" s="32" t="s">
        <v>1225</v>
      </c>
      <c r="AJ153" s="32" t="s">
        <v>1225</v>
      </c>
      <c r="AK153" s="32" t="s">
        <v>1225</v>
      </c>
      <c r="AL153" s="32" t="s">
        <v>1225</v>
      </c>
      <c r="AM153" s="32" t="s">
        <v>1225</v>
      </c>
      <c r="AN153" s="32" t="s">
        <v>1225</v>
      </c>
      <c r="AO153" s="32" t="s">
        <v>1225</v>
      </c>
      <c r="AP153" s="32" t="s">
        <v>1225</v>
      </c>
      <c r="AQ153" s="32" t="s">
        <v>1225</v>
      </c>
      <c r="AR153" s="32" t="s">
        <v>1225</v>
      </c>
      <c r="AS153" s="32" t="s">
        <v>1225</v>
      </c>
      <c r="AT153" s="32" t="s">
        <v>1225</v>
      </c>
      <c r="AU153" s="32" t="s">
        <v>1225</v>
      </c>
      <c r="AV153" s="32" t="s">
        <v>1225</v>
      </c>
      <c r="AW153" s="34" t="s">
        <v>1225</v>
      </c>
      <c r="AX153" s="34">
        <v>2018</v>
      </c>
      <c r="AY153" s="32">
        <v>24</v>
      </c>
      <c r="AZ153" s="32">
        <v>6</v>
      </c>
      <c r="BA153" s="32" t="s">
        <v>1225</v>
      </c>
      <c r="BB153" s="32" t="s">
        <v>1225</v>
      </c>
      <c r="BC153" s="32" t="s">
        <v>1225</v>
      </c>
      <c r="BD153" s="32" t="s">
        <v>1225</v>
      </c>
      <c r="BE153" s="32">
        <v>15</v>
      </c>
      <c r="BF153" s="32">
        <v>20</v>
      </c>
      <c r="BG153" s="32" t="s">
        <v>1225</v>
      </c>
      <c r="BH153" s="34" t="s">
        <v>2238</v>
      </c>
      <c r="BI153" s="34" t="str">
        <f>HYPERLINK("http://dx.doi.org/10.5755/j01.eie.24.6.22283","http://dx.doi.org/10.5755/j01.eie.24.6.22283")</f>
        <v>http://dx.doi.org/10.5755/j01.eie.24.6.22283</v>
      </c>
      <c r="BJ153" s="32" t="s">
        <v>1225</v>
      </c>
      <c r="BK153" s="32" t="s">
        <v>1225</v>
      </c>
      <c r="BL153" s="32" t="s">
        <v>1225</v>
      </c>
      <c r="BM153" s="32" t="s">
        <v>1225</v>
      </c>
      <c r="BN153" s="32" t="s">
        <v>1225</v>
      </c>
      <c r="BO153" s="32" t="s">
        <v>1225</v>
      </c>
      <c r="BP153" s="32" t="s">
        <v>1225</v>
      </c>
      <c r="BQ153" s="32" t="s">
        <v>1225</v>
      </c>
      <c r="BR153" s="32" t="s">
        <v>1225</v>
      </c>
      <c r="BS153" s="32" t="s">
        <v>1225</v>
      </c>
      <c r="BT153" s="32" t="s">
        <v>1225</v>
      </c>
      <c r="BU153" s="32" t="s">
        <v>1225</v>
      </c>
      <c r="BV153" s="32" t="s">
        <v>1225</v>
      </c>
      <c r="BW153" s="32" t="str">
        <f t="shared" si="4"/>
        <v>View Full Record in Web of Science</v>
      </c>
      <c r="BY153" s="41" t="str">
        <f>IF(Deletion!J153=TRUE,"Yes","No")</f>
        <v>No</v>
      </c>
    </row>
    <row r="154" spans="1:77" x14ac:dyDescent="0.15">
      <c r="A154" s="32">
        <f t="shared" si="5"/>
        <v>153</v>
      </c>
      <c r="D154" s="32" t="s">
        <v>1223</v>
      </c>
      <c r="E154" s="32" t="s">
        <v>2239</v>
      </c>
      <c r="F154" s="32" t="s">
        <v>1225</v>
      </c>
      <c r="G154" s="32" t="s">
        <v>1225</v>
      </c>
      <c r="H154" s="32" t="s">
        <v>1225</v>
      </c>
      <c r="I154" s="32" t="s">
        <v>2240</v>
      </c>
      <c r="J154" s="32" t="s">
        <v>1225</v>
      </c>
      <c r="K154" s="32" t="s">
        <v>1225</v>
      </c>
      <c r="L154" s="32" t="s">
        <v>2241</v>
      </c>
      <c r="M154" s="32" t="s">
        <v>1803</v>
      </c>
      <c r="N154" s="32" t="s">
        <v>1225</v>
      </c>
      <c r="O154" s="32" t="s">
        <v>1225</v>
      </c>
      <c r="P154" s="32" t="s">
        <v>1225</v>
      </c>
      <c r="Q154" s="32" t="s">
        <v>1227</v>
      </c>
      <c r="R154" s="32" t="s">
        <v>1225</v>
      </c>
      <c r="S154" s="32" t="s">
        <v>1225</v>
      </c>
      <c r="T154" s="32" t="s">
        <v>1225</v>
      </c>
      <c r="U154" s="32" t="s">
        <v>1225</v>
      </c>
      <c r="V154" s="32" t="s">
        <v>1225</v>
      </c>
      <c r="W154" s="32" t="s">
        <v>2242</v>
      </c>
      <c r="X154" s="32" t="s">
        <v>2243</v>
      </c>
      <c r="Y154" s="32" t="s">
        <v>2244</v>
      </c>
      <c r="Z154" s="32" t="s">
        <v>1225</v>
      </c>
      <c r="AA154" s="32" t="s">
        <v>1225</v>
      </c>
      <c r="AB154" s="32" t="s">
        <v>1225</v>
      </c>
      <c r="AC154" s="32" t="s">
        <v>1225</v>
      </c>
      <c r="AD154" s="32" t="s">
        <v>1225</v>
      </c>
      <c r="AE154" s="32" t="s">
        <v>1225</v>
      </c>
      <c r="AF154" s="32" t="s">
        <v>1225</v>
      </c>
      <c r="AG154" s="32" t="s">
        <v>1225</v>
      </c>
      <c r="AH154" s="32" t="s">
        <v>1225</v>
      </c>
      <c r="AI154" s="32" t="s">
        <v>1225</v>
      </c>
      <c r="AJ154" s="32" t="s">
        <v>1225</v>
      </c>
      <c r="AK154" s="32" t="s">
        <v>1225</v>
      </c>
      <c r="AL154" s="32" t="s">
        <v>1225</v>
      </c>
      <c r="AM154" s="32" t="s">
        <v>1225</v>
      </c>
      <c r="AN154" s="32" t="s">
        <v>1225</v>
      </c>
      <c r="AO154" s="32" t="s">
        <v>1225</v>
      </c>
      <c r="AP154" s="32" t="s">
        <v>1225</v>
      </c>
      <c r="AQ154" s="32" t="s">
        <v>1225</v>
      </c>
      <c r="AR154" s="32" t="s">
        <v>1225</v>
      </c>
      <c r="AS154" s="32" t="s">
        <v>1225</v>
      </c>
      <c r="AT154" s="32" t="s">
        <v>1225</v>
      </c>
      <c r="AU154" s="32" t="s">
        <v>1225</v>
      </c>
      <c r="AV154" s="32" t="s">
        <v>1225</v>
      </c>
      <c r="AW154" s="32" t="s">
        <v>1263</v>
      </c>
      <c r="AX154" s="32">
        <v>2020</v>
      </c>
      <c r="AY154" s="32">
        <v>254</v>
      </c>
      <c r="AZ154" s="32" t="s">
        <v>1225</v>
      </c>
      <c r="BA154" s="32" t="s">
        <v>1225</v>
      </c>
      <c r="BB154" s="32" t="s">
        <v>1225</v>
      </c>
      <c r="BC154" s="32" t="s">
        <v>1225</v>
      </c>
      <c r="BD154" s="32" t="s">
        <v>1225</v>
      </c>
      <c r="BE154" s="32" t="s">
        <v>1225</v>
      </c>
      <c r="BF154" s="32" t="s">
        <v>1225</v>
      </c>
      <c r="BG154" s="32">
        <v>119886</v>
      </c>
      <c r="BH154" s="32" t="s">
        <v>2245</v>
      </c>
      <c r="BI154" s="32" t="str">
        <f>HYPERLINK("http://dx.doi.org/10.1016/j.jclepro.2019.119886","http://dx.doi.org/10.1016/j.jclepro.2019.119886")</f>
        <v>http://dx.doi.org/10.1016/j.jclepro.2019.119886</v>
      </c>
      <c r="BJ154" s="32" t="s">
        <v>1225</v>
      </c>
      <c r="BK154" s="32" t="s">
        <v>1225</v>
      </c>
      <c r="BL154" s="32" t="s">
        <v>1225</v>
      </c>
      <c r="BM154" s="32" t="s">
        <v>1225</v>
      </c>
      <c r="BN154" s="32" t="s">
        <v>1225</v>
      </c>
      <c r="BO154" s="32" t="s">
        <v>1225</v>
      </c>
      <c r="BP154" s="32" t="s">
        <v>1225</v>
      </c>
      <c r="BQ154" s="32" t="s">
        <v>1225</v>
      </c>
      <c r="BR154" s="32" t="s">
        <v>1225</v>
      </c>
      <c r="BS154" s="32" t="s">
        <v>1225</v>
      </c>
      <c r="BT154" s="32" t="s">
        <v>1225</v>
      </c>
      <c r="BU154" s="32" t="s">
        <v>1225</v>
      </c>
      <c r="BV154" s="32" t="s">
        <v>1225</v>
      </c>
      <c r="BW154" s="32" t="str">
        <f t="shared" si="4"/>
        <v>View Full Record in Web of Science</v>
      </c>
      <c r="BY154" s="41" t="str">
        <f>IF(Deletion!J154=TRUE,"Yes","No")</f>
        <v>Yes</v>
      </c>
    </row>
    <row r="155" spans="1:77" x14ac:dyDescent="0.15">
      <c r="A155" s="32">
        <f t="shared" si="5"/>
        <v>154</v>
      </c>
      <c r="D155" s="32" t="s">
        <v>1223</v>
      </c>
      <c r="E155" s="32" t="s">
        <v>2246</v>
      </c>
      <c r="F155" s="32" t="s">
        <v>1225</v>
      </c>
      <c r="G155" s="32" t="s">
        <v>1225</v>
      </c>
      <c r="H155" s="32" t="s">
        <v>1225</v>
      </c>
      <c r="I155" s="32" t="s">
        <v>2247</v>
      </c>
      <c r="J155" s="32" t="s">
        <v>1225</v>
      </c>
      <c r="K155" s="32" t="s">
        <v>1225</v>
      </c>
      <c r="L155" s="32" t="s">
        <v>2248</v>
      </c>
      <c r="M155" s="32" t="s">
        <v>1698</v>
      </c>
      <c r="N155" s="32" t="s">
        <v>1225</v>
      </c>
      <c r="O155" s="32" t="s">
        <v>1225</v>
      </c>
      <c r="P155" s="32" t="s">
        <v>1225</v>
      </c>
      <c r="Q155" s="32" t="s">
        <v>1227</v>
      </c>
      <c r="R155" s="32" t="s">
        <v>1225</v>
      </c>
      <c r="S155" s="32" t="s">
        <v>1225</v>
      </c>
      <c r="T155" s="32" t="s">
        <v>1225</v>
      </c>
      <c r="U155" s="32" t="s">
        <v>1225</v>
      </c>
      <c r="V155" s="32" t="s">
        <v>1225</v>
      </c>
      <c r="W155" s="32" t="s">
        <v>2249</v>
      </c>
      <c r="X155" s="32" t="s">
        <v>2250</v>
      </c>
      <c r="Y155" s="32" t="s">
        <v>2251</v>
      </c>
      <c r="Z155" s="32" t="s">
        <v>1225</v>
      </c>
      <c r="AA155" s="32" t="s">
        <v>1225</v>
      </c>
      <c r="AB155" s="32" t="s">
        <v>1225</v>
      </c>
      <c r="AC155" s="32" t="s">
        <v>1225</v>
      </c>
      <c r="AD155" s="32" t="s">
        <v>1225</v>
      </c>
      <c r="AE155" s="32" t="s">
        <v>1225</v>
      </c>
      <c r="AF155" s="32" t="s">
        <v>1225</v>
      </c>
      <c r="AG155" s="32" t="s">
        <v>1225</v>
      </c>
      <c r="AH155" s="32" t="s">
        <v>1225</v>
      </c>
      <c r="AI155" s="32" t="s">
        <v>1225</v>
      </c>
      <c r="AJ155" s="32" t="s">
        <v>1225</v>
      </c>
      <c r="AK155" s="32" t="s">
        <v>1225</v>
      </c>
      <c r="AL155" s="32" t="s">
        <v>1225</v>
      </c>
      <c r="AM155" s="32" t="s">
        <v>1225</v>
      </c>
      <c r="AN155" s="32" t="s">
        <v>1225</v>
      </c>
      <c r="AO155" s="32" t="s">
        <v>1225</v>
      </c>
      <c r="AP155" s="32" t="s">
        <v>1225</v>
      </c>
      <c r="AQ155" s="32" t="s">
        <v>1225</v>
      </c>
      <c r="AR155" s="32" t="s">
        <v>1225</v>
      </c>
      <c r="AS155" s="32" t="s">
        <v>1225</v>
      </c>
      <c r="AT155" s="32" t="s">
        <v>1225</v>
      </c>
      <c r="AU155" s="32" t="s">
        <v>1225</v>
      </c>
      <c r="AV155" s="32" t="s">
        <v>1225</v>
      </c>
      <c r="AW155" s="32" t="s">
        <v>1229</v>
      </c>
      <c r="AX155" s="32">
        <v>2021</v>
      </c>
      <c r="AY155" s="32">
        <v>10</v>
      </c>
      <c r="AZ155" s="32" t="s">
        <v>1225</v>
      </c>
      <c r="BA155" s="32" t="s">
        <v>1225</v>
      </c>
      <c r="BB155" s="32" t="s">
        <v>1225</v>
      </c>
      <c r="BC155" s="32" t="s">
        <v>1225</v>
      </c>
      <c r="BD155" s="32" t="s">
        <v>1225</v>
      </c>
      <c r="BE155" s="32" t="s">
        <v>1225</v>
      </c>
      <c r="BF155" s="32" t="s">
        <v>1225</v>
      </c>
      <c r="BG155" s="32">
        <v>100131</v>
      </c>
      <c r="BH155" s="32" t="s">
        <v>2252</v>
      </c>
      <c r="BI155" s="32" t="str">
        <f>HYPERLINK("http://dx.doi.org/10.1016/j.etran.2021.100131","http://dx.doi.org/10.1016/j.etran.2021.100131")</f>
        <v>http://dx.doi.org/10.1016/j.etran.2021.100131</v>
      </c>
      <c r="BJ155" s="32" t="s">
        <v>1225</v>
      </c>
      <c r="BK155" s="32" t="s">
        <v>1502</v>
      </c>
      <c r="BL155" s="32" t="s">
        <v>1225</v>
      </c>
      <c r="BM155" s="32" t="s">
        <v>1225</v>
      </c>
      <c r="BN155" s="32" t="s">
        <v>1225</v>
      </c>
      <c r="BO155" s="32" t="s">
        <v>1225</v>
      </c>
      <c r="BP155" s="32" t="s">
        <v>1225</v>
      </c>
      <c r="BQ155" s="32" t="s">
        <v>1225</v>
      </c>
      <c r="BR155" s="32" t="s">
        <v>1225</v>
      </c>
      <c r="BS155" s="32" t="s">
        <v>1225</v>
      </c>
      <c r="BT155" s="32" t="s">
        <v>1225</v>
      </c>
      <c r="BU155" s="32" t="s">
        <v>1225</v>
      </c>
      <c r="BV155" s="32" t="s">
        <v>1225</v>
      </c>
      <c r="BW155" s="32" t="str">
        <f t="shared" si="4"/>
        <v>View Full Record in Web of Science</v>
      </c>
      <c r="BY155" s="41" t="str">
        <f>IF(Deletion!J155=TRUE,"Yes","No")</f>
        <v>Yes</v>
      </c>
    </row>
    <row r="156" spans="1:77" x14ac:dyDescent="0.15">
      <c r="A156" s="38">
        <f t="shared" si="5"/>
        <v>155</v>
      </c>
      <c r="B156" s="38" t="s">
        <v>1413</v>
      </c>
      <c r="C156" s="38" t="s">
        <v>1413</v>
      </c>
      <c r="D156" s="38" t="s">
        <v>1223</v>
      </c>
      <c r="E156" s="38" t="s">
        <v>2253</v>
      </c>
      <c r="F156" s="32" t="s">
        <v>1225</v>
      </c>
      <c r="G156" s="32" t="s">
        <v>1225</v>
      </c>
      <c r="H156" s="32" t="s">
        <v>1225</v>
      </c>
      <c r="I156" s="38" t="s">
        <v>2254</v>
      </c>
      <c r="J156" s="32" t="s">
        <v>1225</v>
      </c>
      <c r="K156" s="32" t="s">
        <v>1225</v>
      </c>
      <c r="L156" s="38" t="s">
        <v>2255</v>
      </c>
      <c r="M156" s="38" t="s">
        <v>422</v>
      </c>
      <c r="N156" s="32" t="s">
        <v>1225</v>
      </c>
      <c r="O156" s="32" t="s">
        <v>1225</v>
      </c>
      <c r="P156" s="32" t="s">
        <v>1225</v>
      </c>
      <c r="Q156" s="38" t="s">
        <v>1417</v>
      </c>
      <c r="R156" s="32" t="s">
        <v>1225</v>
      </c>
      <c r="S156" s="32" t="s">
        <v>1225</v>
      </c>
      <c r="T156" s="32" t="s">
        <v>1225</v>
      </c>
      <c r="U156" s="32" t="s">
        <v>1225</v>
      </c>
      <c r="V156" s="32" t="s">
        <v>1225</v>
      </c>
      <c r="W156" s="38" t="s">
        <v>2256</v>
      </c>
      <c r="X156" s="38" t="s">
        <v>2257</v>
      </c>
      <c r="Y156" s="38" t="s">
        <v>2258</v>
      </c>
      <c r="Z156" s="32" t="s">
        <v>1225</v>
      </c>
      <c r="AA156" s="32" t="s">
        <v>1225</v>
      </c>
      <c r="AB156" s="32" t="s">
        <v>1225</v>
      </c>
      <c r="AC156" s="32" t="s">
        <v>1225</v>
      </c>
      <c r="AD156" s="32" t="s">
        <v>1225</v>
      </c>
      <c r="AE156" s="32" t="s">
        <v>1225</v>
      </c>
      <c r="AF156" s="32" t="s">
        <v>1225</v>
      </c>
      <c r="AG156" s="32" t="s">
        <v>1225</v>
      </c>
      <c r="AH156" s="32" t="s">
        <v>1225</v>
      </c>
      <c r="AI156" s="32" t="s">
        <v>1225</v>
      </c>
      <c r="AJ156" s="32" t="s">
        <v>1225</v>
      </c>
      <c r="AK156" s="32" t="s">
        <v>1225</v>
      </c>
      <c r="AL156" s="32" t="s">
        <v>1225</v>
      </c>
      <c r="AM156" s="32" t="s">
        <v>1225</v>
      </c>
      <c r="AN156" s="32" t="s">
        <v>1225</v>
      </c>
      <c r="AO156" s="32" t="s">
        <v>1225</v>
      </c>
      <c r="AP156" s="32" t="s">
        <v>1225</v>
      </c>
      <c r="AQ156" s="32" t="s">
        <v>1225</v>
      </c>
      <c r="AR156" s="32" t="s">
        <v>1225</v>
      </c>
      <c r="AS156" s="32" t="s">
        <v>1225</v>
      </c>
      <c r="AT156" s="32" t="s">
        <v>1225</v>
      </c>
      <c r="AU156" s="32" t="s">
        <v>1225</v>
      </c>
      <c r="AV156" s="32" t="s">
        <v>1225</v>
      </c>
      <c r="AW156" s="38" t="s">
        <v>1726</v>
      </c>
      <c r="AX156" s="38">
        <v>2021</v>
      </c>
      <c r="AY156" s="32">
        <v>14</v>
      </c>
      <c r="AZ156" s="32">
        <v>8</v>
      </c>
      <c r="BA156" s="32" t="s">
        <v>1225</v>
      </c>
      <c r="BB156" s="32" t="s">
        <v>1225</v>
      </c>
      <c r="BC156" s="32" t="s">
        <v>1225</v>
      </c>
      <c r="BD156" s="32" t="s">
        <v>1225</v>
      </c>
      <c r="BE156" s="32" t="s">
        <v>1225</v>
      </c>
      <c r="BF156" s="32" t="s">
        <v>1225</v>
      </c>
      <c r="BG156" s="32">
        <v>2233</v>
      </c>
      <c r="BH156" s="38" t="s">
        <v>2259</v>
      </c>
      <c r="BI156" s="38" t="str">
        <f>HYPERLINK("http://dx.doi.org/10.3390/en14082233","http://dx.doi.org/10.3390/en14082233")</f>
        <v>http://dx.doi.org/10.3390/en14082233</v>
      </c>
      <c r="BJ156" s="32" t="s">
        <v>1225</v>
      </c>
      <c r="BK156" s="32" t="s">
        <v>1225</v>
      </c>
      <c r="BL156" s="32" t="s">
        <v>1225</v>
      </c>
      <c r="BM156" s="32" t="s">
        <v>1225</v>
      </c>
      <c r="BN156" s="32" t="s">
        <v>1225</v>
      </c>
      <c r="BO156" s="32" t="s">
        <v>1225</v>
      </c>
      <c r="BP156" s="32" t="s">
        <v>1225</v>
      </c>
      <c r="BQ156" s="32" t="s">
        <v>1225</v>
      </c>
      <c r="BR156" s="32" t="s">
        <v>1225</v>
      </c>
      <c r="BS156" s="32" t="s">
        <v>1225</v>
      </c>
      <c r="BT156" s="32" t="s">
        <v>1225</v>
      </c>
      <c r="BU156" s="32" t="s">
        <v>1225</v>
      </c>
      <c r="BV156" s="32" t="s">
        <v>1225</v>
      </c>
      <c r="BW156" s="32" t="str">
        <f t="shared" si="4"/>
        <v>View Full Record in Web of Science</v>
      </c>
      <c r="BY156" s="41" t="str">
        <f>IF(Deletion!J156=TRUE,"Yes","No")</f>
        <v>Yes</v>
      </c>
    </row>
    <row r="157" spans="1:77" x14ac:dyDescent="0.15">
      <c r="A157" s="32">
        <f t="shared" si="5"/>
        <v>156</v>
      </c>
      <c r="D157" s="32" t="s">
        <v>1223</v>
      </c>
      <c r="E157" s="32" t="s">
        <v>2260</v>
      </c>
      <c r="F157" s="32" t="s">
        <v>1225</v>
      </c>
      <c r="G157" s="32" t="s">
        <v>1225</v>
      </c>
      <c r="H157" s="32" t="s">
        <v>1225</v>
      </c>
      <c r="I157" s="32" t="s">
        <v>2261</v>
      </c>
      <c r="J157" s="32" t="s">
        <v>1225</v>
      </c>
      <c r="K157" s="32" t="s">
        <v>1225</v>
      </c>
      <c r="L157" s="32" t="s">
        <v>2262</v>
      </c>
      <c r="M157" s="32" t="s">
        <v>422</v>
      </c>
      <c r="N157" s="32" t="s">
        <v>1225</v>
      </c>
      <c r="O157" s="32" t="s">
        <v>1225</v>
      </c>
      <c r="P157" s="32" t="s">
        <v>1225</v>
      </c>
      <c r="Q157" s="32" t="s">
        <v>1227</v>
      </c>
      <c r="R157" s="32" t="s">
        <v>1225</v>
      </c>
      <c r="S157" s="32" t="s">
        <v>1225</v>
      </c>
      <c r="T157" s="32" t="s">
        <v>1225</v>
      </c>
      <c r="U157" s="32" t="s">
        <v>1225</v>
      </c>
      <c r="V157" s="32" t="s">
        <v>1225</v>
      </c>
      <c r="W157" s="32" t="s">
        <v>2263</v>
      </c>
      <c r="X157" s="32" t="s">
        <v>1225</v>
      </c>
      <c r="Y157" s="32" t="s">
        <v>2264</v>
      </c>
      <c r="Z157" s="32" t="s">
        <v>1225</v>
      </c>
      <c r="AA157" s="32" t="s">
        <v>1225</v>
      </c>
      <c r="AB157" s="32" t="s">
        <v>1225</v>
      </c>
      <c r="AC157" s="32" t="s">
        <v>1225</v>
      </c>
      <c r="AD157" s="32" t="s">
        <v>1225</v>
      </c>
      <c r="AE157" s="32" t="s">
        <v>1225</v>
      </c>
      <c r="AF157" s="32" t="s">
        <v>1225</v>
      </c>
      <c r="AG157" s="32" t="s">
        <v>1225</v>
      </c>
      <c r="AH157" s="32" t="s">
        <v>1225</v>
      </c>
      <c r="AI157" s="32" t="s">
        <v>1225</v>
      </c>
      <c r="AJ157" s="32" t="s">
        <v>1225</v>
      </c>
      <c r="AK157" s="32" t="s">
        <v>1225</v>
      </c>
      <c r="AL157" s="32" t="s">
        <v>1225</v>
      </c>
      <c r="AM157" s="32" t="s">
        <v>1225</v>
      </c>
      <c r="AN157" s="32" t="s">
        <v>1225</v>
      </c>
      <c r="AO157" s="32" t="s">
        <v>1225</v>
      </c>
      <c r="AP157" s="32" t="s">
        <v>1225</v>
      </c>
      <c r="AQ157" s="32" t="s">
        <v>1225</v>
      </c>
      <c r="AR157" s="32" t="s">
        <v>1225</v>
      </c>
      <c r="AS157" s="32" t="s">
        <v>1225</v>
      </c>
      <c r="AT157" s="32" t="s">
        <v>1225</v>
      </c>
      <c r="AU157" s="32" t="s">
        <v>1225</v>
      </c>
      <c r="AV157" s="32" t="s">
        <v>1225</v>
      </c>
      <c r="AW157" s="32" t="s">
        <v>1356</v>
      </c>
      <c r="AX157" s="32">
        <v>2021</v>
      </c>
      <c r="AY157" s="32">
        <v>14</v>
      </c>
      <c r="AZ157" s="32">
        <v>16</v>
      </c>
      <c r="BA157" s="32" t="s">
        <v>1225</v>
      </c>
      <c r="BB157" s="32" t="s">
        <v>1225</v>
      </c>
      <c r="BC157" s="32" t="s">
        <v>1225</v>
      </c>
      <c r="BD157" s="32" t="s">
        <v>1225</v>
      </c>
      <c r="BE157" s="32" t="s">
        <v>1225</v>
      </c>
      <c r="BF157" s="32" t="s">
        <v>1225</v>
      </c>
      <c r="BG157" s="32">
        <v>4961</v>
      </c>
      <c r="BH157" s="32" t="s">
        <v>2265</v>
      </c>
      <c r="BI157" s="32" t="str">
        <f>HYPERLINK("http://dx.doi.org/10.3390/en14164961","http://dx.doi.org/10.3390/en14164961")</f>
        <v>http://dx.doi.org/10.3390/en14164961</v>
      </c>
      <c r="BJ157" s="32" t="s">
        <v>1225</v>
      </c>
      <c r="BK157" s="32" t="s">
        <v>1225</v>
      </c>
      <c r="BL157" s="32" t="s">
        <v>1225</v>
      </c>
      <c r="BM157" s="32" t="s">
        <v>1225</v>
      </c>
      <c r="BN157" s="32" t="s">
        <v>1225</v>
      </c>
      <c r="BO157" s="32" t="s">
        <v>1225</v>
      </c>
      <c r="BP157" s="32" t="s">
        <v>1225</v>
      </c>
      <c r="BQ157" s="32" t="s">
        <v>1225</v>
      </c>
      <c r="BR157" s="32" t="s">
        <v>1225</v>
      </c>
      <c r="BS157" s="32" t="s">
        <v>1225</v>
      </c>
      <c r="BT157" s="32" t="s">
        <v>1225</v>
      </c>
      <c r="BU157" s="32" t="s">
        <v>1225</v>
      </c>
      <c r="BV157" s="32" t="s">
        <v>1225</v>
      </c>
      <c r="BW157" s="32" t="str">
        <f t="shared" si="4"/>
        <v>View Full Record in Web of Science</v>
      </c>
      <c r="BY157" s="41" t="str">
        <f>IF(Deletion!J157=TRUE,"Yes","No")</f>
        <v>Yes</v>
      </c>
    </row>
    <row r="158" spans="1:77" x14ac:dyDescent="0.15">
      <c r="A158" s="40">
        <f t="shared" si="5"/>
        <v>157</v>
      </c>
      <c r="B158" s="42" t="s">
        <v>2266</v>
      </c>
      <c r="C158" s="42" t="s">
        <v>1241</v>
      </c>
      <c r="D158" s="40" t="s">
        <v>1223</v>
      </c>
      <c r="E158" s="40" t="s">
        <v>2267</v>
      </c>
      <c r="F158" s="40" t="s">
        <v>1225</v>
      </c>
      <c r="G158" s="40" t="s">
        <v>1225</v>
      </c>
      <c r="H158" s="40" t="s">
        <v>1225</v>
      </c>
      <c r="I158" s="40" t="s">
        <v>864</v>
      </c>
      <c r="J158" s="40" t="s">
        <v>1225</v>
      </c>
      <c r="K158" s="40" t="s">
        <v>1225</v>
      </c>
      <c r="L158" s="40" t="s">
        <v>862</v>
      </c>
      <c r="M158" s="40" t="s">
        <v>863</v>
      </c>
      <c r="N158" s="40" t="s">
        <v>1225</v>
      </c>
      <c r="O158" s="40" t="s">
        <v>1225</v>
      </c>
      <c r="P158" s="40" t="s">
        <v>1225</v>
      </c>
      <c r="Q158" s="40" t="s">
        <v>1227</v>
      </c>
      <c r="R158" s="40" t="s">
        <v>1225</v>
      </c>
      <c r="S158" s="40" t="s">
        <v>1225</v>
      </c>
      <c r="T158" s="40" t="s">
        <v>1225</v>
      </c>
      <c r="U158" s="40" t="s">
        <v>1225</v>
      </c>
      <c r="V158" s="40" t="s">
        <v>1225</v>
      </c>
      <c r="W158" s="40" t="s">
        <v>866</v>
      </c>
      <c r="X158" s="40" t="s">
        <v>2268</v>
      </c>
      <c r="Y158" s="40" t="s">
        <v>865</v>
      </c>
      <c r="Z158" s="40" t="s">
        <v>1225</v>
      </c>
      <c r="AA158" s="40" t="s">
        <v>1225</v>
      </c>
      <c r="AB158" s="40" t="s">
        <v>1225</v>
      </c>
      <c r="AC158" s="40" t="s">
        <v>1225</v>
      </c>
      <c r="AD158" s="40" t="s">
        <v>1225</v>
      </c>
      <c r="AE158" s="40" t="s">
        <v>1225</v>
      </c>
      <c r="AF158" s="40" t="s">
        <v>1225</v>
      </c>
      <c r="AG158" s="40" t="s">
        <v>1225</v>
      </c>
      <c r="AH158" s="40" t="s">
        <v>1225</v>
      </c>
      <c r="AI158" s="40" t="s">
        <v>1225</v>
      </c>
      <c r="AJ158" s="40" t="s">
        <v>1225</v>
      </c>
      <c r="AK158" s="40" t="s">
        <v>1225</v>
      </c>
      <c r="AL158" s="40" t="s">
        <v>1225</v>
      </c>
      <c r="AM158" s="40" t="s">
        <v>1225</v>
      </c>
      <c r="AN158" s="40" t="s">
        <v>1225</v>
      </c>
      <c r="AO158" s="40" t="s">
        <v>1225</v>
      </c>
      <c r="AP158" s="40" t="s">
        <v>1225</v>
      </c>
      <c r="AQ158" s="40" t="s">
        <v>1225</v>
      </c>
      <c r="AR158" s="40" t="s">
        <v>1225</v>
      </c>
      <c r="AS158" s="40" t="s">
        <v>1225</v>
      </c>
      <c r="AT158" s="40" t="s">
        <v>1225</v>
      </c>
      <c r="AU158" s="40" t="s">
        <v>1225</v>
      </c>
      <c r="AV158" s="40" t="s">
        <v>1225</v>
      </c>
      <c r="AW158" s="40" t="s">
        <v>1276</v>
      </c>
      <c r="AX158" s="40">
        <v>2021</v>
      </c>
      <c r="AY158" s="40">
        <v>12</v>
      </c>
      <c r="AZ158" s="40">
        <v>4</v>
      </c>
      <c r="BA158" s="40" t="s">
        <v>1225</v>
      </c>
      <c r="BB158" s="40" t="s">
        <v>1225</v>
      </c>
      <c r="BC158" s="40" t="s">
        <v>1225</v>
      </c>
      <c r="BD158" s="40" t="s">
        <v>1225</v>
      </c>
      <c r="BE158" s="40">
        <v>2321</v>
      </c>
      <c r="BF158" s="40">
        <v>2331</v>
      </c>
      <c r="BG158" s="40" t="s">
        <v>1225</v>
      </c>
      <c r="BH158" s="40" t="s">
        <v>2269</v>
      </c>
      <c r="BI158" s="40" t="str">
        <f>HYPERLINK("http://dx.doi.org/10.1109/TSTE.2021.3090463","http://dx.doi.org/10.1109/TSTE.2021.3090463")</f>
        <v>http://dx.doi.org/10.1109/TSTE.2021.3090463</v>
      </c>
      <c r="BJ158" s="40" t="s">
        <v>1225</v>
      </c>
      <c r="BK158" s="40" t="s">
        <v>1225</v>
      </c>
      <c r="BL158" s="40" t="s">
        <v>1225</v>
      </c>
      <c r="BM158" s="40" t="s">
        <v>1225</v>
      </c>
      <c r="BN158" s="40" t="s">
        <v>1225</v>
      </c>
      <c r="BO158" s="40" t="s">
        <v>1225</v>
      </c>
      <c r="BP158" s="40" t="s">
        <v>1225</v>
      </c>
      <c r="BQ158" s="40" t="s">
        <v>1225</v>
      </c>
      <c r="BR158" s="40" t="s">
        <v>1225</v>
      </c>
      <c r="BS158" s="40" t="s">
        <v>1225</v>
      </c>
      <c r="BT158" s="40" t="s">
        <v>1225</v>
      </c>
      <c r="BU158" s="40" t="s">
        <v>1225</v>
      </c>
      <c r="BV158" s="40" t="s">
        <v>1225</v>
      </c>
      <c r="BW158" s="40" t="str">
        <f t="shared" si="4"/>
        <v>View Full Record in Web of Science</v>
      </c>
      <c r="BX158" s="40"/>
      <c r="BY158" s="41" t="str">
        <f>IF(Deletion!J158=TRUE,"Yes","No")</f>
        <v>Yes</v>
      </c>
    </row>
    <row r="159" spans="1:77" x14ac:dyDescent="0.15">
      <c r="A159" s="32">
        <f t="shared" si="5"/>
        <v>158</v>
      </c>
      <c r="D159" s="32" t="s">
        <v>1223</v>
      </c>
      <c r="E159" s="32" t="s">
        <v>2270</v>
      </c>
      <c r="F159" s="32" t="s">
        <v>1225</v>
      </c>
      <c r="G159" s="32" t="s">
        <v>1225</v>
      </c>
      <c r="H159" s="32" t="s">
        <v>1225</v>
      </c>
      <c r="I159" s="32" t="s">
        <v>2271</v>
      </c>
      <c r="J159" s="32" t="s">
        <v>1225</v>
      </c>
      <c r="K159" s="32" t="s">
        <v>1225</v>
      </c>
      <c r="L159" s="32" t="s">
        <v>2272</v>
      </c>
      <c r="M159" s="32" t="s">
        <v>371</v>
      </c>
      <c r="N159" s="32" t="s">
        <v>1225</v>
      </c>
      <c r="O159" s="32" t="s">
        <v>1225</v>
      </c>
      <c r="P159" s="32" t="s">
        <v>1225</v>
      </c>
      <c r="Q159" s="32" t="s">
        <v>1227</v>
      </c>
      <c r="R159" s="32" t="s">
        <v>1225</v>
      </c>
      <c r="S159" s="32" t="s">
        <v>1225</v>
      </c>
      <c r="T159" s="32" t="s">
        <v>1225</v>
      </c>
      <c r="U159" s="32" t="s">
        <v>1225</v>
      </c>
      <c r="V159" s="32" t="s">
        <v>1225</v>
      </c>
      <c r="W159" s="32" t="s">
        <v>2273</v>
      </c>
      <c r="X159" s="32" t="s">
        <v>2274</v>
      </c>
      <c r="Y159" s="32" t="s">
        <v>2275</v>
      </c>
      <c r="Z159" s="32" t="s">
        <v>1225</v>
      </c>
      <c r="AA159" s="32" t="s">
        <v>1225</v>
      </c>
      <c r="AB159" s="32" t="s">
        <v>1225</v>
      </c>
      <c r="AC159" s="32" t="s">
        <v>1225</v>
      </c>
      <c r="AD159" s="32" t="s">
        <v>1225</v>
      </c>
      <c r="AE159" s="32" t="s">
        <v>1225</v>
      </c>
      <c r="AF159" s="32" t="s">
        <v>1225</v>
      </c>
      <c r="AG159" s="32" t="s">
        <v>1225</v>
      </c>
      <c r="AH159" s="32" t="s">
        <v>1225</v>
      </c>
      <c r="AI159" s="32" t="s">
        <v>1225</v>
      </c>
      <c r="AJ159" s="32" t="s">
        <v>1225</v>
      </c>
      <c r="AK159" s="32" t="s">
        <v>1225</v>
      </c>
      <c r="AL159" s="32" t="s">
        <v>1225</v>
      </c>
      <c r="AM159" s="32" t="s">
        <v>1225</v>
      </c>
      <c r="AN159" s="32" t="s">
        <v>1225</v>
      </c>
      <c r="AO159" s="32" t="s">
        <v>1225</v>
      </c>
      <c r="AP159" s="32" t="s">
        <v>1225</v>
      </c>
      <c r="AQ159" s="32" t="s">
        <v>1225</v>
      </c>
      <c r="AR159" s="32" t="s">
        <v>1225</v>
      </c>
      <c r="AS159" s="32" t="s">
        <v>1225</v>
      </c>
      <c r="AT159" s="32" t="s">
        <v>1225</v>
      </c>
      <c r="AU159" s="32" t="s">
        <v>1225</v>
      </c>
      <c r="AV159" s="32" t="s">
        <v>1225</v>
      </c>
      <c r="AW159" s="32" t="s">
        <v>1225</v>
      </c>
      <c r="AX159" s="32">
        <v>2022</v>
      </c>
      <c r="AY159" s="32">
        <v>30</v>
      </c>
      <c r="AZ159" s="32">
        <v>3</v>
      </c>
      <c r="BA159" s="32" t="s">
        <v>1225</v>
      </c>
      <c r="BB159" s="32" t="s">
        <v>1225</v>
      </c>
      <c r="BC159" s="32" t="s">
        <v>1225</v>
      </c>
      <c r="BD159" s="32" t="s">
        <v>1225</v>
      </c>
      <c r="BE159" s="32">
        <v>927</v>
      </c>
      <c r="BF159" s="32">
        <v>942</v>
      </c>
      <c r="BG159" s="32" t="s">
        <v>1225</v>
      </c>
      <c r="BH159" s="32" t="s">
        <v>2276</v>
      </c>
      <c r="BI159" s="32" t="str">
        <f>HYPERLINK("http://dx.doi.org/10.3906/elk-2106-80","http://dx.doi.org/10.3906/elk-2106-80")</f>
        <v>http://dx.doi.org/10.3906/elk-2106-80</v>
      </c>
      <c r="BJ159" s="32" t="s">
        <v>1225</v>
      </c>
      <c r="BK159" s="32" t="s">
        <v>1225</v>
      </c>
      <c r="BL159" s="32" t="s">
        <v>1225</v>
      </c>
      <c r="BM159" s="32" t="s">
        <v>1225</v>
      </c>
      <c r="BN159" s="32" t="s">
        <v>1225</v>
      </c>
      <c r="BO159" s="32" t="s">
        <v>1225</v>
      </c>
      <c r="BP159" s="32" t="s">
        <v>1225</v>
      </c>
      <c r="BQ159" s="32" t="s">
        <v>1225</v>
      </c>
      <c r="BR159" s="32" t="s">
        <v>1225</v>
      </c>
      <c r="BS159" s="32" t="s">
        <v>1225</v>
      </c>
      <c r="BT159" s="32" t="s">
        <v>1225</v>
      </c>
      <c r="BU159" s="32" t="s">
        <v>1225</v>
      </c>
      <c r="BV159" s="32" t="s">
        <v>1225</v>
      </c>
      <c r="BW159" s="32" t="str">
        <f t="shared" si="4"/>
        <v>View Full Record in Web of Science</v>
      </c>
      <c r="BY159" s="41" t="str">
        <f>IF(Deletion!J159=TRUE,"Yes","No")</f>
        <v>Yes</v>
      </c>
    </row>
    <row r="160" spans="1:77" x14ac:dyDescent="0.15">
      <c r="A160" s="38">
        <f t="shared" si="5"/>
        <v>159</v>
      </c>
      <c r="B160" s="38" t="s">
        <v>1413</v>
      </c>
      <c r="C160" s="38" t="s">
        <v>1413</v>
      </c>
      <c r="D160" s="38" t="s">
        <v>1223</v>
      </c>
      <c r="E160" s="38" t="s">
        <v>2277</v>
      </c>
      <c r="F160" s="32" t="s">
        <v>1225</v>
      </c>
      <c r="G160" s="32" t="s">
        <v>1225</v>
      </c>
      <c r="H160" s="32" t="s">
        <v>1225</v>
      </c>
      <c r="I160" s="38" t="s">
        <v>2278</v>
      </c>
      <c r="J160" s="32" t="s">
        <v>1225</v>
      </c>
      <c r="K160" s="32" t="s">
        <v>1225</v>
      </c>
      <c r="L160" s="38" t="s">
        <v>2279</v>
      </c>
      <c r="M160" s="38" t="s">
        <v>1698</v>
      </c>
      <c r="N160" s="32" t="s">
        <v>1225</v>
      </c>
      <c r="O160" s="32" t="s">
        <v>1225</v>
      </c>
      <c r="P160" s="32" t="s">
        <v>1225</v>
      </c>
      <c r="Q160" s="38" t="s">
        <v>1417</v>
      </c>
      <c r="R160" s="32" t="s">
        <v>1225</v>
      </c>
      <c r="S160" s="32" t="s">
        <v>1225</v>
      </c>
      <c r="T160" s="32" t="s">
        <v>1225</v>
      </c>
      <c r="U160" s="32" t="s">
        <v>1225</v>
      </c>
      <c r="V160" s="32" t="s">
        <v>1225</v>
      </c>
      <c r="W160" s="38" t="s">
        <v>2280</v>
      </c>
      <c r="X160" s="38" t="s">
        <v>2281</v>
      </c>
      <c r="Y160" s="38" t="s">
        <v>2282</v>
      </c>
      <c r="Z160" s="32" t="s">
        <v>1225</v>
      </c>
      <c r="AA160" s="32" t="s">
        <v>1225</v>
      </c>
      <c r="AB160" s="32" t="s">
        <v>1225</v>
      </c>
      <c r="AC160" s="32" t="s">
        <v>1225</v>
      </c>
      <c r="AD160" s="32" t="s">
        <v>1225</v>
      </c>
      <c r="AE160" s="32" t="s">
        <v>1225</v>
      </c>
      <c r="AF160" s="32" t="s">
        <v>1225</v>
      </c>
      <c r="AG160" s="32" t="s">
        <v>1225</v>
      </c>
      <c r="AH160" s="32" t="s">
        <v>1225</v>
      </c>
      <c r="AI160" s="32" t="s">
        <v>1225</v>
      </c>
      <c r="AJ160" s="32" t="s">
        <v>1225</v>
      </c>
      <c r="AK160" s="32" t="s">
        <v>1225</v>
      </c>
      <c r="AL160" s="32" t="s">
        <v>1225</v>
      </c>
      <c r="AM160" s="32" t="s">
        <v>1225</v>
      </c>
      <c r="AN160" s="32" t="s">
        <v>1225</v>
      </c>
      <c r="AO160" s="32" t="s">
        <v>1225</v>
      </c>
      <c r="AP160" s="32" t="s">
        <v>1225</v>
      </c>
      <c r="AQ160" s="32" t="s">
        <v>1225</v>
      </c>
      <c r="AR160" s="32" t="s">
        <v>1225</v>
      </c>
      <c r="AS160" s="32" t="s">
        <v>1225</v>
      </c>
      <c r="AT160" s="32" t="s">
        <v>1225</v>
      </c>
      <c r="AU160" s="32" t="s">
        <v>1225</v>
      </c>
      <c r="AV160" s="32" t="s">
        <v>1225</v>
      </c>
      <c r="AW160" s="38" t="s">
        <v>1285</v>
      </c>
      <c r="AX160" s="38">
        <v>2020</v>
      </c>
      <c r="AY160" s="32">
        <v>4</v>
      </c>
      <c r="AZ160" s="32" t="s">
        <v>1225</v>
      </c>
      <c r="BA160" s="32" t="s">
        <v>1225</v>
      </c>
      <c r="BB160" s="32" t="s">
        <v>1225</v>
      </c>
      <c r="BC160" s="32" t="s">
        <v>1225</v>
      </c>
      <c r="BD160" s="32" t="s">
        <v>1225</v>
      </c>
      <c r="BE160" s="32" t="s">
        <v>1225</v>
      </c>
      <c r="BF160" s="32" t="s">
        <v>1225</v>
      </c>
      <c r="BG160" s="32">
        <v>100056</v>
      </c>
      <c r="BH160" s="38" t="s">
        <v>2283</v>
      </c>
      <c r="BI160" s="38" t="str">
        <f>HYPERLINK("http://dx.doi.org/10.1016/j.etran.2020.100056","http://dx.doi.org/10.1016/j.etran.2020.100056")</f>
        <v>http://dx.doi.org/10.1016/j.etran.2020.100056</v>
      </c>
      <c r="BJ160" s="32" t="s">
        <v>1225</v>
      </c>
      <c r="BK160" s="32" t="s">
        <v>1225</v>
      </c>
      <c r="BL160" s="32" t="s">
        <v>1225</v>
      </c>
      <c r="BM160" s="32" t="s">
        <v>1225</v>
      </c>
      <c r="BN160" s="32" t="s">
        <v>1225</v>
      </c>
      <c r="BO160" s="32" t="s">
        <v>1225</v>
      </c>
      <c r="BP160" s="32" t="s">
        <v>1225</v>
      </c>
      <c r="BQ160" s="32" t="s">
        <v>1225</v>
      </c>
      <c r="BR160" s="32" t="s">
        <v>1225</v>
      </c>
      <c r="BS160" s="32" t="s">
        <v>1225</v>
      </c>
      <c r="BT160" s="32" t="s">
        <v>1225</v>
      </c>
      <c r="BU160" s="32" t="s">
        <v>1225</v>
      </c>
      <c r="BV160" s="32" t="s">
        <v>1225</v>
      </c>
      <c r="BW160" s="32" t="str">
        <f t="shared" si="4"/>
        <v>View Full Record in Web of Science</v>
      </c>
      <c r="BY160" s="41" t="str">
        <f>IF(Deletion!J160=TRUE,"Yes","No")</f>
        <v>Yes</v>
      </c>
    </row>
    <row r="161" spans="1:77" x14ac:dyDescent="0.15">
      <c r="A161" s="32">
        <f t="shared" si="5"/>
        <v>160</v>
      </c>
      <c r="D161" s="32" t="s">
        <v>1223</v>
      </c>
      <c r="E161" s="32" t="s">
        <v>2284</v>
      </c>
      <c r="F161" s="32" t="s">
        <v>1225</v>
      </c>
      <c r="G161" s="32" t="s">
        <v>1225</v>
      </c>
      <c r="H161" s="32" t="s">
        <v>1225</v>
      </c>
      <c r="I161" s="32" t="s">
        <v>2285</v>
      </c>
      <c r="J161" s="32" t="s">
        <v>1225</v>
      </c>
      <c r="K161" s="32" t="s">
        <v>1225</v>
      </c>
      <c r="L161" s="32" t="s">
        <v>2286</v>
      </c>
      <c r="M161" s="32" t="s">
        <v>114</v>
      </c>
      <c r="N161" s="32" t="s">
        <v>1225</v>
      </c>
      <c r="O161" s="32" t="s">
        <v>1225</v>
      </c>
      <c r="P161" s="32" t="s">
        <v>1225</v>
      </c>
      <c r="Q161" s="32" t="s">
        <v>1227</v>
      </c>
      <c r="R161" s="32" t="s">
        <v>1225</v>
      </c>
      <c r="S161" s="32" t="s">
        <v>1225</v>
      </c>
      <c r="T161" s="32" t="s">
        <v>1225</v>
      </c>
      <c r="U161" s="32" t="s">
        <v>1225</v>
      </c>
      <c r="V161" s="32" t="s">
        <v>1225</v>
      </c>
      <c r="W161" s="32" t="s">
        <v>2287</v>
      </c>
      <c r="X161" s="32" t="s">
        <v>2288</v>
      </c>
      <c r="Y161" s="32" t="s">
        <v>2289</v>
      </c>
      <c r="Z161" s="32" t="s">
        <v>1225</v>
      </c>
      <c r="AA161" s="32" t="s">
        <v>1225</v>
      </c>
      <c r="AB161" s="32" t="s">
        <v>1225</v>
      </c>
      <c r="AC161" s="32" t="s">
        <v>1225</v>
      </c>
      <c r="AD161" s="32" t="s">
        <v>1225</v>
      </c>
      <c r="AE161" s="32" t="s">
        <v>1225</v>
      </c>
      <c r="AF161" s="32" t="s">
        <v>1225</v>
      </c>
      <c r="AG161" s="32" t="s">
        <v>1225</v>
      </c>
      <c r="AH161" s="32" t="s">
        <v>1225</v>
      </c>
      <c r="AI161" s="32" t="s">
        <v>1225</v>
      </c>
      <c r="AJ161" s="32" t="s">
        <v>1225</v>
      </c>
      <c r="AK161" s="32" t="s">
        <v>1225</v>
      </c>
      <c r="AL161" s="32" t="s">
        <v>1225</v>
      </c>
      <c r="AM161" s="32" t="s">
        <v>1225</v>
      </c>
      <c r="AN161" s="32" t="s">
        <v>1225</v>
      </c>
      <c r="AO161" s="32" t="s">
        <v>1225</v>
      </c>
      <c r="AP161" s="32" t="s">
        <v>1225</v>
      </c>
      <c r="AQ161" s="32" t="s">
        <v>1225</v>
      </c>
      <c r="AR161" s="32" t="s">
        <v>1225</v>
      </c>
      <c r="AS161" s="32" t="s">
        <v>1225</v>
      </c>
      <c r="AT161" s="32" t="s">
        <v>1225</v>
      </c>
      <c r="AU161" s="32" t="s">
        <v>1225</v>
      </c>
      <c r="AV161" s="32" t="s">
        <v>1225</v>
      </c>
      <c r="AW161" s="32" t="s">
        <v>1256</v>
      </c>
      <c r="AX161" s="32">
        <v>2020</v>
      </c>
      <c r="AY161" s="32">
        <v>21</v>
      </c>
      <c r="AZ161" s="32">
        <v>12</v>
      </c>
      <c r="BA161" s="32" t="s">
        <v>1225</v>
      </c>
      <c r="BB161" s="32" t="s">
        <v>1225</v>
      </c>
      <c r="BC161" s="32" t="s">
        <v>1225</v>
      </c>
      <c r="BD161" s="32" t="s">
        <v>1225</v>
      </c>
      <c r="BE161" s="32">
        <v>5094</v>
      </c>
      <c r="BF161" s="32">
        <v>5109</v>
      </c>
      <c r="BG161" s="32" t="s">
        <v>1225</v>
      </c>
      <c r="BH161" s="32" t="s">
        <v>2290</v>
      </c>
      <c r="BI161" s="32" t="str">
        <f>HYPERLINK("http://dx.doi.org/10.1109/TITS.2019.2948596","http://dx.doi.org/10.1109/TITS.2019.2948596")</f>
        <v>http://dx.doi.org/10.1109/TITS.2019.2948596</v>
      </c>
      <c r="BJ161" s="32" t="s">
        <v>1225</v>
      </c>
      <c r="BK161" s="32" t="s">
        <v>1225</v>
      </c>
      <c r="BL161" s="32" t="s">
        <v>1225</v>
      </c>
      <c r="BM161" s="32" t="s">
        <v>1225</v>
      </c>
      <c r="BN161" s="32" t="s">
        <v>1225</v>
      </c>
      <c r="BO161" s="32" t="s">
        <v>1225</v>
      </c>
      <c r="BP161" s="32" t="s">
        <v>1225</v>
      </c>
      <c r="BQ161" s="32" t="s">
        <v>1225</v>
      </c>
      <c r="BR161" s="32" t="s">
        <v>1225</v>
      </c>
      <c r="BS161" s="32" t="s">
        <v>1225</v>
      </c>
      <c r="BT161" s="32" t="s">
        <v>1225</v>
      </c>
      <c r="BU161" s="32" t="s">
        <v>1225</v>
      </c>
      <c r="BV161" s="32" t="s">
        <v>1225</v>
      </c>
      <c r="BW161" s="32" t="str">
        <f t="shared" si="4"/>
        <v>View Full Record in Web of Science</v>
      </c>
      <c r="BY161" s="41" t="str">
        <f>IF(Deletion!J161=TRUE,"Yes","No")</f>
        <v>Yes</v>
      </c>
    </row>
    <row r="162" spans="1:77" x14ac:dyDescent="0.15">
      <c r="A162" s="32">
        <f t="shared" si="5"/>
        <v>161</v>
      </c>
      <c r="D162" s="32" t="s">
        <v>1223</v>
      </c>
      <c r="E162" s="32" t="s">
        <v>2291</v>
      </c>
      <c r="F162" s="32" t="s">
        <v>1225</v>
      </c>
      <c r="G162" s="32" t="s">
        <v>1225</v>
      </c>
      <c r="H162" s="32" t="s">
        <v>1225</v>
      </c>
      <c r="I162" s="32" t="s">
        <v>2292</v>
      </c>
      <c r="J162" s="32" t="s">
        <v>1225</v>
      </c>
      <c r="K162" s="32" t="s">
        <v>1225</v>
      </c>
      <c r="L162" s="32" t="s">
        <v>2293</v>
      </c>
      <c r="M162" s="32" t="s">
        <v>97</v>
      </c>
      <c r="N162" s="32" t="s">
        <v>1225</v>
      </c>
      <c r="O162" s="32" t="s">
        <v>1225</v>
      </c>
      <c r="P162" s="32" t="s">
        <v>1225</v>
      </c>
      <c r="Q162" s="32" t="s">
        <v>1227</v>
      </c>
      <c r="R162" s="32" t="s">
        <v>1225</v>
      </c>
      <c r="S162" s="32" t="s">
        <v>1225</v>
      </c>
      <c r="T162" s="32" t="s">
        <v>1225</v>
      </c>
      <c r="U162" s="32" t="s">
        <v>1225</v>
      </c>
      <c r="V162" s="32" t="s">
        <v>1225</v>
      </c>
      <c r="W162" s="32" t="s">
        <v>2294</v>
      </c>
      <c r="X162" s="32" t="s">
        <v>2295</v>
      </c>
      <c r="Y162" s="32" t="s">
        <v>2296</v>
      </c>
      <c r="Z162" s="32" t="s">
        <v>1225</v>
      </c>
      <c r="AA162" s="32" t="s">
        <v>1225</v>
      </c>
      <c r="AB162" s="32" t="s">
        <v>1225</v>
      </c>
      <c r="AC162" s="32" t="s">
        <v>1225</v>
      </c>
      <c r="AD162" s="32" t="s">
        <v>1225</v>
      </c>
      <c r="AE162" s="32" t="s">
        <v>1225</v>
      </c>
      <c r="AF162" s="32" t="s">
        <v>1225</v>
      </c>
      <c r="AG162" s="32" t="s">
        <v>1225</v>
      </c>
      <c r="AH162" s="32" t="s">
        <v>1225</v>
      </c>
      <c r="AI162" s="32" t="s">
        <v>1225</v>
      </c>
      <c r="AJ162" s="32" t="s">
        <v>1225</v>
      </c>
      <c r="AK162" s="32" t="s">
        <v>1225</v>
      </c>
      <c r="AL162" s="32" t="s">
        <v>1225</v>
      </c>
      <c r="AM162" s="32" t="s">
        <v>1225</v>
      </c>
      <c r="AN162" s="32" t="s">
        <v>1225</v>
      </c>
      <c r="AO162" s="32" t="s">
        <v>1225</v>
      </c>
      <c r="AP162" s="32" t="s">
        <v>1225</v>
      </c>
      <c r="AQ162" s="32" t="s">
        <v>1225</v>
      </c>
      <c r="AR162" s="32" t="s">
        <v>1225</v>
      </c>
      <c r="AS162" s="32" t="s">
        <v>1225</v>
      </c>
      <c r="AT162" s="32" t="s">
        <v>1225</v>
      </c>
      <c r="AU162" s="32" t="s">
        <v>1225</v>
      </c>
      <c r="AV162" s="32" t="s">
        <v>1225</v>
      </c>
      <c r="AW162" s="32" t="s">
        <v>2297</v>
      </c>
      <c r="AX162" s="32">
        <v>2014</v>
      </c>
      <c r="AY162" s="32">
        <v>136</v>
      </c>
      <c r="AZ162" s="32" t="s">
        <v>1225</v>
      </c>
      <c r="BA162" s="32" t="s">
        <v>1225</v>
      </c>
      <c r="BB162" s="32" t="s">
        <v>1225</v>
      </c>
      <c r="BC162" s="32" t="s">
        <v>1225</v>
      </c>
      <c r="BD162" s="32" t="s">
        <v>1225</v>
      </c>
      <c r="BE162" s="32">
        <v>582</v>
      </c>
      <c r="BF162" s="32">
        <v>589</v>
      </c>
      <c r="BG162" s="32" t="s">
        <v>1225</v>
      </c>
      <c r="BH162" s="32" t="s">
        <v>2298</v>
      </c>
      <c r="BI162" s="32" t="str">
        <f>HYPERLINK("http://dx.doi.org/10.1016/j.apenergy.2014.08.116","http://dx.doi.org/10.1016/j.apenergy.2014.08.116")</f>
        <v>http://dx.doi.org/10.1016/j.apenergy.2014.08.116</v>
      </c>
      <c r="BJ162" s="32" t="s">
        <v>1225</v>
      </c>
      <c r="BK162" s="32" t="s">
        <v>1225</v>
      </c>
      <c r="BL162" s="32" t="s">
        <v>1225</v>
      </c>
      <c r="BM162" s="32" t="s">
        <v>1225</v>
      </c>
      <c r="BN162" s="32" t="s">
        <v>1225</v>
      </c>
      <c r="BO162" s="32" t="s">
        <v>1225</v>
      </c>
      <c r="BP162" s="32" t="s">
        <v>1225</v>
      </c>
      <c r="BQ162" s="32" t="s">
        <v>1225</v>
      </c>
      <c r="BR162" s="32" t="s">
        <v>1225</v>
      </c>
      <c r="BS162" s="32" t="s">
        <v>1225</v>
      </c>
      <c r="BT162" s="32" t="s">
        <v>1225</v>
      </c>
      <c r="BU162" s="32" t="s">
        <v>1225</v>
      </c>
      <c r="BV162" s="32" t="s">
        <v>1225</v>
      </c>
      <c r="BW162" s="32" t="str">
        <f t="shared" si="4"/>
        <v>View Full Record in Web of Science</v>
      </c>
      <c r="BY162" s="41" t="str">
        <f>IF(Deletion!J162=TRUE,"Yes","No")</f>
        <v>Yes</v>
      </c>
    </row>
    <row r="163" spans="1:77" x14ac:dyDescent="0.15">
      <c r="A163" s="32">
        <f t="shared" si="5"/>
        <v>162</v>
      </c>
      <c r="D163" s="32" t="s">
        <v>1223</v>
      </c>
      <c r="E163" s="32" t="s">
        <v>2299</v>
      </c>
      <c r="F163" s="32" t="s">
        <v>1225</v>
      </c>
      <c r="G163" s="32" t="s">
        <v>1225</v>
      </c>
      <c r="H163" s="32" t="s">
        <v>1225</v>
      </c>
      <c r="I163" s="32" t="s">
        <v>2300</v>
      </c>
      <c r="J163" s="32" t="s">
        <v>1225</v>
      </c>
      <c r="K163" s="32" t="s">
        <v>1225</v>
      </c>
      <c r="L163" s="32" t="s">
        <v>2301</v>
      </c>
      <c r="M163" s="32" t="s">
        <v>2302</v>
      </c>
      <c r="N163" s="32" t="s">
        <v>1225</v>
      </c>
      <c r="O163" s="32" t="s">
        <v>1225</v>
      </c>
      <c r="P163" s="32" t="s">
        <v>1225</v>
      </c>
      <c r="Q163" s="32" t="s">
        <v>1227</v>
      </c>
      <c r="R163" s="32" t="s">
        <v>1225</v>
      </c>
      <c r="S163" s="32" t="s">
        <v>1225</v>
      </c>
      <c r="T163" s="32" t="s">
        <v>1225</v>
      </c>
      <c r="U163" s="32" t="s">
        <v>1225</v>
      </c>
      <c r="V163" s="32" t="s">
        <v>1225</v>
      </c>
      <c r="W163" s="32" t="s">
        <v>2303</v>
      </c>
      <c r="X163" s="32" t="s">
        <v>2304</v>
      </c>
      <c r="Y163" s="32" t="s">
        <v>2305</v>
      </c>
      <c r="Z163" s="32" t="s">
        <v>1225</v>
      </c>
      <c r="AA163" s="32" t="s">
        <v>1225</v>
      </c>
      <c r="AB163" s="32" t="s">
        <v>1225</v>
      </c>
      <c r="AC163" s="32" t="s">
        <v>1225</v>
      </c>
      <c r="AD163" s="32" t="s">
        <v>1225</v>
      </c>
      <c r="AE163" s="32" t="s">
        <v>1225</v>
      </c>
      <c r="AF163" s="32" t="s">
        <v>1225</v>
      </c>
      <c r="AG163" s="32" t="s">
        <v>1225</v>
      </c>
      <c r="AH163" s="32" t="s">
        <v>1225</v>
      </c>
      <c r="AI163" s="32" t="s">
        <v>1225</v>
      </c>
      <c r="AJ163" s="32" t="s">
        <v>1225</v>
      </c>
      <c r="AK163" s="32" t="s">
        <v>1225</v>
      </c>
      <c r="AL163" s="32" t="s">
        <v>1225</v>
      </c>
      <c r="AM163" s="32" t="s">
        <v>1225</v>
      </c>
      <c r="AN163" s="32" t="s">
        <v>1225</v>
      </c>
      <c r="AO163" s="32" t="s">
        <v>1225</v>
      </c>
      <c r="AP163" s="32" t="s">
        <v>1225</v>
      </c>
      <c r="AQ163" s="32" t="s">
        <v>1225</v>
      </c>
      <c r="AR163" s="32" t="s">
        <v>1225</v>
      </c>
      <c r="AS163" s="32" t="s">
        <v>1225</v>
      </c>
      <c r="AT163" s="32" t="s">
        <v>1225</v>
      </c>
      <c r="AU163" s="32" t="s">
        <v>1225</v>
      </c>
      <c r="AV163" s="32" t="s">
        <v>1225</v>
      </c>
      <c r="AW163" s="32" t="s">
        <v>1256</v>
      </c>
      <c r="AX163" s="32">
        <v>2020</v>
      </c>
      <c r="AY163" s="32">
        <v>3</v>
      </c>
      <c r="AZ163" s="32">
        <v>6</v>
      </c>
      <c r="BA163" s="32" t="s">
        <v>1225</v>
      </c>
      <c r="BB163" s="32" t="s">
        <v>1225</v>
      </c>
      <c r="BC163" s="32" t="s">
        <v>1225</v>
      </c>
      <c r="BD163" s="32" t="s">
        <v>1225</v>
      </c>
      <c r="BE163" s="32">
        <v>914</v>
      </c>
      <c r="BF163" s="32">
        <v>923</v>
      </c>
      <c r="BG163" s="32" t="s">
        <v>1225</v>
      </c>
      <c r="BH163" s="32" t="s">
        <v>2306</v>
      </c>
      <c r="BI163" s="32" t="str">
        <f>HYPERLINK("http://dx.doi.org/10.1049/iet-stg.2019.0334","http://dx.doi.org/10.1049/iet-stg.2019.0334")</f>
        <v>http://dx.doi.org/10.1049/iet-stg.2019.0334</v>
      </c>
      <c r="BJ163" s="32" t="s">
        <v>1225</v>
      </c>
      <c r="BK163" s="32" t="s">
        <v>1225</v>
      </c>
      <c r="BL163" s="32" t="s">
        <v>1225</v>
      </c>
      <c r="BM163" s="32" t="s">
        <v>1225</v>
      </c>
      <c r="BN163" s="32" t="s">
        <v>1225</v>
      </c>
      <c r="BO163" s="32" t="s">
        <v>1225</v>
      </c>
      <c r="BP163" s="32" t="s">
        <v>1225</v>
      </c>
      <c r="BQ163" s="32" t="s">
        <v>1225</v>
      </c>
      <c r="BR163" s="32" t="s">
        <v>1225</v>
      </c>
      <c r="BS163" s="32" t="s">
        <v>1225</v>
      </c>
      <c r="BT163" s="32" t="s">
        <v>1225</v>
      </c>
      <c r="BU163" s="32" t="s">
        <v>1225</v>
      </c>
      <c r="BV163" s="32" t="s">
        <v>1225</v>
      </c>
      <c r="BW163" s="32" t="str">
        <f t="shared" si="4"/>
        <v>View Full Record in Web of Science</v>
      </c>
      <c r="BY163" s="41" t="str">
        <f>IF(Deletion!J163=TRUE,"Yes","No")</f>
        <v>Yes</v>
      </c>
    </row>
    <row r="164" spans="1:77" x14ac:dyDescent="0.15">
      <c r="A164" s="32">
        <f t="shared" si="5"/>
        <v>163</v>
      </c>
      <c r="D164" s="32" t="s">
        <v>1223</v>
      </c>
      <c r="E164" s="32" t="s">
        <v>2307</v>
      </c>
      <c r="F164" s="32" t="s">
        <v>1225</v>
      </c>
      <c r="G164" s="32" t="s">
        <v>1225</v>
      </c>
      <c r="H164" s="32" t="s">
        <v>1225</v>
      </c>
      <c r="I164" s="32" t="s">
        <v>2308</v>
      </c>
      <c r="J164" s="32" t="s">
        <v>1225</v>
      </c>
      <c r="K164" s="32" t="s">
        <v>1225</v>
      </c>
      <c r="L164" s="32" t="s">
        <v>2309</v>
      </c>
      <c r="M164" s="32" t="s">
        <v>849</v>
      </c>
      <c r="N164" s="32" t="s">
        <v>1225</v>
      </c>
      <c r="O164" s="32" t="s">
        <v>1225</v>
      </c>
      <c r="P164" s="32" t="s">
        <v>1225</v>
      </c>
      <c r="Q164" s="32" t="s">
        <v>1227</v>
      </c>
      <c r="R164" s="32" t="s">
        <v>1225</v>
      </c>
      <c r="S164" s="32" t="s">
        <v>1225</v>
      </c>
      <c r="T164" s="32" t="s">
        <v>1225</v>
      </c>
      <c r="U164" s="32" t="s">
        <v>1225</v>
      </c>
      <c r="V164" s="32" t="s">
        <v>1225</v>
      </c>
      <c r="W164" s="32" t="s">
        <v>2310</v>
      </c>
      <c r="X164" s="32" t="s">
        <v>2311</v>
      </c>
      <c r="Y164" s="32" t="s">
        <v>2312</v>
      </c>
      <c r="Z164" s="32" t="s">
        <v>1225</v>
      </c>
      <c r="AA164" s="32" t="s">
        <v>1225</v>
      </c>
      <c r="AB164" s="32" t="s">
        <v>1225</v>
      </c>
      <c r="AC164" s="32" t="s">
        <v>1225</v>
      </c>
      <c r="AD164" s="32" t="s">
        <v>1225</v>
      </c>
      <c r="AE164" s="32" t="s">
        <v>1225</v>
      </c>
      <c r="AF164" s="32" t="s">
        <v>1225</v>
      </c>
      <c r="AG164" s="32" t="s">
        <v>1225</v>
      </c>
      <c r="AH164" s="32" t="s">
        <v>1225</v>
      </c>
      <c r="AI164" s="32" t="s">
        <v>1225</v>
      </c>
      <c r="AJ164" s="32" t="s">
        <v>1225</v>
      </c>
      <c r="AK164" s="32" t="s">
        <v>1225</v>
      </c>
      <c r="AL164" s="32" t="s">
        <v>1225</v>
      </c>
      <c r="AM164" s="32" t="s">
        <v>1225</v>
      </c>
      <c r="AN164" s="32" t="s">
        <v>1225</v>
      </c>
      <c r="AO164" s="32" t="s">
        <v>1225</v>
      </c>
      <c r="AP164" s="32" t="s">
        <v>1225</v>
      </c>
      <c r="AQ164" s="32" t="s">
        <v>1225</v>
      </c>
      <c r="AR164" s="32" t="s">
        <v>1225</v>
      </c>
      <c r="AS164" s="32" t="s">
        <v>1225</v>
      </c>
      <c r="AT164" s="32" t="s">
        <v>1225</v>
      </c>
      <c r="AU164" s="32" t="s">
        <v>1225</v>
      </c>
      <c r="AV164" s="32" t="s">
        <v>1225</v>
      </c>
      <c r="AW164" s="32" t="s">
        <v>1317</v>
      </c>
      <c r="AX164" s="32">
        <v>2016</v>
      </c>
      <c r="AY164" s="32">
        <v>31</v>
      </c>
      <c r="AZ164" s="32">
        <v>1</v>
      </c>
      <c r="BA164" s="32" t="s">
        <v>1225</v>
      </c>
      <c r="BB164" s="32" t="s">
        <v>1225</v>
      </c>
      <c r="BC164" s="32" t="s">
        <v>1225</v>
      </c>
      <c r="BD164" s="32" t="s">
        <v>1225</v>
      </c>
      <c r="BE164" s="32">
        <v>317</v>
      </c>
      <c r="BF164" s="32">
        <v>328</v>
      </c>
      <c r="BG164" s="32" t="s">
        <v>1225</v>
      </c>
      <c r="BH164" s="32" t="s">
        <v>2313</v>
      </c>
      <c r="BI164" s="32" t="str">
        <f>HYPERLINK("http://dx.doi.org/10.1109/TPWRS.2015.2403311","http://dx.doi.org/10.1109/TPWRS.2015.2403311")</f>
        <v>http://dx.doi.org/10.1109/TPWRS.2015.2403311</v>
      </c>
      <c r="BJ164" s="32" t="s">
        <v>1225</v>
      </c>
      <c r="BK164" s="32" t="s">
        <v>1225</v>
      </c>
      <c r="BL164" s="32" t="s">
        <v>1225</v>
      </c>
      <c r="BM164" s="32" t="s">
        <v>1225</v>
      </c>
      <c r="BN164" s="32" t="s">
        <v>1225</v>
      </c>
      <c r="BO164" s="32" t="s">
        <v>1225</v>
      </c>
      <c r="BP164" s="32" t="s">
        <v>1225</v>
      </c>
      <c r="BQ164" s="32" t="s">
        <v>1225</v>
      </c>
      <c r="BR164" s="32" t="s">
        <v>1225</v>
      </c>
      <c r="BS164" s="32" t="s">
        <v>1225</v>
      </c>
      <c r="BT164" s="32" t="s">
        <v>1225</v>
      </c>
      <c r="BU164" s="32" t="s">
        <v>1225</v>
      </c>
      <c r="BV164" s="32" t="s">
        <v>1225</v>
      </c>
      <c r="BW164" s="32" t="str">
        <f t="shared" si="4"/>
        <v>View Full Record in Web of Science</v>
      </c>
      <c r="BY164" s="41" t="str">
        <f>IF(Deletion!J164=TRUE,"Yes","No")</f>
        <v>Yes</v>
      </c>
    </row>
    <row r="165" spans="1:77" x14ac:dyDescent="0.15">
      <c r="A165" s="32">
        <f t="shared" si="5"/>
        <v>164</v>
      </c>
      <c r="D165" s="32" t="s">
        <v>1223</v>
      </c>
      <c r="E165" s="32" t="s">
        <v>2314</v>
      </c>
      <c r="F165" s="32" t="s">
        <v>1225</v>
      </c>
      <c r="G165" s="32" t="s">
        <v>1225</v>
      </c>
      <c r="H165" s="32" t="s">
        <v>1225</v>
      </c>
      <c r="I165" s="32" t="s">
        <v>2315</v>
      </c>
      <c r="J165" s="32" t="s">
        <v>1225</v>
      </c>
      <c r="K165" s="32" t="s">
        <v>1225</v>
      </c>
      <c r="L165" s="32" t="s">
        <v>2316</v>
      </c>
      <c r="M165" s="32" t="s">
        <v>1586</v>
      </c>
      <c r="N165" s="32" t="s">
        <v>1225</v>
      </c>
      <c r="O165" s="32" t="s">
        <v>1225</v>
      </c>
      <c r="P165" s="32" t="s">
        <v>1225</v>
      </c>
      <c r="Q165" s="32" t="s">
        <v>1227</v>
      </c>
      <c r="R165" s="32" t="s">
        <v>1225</v>
      </c>
      <c r="S165" s="32" t="s">
        <v>1225</v>
      </c>
      <c r="T165" s="32" t="s">
        <v>1225</v>
      </c>
      <c r="U165" s="32" t="s">
        <v>1225</v>
      </c>
      <c r="V165" s="32" t="s">
        <v>1225</v>
      </c>
      <c r="W165" s="32" t="s">
        <v>2317</v>
      </c>
      <c r="X165" s="32" t="s">
        <v>2318</v>
      </c>
      <c r="Y165" s="32" t="s">
        <v>2319</v>
      </c>
      <c r="Z165" s="32" t="s">
        <v>1225</v>
      </c>
      <c r="AA165" s="32" t="s">
        <v>1225</v>
      </c>
      <c r="AB165" s="32" t="s">
        <v>1225</v>
      </c>
      <c r="AC165" s="32" t="s">
        <v>1225</v>
      </c>
      <c r="AD165" s="32" t="s">
        <v>1225</v>
      </c>
      <c r="AE165" s="32" t="s">
        <v>1225</v>
      </c>
      <c r="AF165" s="32" t="s">
        <v>1225</v>
      </c>
      <c r="AG165" s="32" t="s">
        <v>1225</v>
      </c>
      <c r="AH165" s="32" t="s">
        <v>1225</v>
      </c>
      <c r="AI165" s="32" t="s">
        <v>1225</v>
      </c>
      <c r="AJ165" s="32" t="s">
        <v>1225</v>
      </c>
      <c r="AK165" s="32" t="s">
        <v>1225</v>
      </c>
      <c r="AL165" s="32" t="s">
        <v>1225</v>
      </c>
      <c r="AM165" s="32" t="s">
        <v>1225</v>
      </c>
      <c r="AN165" s="32" t="s">
        <v>1225</v>
      </c>
      <c r="AO165" s="32" t="s">
        <v>1225</v>
      </c>
      <c r="AP165" s="32" t="s">
        <v>1225</v>
      </c>
      <c r="AQ165" s="32" t="s">
        <v>1225</v>
      </c>
      <c r="AR165" s="32" t="s">
        <v>1225</v>
      </c>
      <c r="AS165" s="32" t="s">
        <v>1225</v>
      </c>
      <c r="AT165" s="32" t="s">
        <v>1225</v>
      </c>
      <c r="AU165" s="32" t="s">
        <v>1225</v>
      </c>
      <c r="AV165" s="32" t="s">
        <v>1225</v>
      </c>
      <c r="AW165" s="32" t="s">
        <v>1272</v>
      </c>
      <c r="AX165" s="32">
        <v>2022</v>
      </c>
      <c r="AY165" s="32">
        <v>14</v>
      </c>
      <c r="AZ165" s="32">
        <v>6</v>
      </c>
      <c r="BA165" s="32" t="s">
        <v>1225</v>
      </c>
      <c r="BB165" s="32" t="s">
        <v>1225</v>
      </c>
      <c r="BC165" s="32" t="s">
        <v>1225</v>
      </c>
      <c r="BD165" s="32" t="s">
        <v>1225</v>
      </c>
      <c r="BE165" s="32" t="s">
        <v>1225</v>
      </c>
      <c r="BF165" s="32" t="s">
        <v>1225</v>
      </c>
      <c r="BG165" s="32">
        <v>3498</v>
      </c>
      <c r="BH165" s="32" t="s">
        <v>2320</v>
      </c>
      <c r="BI165" s="32" t="str">
        <f>HYPERLINK("http://dx.doi.org/10.3390/su14063498","http://dx.doi.org/10.3390/su14063498")</f>
        <v>http://dx.doi.org/10.3390/su14063498</v>
      </c>
      <c r="BJ165" s="32" t="s">
        <v>1225</v>
      </c>
      <c r="BK165" s="32" t="s">
        <v>1225</v>
      </c>
      <c r="BL165" s="32" t="s">
        <v>1225</v>
      </c>
      <c r="BM165" s="32" t="s">
        <v>1225</v>
      </c>
      <c r="BN165" s="32" t="s">
        <v>1225</v>
      </c>
      <c r="BO165" s="32" t="s">
        <v>1225</v>
      </c>
      <c r="BP165" s="32" t="s">
        <v>1225</v>
      </c>
      <c r="BQ165" s="32" t="s">
        <v>1225</v>
      </c>
      <c r="BR165" s="32" t="s">
        <v>1225</v>
      </c>
      <c r="BS165" s="32" t="s">
        <v>1225</v>
      </c>
      <c r="BT165" s="32" t="s">
        <v>1225</v>
      </c>
      <c r="BU165" s="32" t="s">
        <v>1225</v>
      </c>
      <c r="BV165" s="32" t="s">
        <v>1225</v>
      </c>
      <c r="BW165" s="32" t="str">
        <f t="shared" si="4"/>
        <v>View Full Record in Web of Science</v>
      </c>
      <c r="BY165" s="41" t="str">
        <f>IF(Deletion!J165=TRUE,"Yes","No")</f>
        <v>Yes</v>
      </c>
    </row>
    <row r="166" spans="1:77" x14ac:dyDescent="0.15">
      <c r="A166" s="32">
        <f t="shared" si="5"/>
        <v>165</v>
      </c>
      <c r="D166" s="32" t="s">
        <v>1223</v>
      </c>
      <c r="E166" s="32" t="s">
        <v>2321</v>
      </c>
      <c r="F166" s="32" t="s">
        <v>1225</v>
      </c>
      <c r="G166" s="32" t="s">
        <v>1225</v>
      </c>
      <c r="H166" s="32" t="s">
        <v>1225</v>
      </c>
      <c r="I166" s="32" t="s">
        <v>2322</v>
      </c>
      <c r="J166" s="32" t="s">
        <v>1225</v>
      </c>
      <c r="K166" s="32" t="s">
        <v>1225</v>
      </c>
      <c r="L166" s="32" t="s">
        <v>2323</v>
      </c>
      <c r="M166" s="32" t="s">
        <v>2324</v>
      </c>
      <c r="N166" s="32" t="s">
        <v>1225</v>
      </c>
      <c r="O166" s="32" t="s">
        <v>1225</v>
      </c>
      <c r="P166" s="32" t="s">
        <v>1225</v>
      </c>
      <c r="Q166" s="32" t="s">
        <v>1227</v>
      </c>
      <c r="R166" s="32" t="s">
        <v>1225</v>
      </c>
      <c r="S166" s="32" t="s">
        <v>1225</v>
      </c>
      <c r="T166" s="32" t="s">
        <v>1225</v>
      </c>
      <c r="U166" s="32" t="s">
        <v>1225</v>
      </c>
      <c r="V166" s="32" t="s">
        <v>1225</v>
      </c>
      <c r="W166" s="32" t="s">
        <v>2325</v>
      </c>
      <c r="X166" s="32" t="s">
        <v>2326</v>
      </c>
      <c r="Y166" s="32" t="s">
        <v>2327</v>
      </c>
      <c r="Z166" s="32" t="s">
        <v>1225</v>
      </c>
      <c r="AA166" s="32" t="s">
        <v>1225</v>
      </c>
      <c r="AB166" s="32" t="s">
        <v>1225</v>
      </c>
      <c r="AC166" s="32" t="s">
        <v>1225</v>
      </c>
      <c r="AD166" s="32" t="s">
        <v>1225</v>
      </c>
      <c r="AE166" s="32" t="s">
        <v>1225</v>
      </c>
      <c r="AF166" s="32" t="s">
        <v>1225</v>
      </c>
      <c r="AG166" s="32" t="s">
        <v>1225</v>
      </c>
      <c r="AH166" s="32" t="s">
        <v>1225</v>
      </c>
      <c r="AI166" s="32" t="s">
        <v>1225</v>
      </c>
      <c r="AJ166" s="32" t="s">
        <v>1225</v>
      </c>
      <c r="AK166" s="32" t="s">
        <v>1225</v>
      </c>
      <c r="AL166" s="32" t="s">
        <v>1225</v>
      </c>
      <c r="AM166" s="32" t="s">
        <v>1225</v>
      </c>
      <c r="AN166" s="32" t="s">
        <v>1225</v>
      </c>
      <c r="AO166" s="32" t="s">
        <v>1225</v>
      </c>
      <c r="AP166" s="32" t="s">
        <v>1225</v>
      </c>
      <c r="AQ166" s="32" t="s">
        <v>1225</v>
      </c>
      <c r="AR166" s="32" t="s">
        <v>1225</v>
      </c>
      <c r="AS166" s="32" t="s">
        <v>1225</v>
      </c>
      <c r="AT166" s="32" t="s">
        <v>1225</v>
      </c>
      <c r="AU166" s="32" t="s">
        <v>1225</v>
      </c>
      <c r="AV166" s="32" t="s">
        <v>1225</v>
      </c>
      <c r="AW166" s="32" t="s">
        <v>1239</v>
      </c>
      <c r="AX166" s="32">
        <v>2019</v>
      </c>
      <c r="AY166" s="32">
        <v>86</v>
      </c>
      <c r="AZ166" s="32" t="s">
        <v>1225</v>
      </c>
      <c r="BA166" s="32" t="s">
        <v>1225</v>
      </c>
      <c r="BB166" s="32" t="s">
        <v>1225</v>
      </c>
      <c r="BC166" s="32" t="s">
        <v>1225</v>
      </c>
      <c r="BD166" s="32" t="s">
        <v>1225</v>
      </c>
      <c r="BE166" s="32">
        <v>59</v>
      </c>
      <c r="BF166" s="32">
        <v>75</v>
      </c>
      <c r="BG166" s="32" t="s">
        <v>1225</v>
      </c>
      <c r="BH166" s="32" t="s">
        <v>2328</v>
      </c>
      <c r="BI166" s="32" t="str">
        <f>HYPERLINK("http://dx.doi.org/10.1016/j.omega.2018.06.013","http://dx.doi.org/10.1016/j.omega.2018.06.013")</f>
        <v>http://dx.doi.org/10.1016/j.omega.2018.06.013</v>
      </c>
      <c r="BJ166" s="32" t="s">
        <v>1225</v>
      </c>
      <c r="BK166" s="32" t="s">
        <v>1225</v>
      </c>
      <c r="BL166" s="32" t="s">
        <v>1225</v>
      </c>
      <c r="BM166" s="32" t="s">
        <v>1225</v>
      </c>
      <c r="BN166" s="32" t="s">
        <v>1225</v>
      </c>
      <c r="BO166" s="32" t="s">
        <v>1225</v>
      </c>
      <c r="BP166" s="32" t="s">
        <v>1225</v>
      </c>
      <c r="BQ166" s="32" t="s">
        <v>1225</v>
      </c>
      <c r="BR166" s="32" t="s">
        <v>1225</v>
      </c>
      <c r="BS166" s="32" t="s">
        <v>1225</v>
      </c>
      <c r="BT166" s="32" t="s">
        <v>1225</v>
      </c>
      <c r="BU166" s="32" t="s">
        <v>1225</v>
      </c>
      <c r="BV166" s="32" t="s">
        <v>1225</v>
      </c>
      <c r="BW166" s="32" t="str">
        <f t="shared" si="4"/>
        <v>View Full Record in Web of Science</v>
      </c>
      <c r="BY166" s="41" t="str">
        <f>IF(Deletion!J166=TRUE,"Yes","No")</f>
        <v>Yes</v>
      </c>
    </row>
    <row r="167" spans="1:77" x14ac:dyDescent="0.15">
      <c r="A167" s="32">
        <f t="shared" si="5"/>
        <v>166</v>
      </c>
      <c r="D167" s="32" t="s">
        <v>1223</v>
      </c>
      <c r="E167" s="32" t="s">
        <v>2329</v>
      </c>
      <c r="F167" s="32" t="s">
        <v>1225</v>
      </c>
      <c r="G167" s="32" t="s">
        <v>1225</v>
      </c>
      <c r="H167" s="32" t="s">
        <v>1225</v>
      </c>
      <c r="I167" s="32" t="s">
        <v>2330</v>
      </c>
      <c r="J167" s="32" t="s">
        <v>1225</v>
      </c>
      <c r="K167" s="32" t="s">
        <v>1225</v>
      </c>
      <c r="L167" s="32" t="s">
        <v>2331</v>
      </c>
      <c r="M167" s="32" t="s">
        <v>124</v>
      </c>
      <c r="N167" s="32" t="s">
        <v>1225</v>
      </c>
      <c r="O167" s="32" t="s">
        <v>1225</v>
      </c>
      <c r="P167" s="32" t="s">
        <v>1225</v>
      </c>
      <c r="Q167" s="32" t="s">
        <v>1227</v>
      </c>
      <c r="R167" s="32" t="s">
        <v>1225</v>
      </c>
      <c r="S167" s="32" t="s">
        <v>1225</v>
      </c>
      <c r="T167" s="32" t="s">
        <v>1225</v>
      </c>
      <c r="U167" s="32" t="s">
        <v>1225</v>
      </c>
      <c r="V167" s="32" t="s">
        <v>1225</v>
      </c>
      <c r="W167" s="32" t="s">
        <v>2332</v>
      </c>
      <c r="X167" s="32" t="s">
        <v>2333</v>
      </c>
      <c r="Y167" s="32" t="s">
        <v>2334</v>
      </c>
      <c r="Z167" s="32" t="s">
        <v>1225</v>
      </c>
      <c r="AA167" s="32" t="s">
        <v>1225</v>
      </c>
      <c r="AB167" s="32" t="s">
        <v>1225</v>
      </c>
      <c r="AC167" s="32" t="s">
        <v>1225</v>
      </c>
      <c r="AD167" s="32" t="s">
        <v>1225</v>
      </c>
      <c r="AE167" s="32" t="s">
        <v>1225</v>
      </c>
      <c r="AF167" s="32" t="s">
        <v>1225</v>
      </c>
      <c r="AG167" s="32" t="s">
        <v>1225</v>
      </c>
      <c r="AH167" s="32" t="s">
        <v>1225</v>
      </c>
      <c r="AI167" s="32" t="s">
        <v>1225</v>
      </c>
      <c r="AJ167" s="32" t="s">
        <v>1225</v>
      </c>
      <c r="AK167" s="32" t="s">
        <v>1225</v>
      </c>
      <c r="AL167" s="32" t="s">
        <v>1225</v>
      </c>
      <c r="AM167" s="32" t="s">
        <v>1225</v>
      </c>
      <c r="AN167" s="32" t="s">
        <v>1225</v>
      </c>
      <c r="AO167" s="32" t="s">
        <v>1225</v>
      </c>
      <c r="AP167" s="32" t="s">
        <v>1225</v>
      </c>
      <c r="AQ167" s="32" t="s">
        <v>1225</v>
      </c>
      <c r="AR167" s="32" t="s">
        <v>1225</v>
      </c>
      <c r="AS167" s="32" t="s">
        <v>1225</v>
      </c>
      <c r="AT167" s="32" t="s">
        <v>1225</v>
      </c>
      <c r="AU167" s="32" t="s">
        <v>1225</v>
      </c>
      <c r="AV167" s="32" t="s">
        <v>1225</v>
      </c>
      <c r="AW167" s="32" t="s">
        <v>1298</v>
      </c>
      <c r="AX167" s="32">
        <v>2017</v>
      </c>
      <c r="AY167" s="32">
        <v>8</v>
      </c>
      <c r="AZ167" s="32">
        <v>5</v>
      </c>
      <c r="BA167" s="32" t="s">
        <v>1225</v>
      </c>
      <c r="BB167" s="32" t="s">
        <v>1225</v>
      </c>
      <c r="BC167" s="32" t="s">
        <v>1225</v>
      </c>
      <c r="BD167" s="32" t="s">
        <v>1225</v>
      </c>
      <c r="BE167" s="32">
        <v>2090</v>
      </c>
      <c r="BF167" s="32">
        <v>2099</v>
      </c>
      <c r="BG167" s="32" t="s">
        <v>1225</v>
      </c>
      <c r="BH167" s="32" t="s">
        <v>2335</v>
      </c>
      <c r="BI167" s="32" t="str">
        <f>HYPERLINK("http://dx.doi.org/10.1109/TSG.2016.2515616","http://dx.doi.org/10.1109/TSG.2016.2515616")</f>
        <v>http://dx.doi.org/10.1109/TSG.2016.2515616</v>
      </c>
      <c r="BJ167" s="32" t="s">
        <v>1225</v>
      </c>
      <c r="BK167" s="32" t="s">
        <v>1225</v>
      </c>
      <c r="BL167" s="32" t="s">
        <v>1225</v>
      </c>
      <c r="BM167" s="32" t="s">
        <v>1225</v>
      </c>
      <c r="BN167" s="32" t="s">
        <v>1225</v>
      </c>
      <c r="BO167" s="32" t="s">
        <v>1225</v>
      </c>
      <c r="BP167" s="32" t="s">
        <v>1225</v>
      </c>
      <c r="BQ167" s="32" t="s">
        <v>1225</v>
      </c>
      <c r="BR167" s="32" t="s">
        <v>1225</v>
      </c>
      <c r="BS167" s="32" t="s">
        <v>1225</v>
      </c>
      <c r="BT167" s="32" t="s">
        <v>1225</v>
      </c>
      <c r="BU167" s="32" t="s">
        <v>1225</v>
      </c>
      <c r="BV167" s="32" t="s">
        <v>1225</v>
      </c>
      <c r="BW167" s="32" t="str">
        <f t="shared" si="4"/>
        <v>View Full Record in Web of Science</v>
      </c>
      <c r="BY167" s="41" t="str">
        <f>IF(Deletion!J167=TRUE,"Yes","No")</f>
        <v>Yes</v>
      </c>
    </row>
    <row r="168" spans="1:77" x14ac:dyDescent="0.15">
      <c r="A168" s="38">
        <f t="shared" si="5"/>
        <v>167</v>
      </c>
      <c r="B168" s="38" t="s">
        <v>1413</v>
      </c>
      <c r="C168" s="38" t="s">
        <v>1413</v>
      </c>
      <c r="D168" s="38" t="s">
        <v>1223</v>
      </c>
      <c r="E168" s="38" t="s">
        <v>2336</v>
      </c>
      <c r="F168" s="32" t="s">
        <v>1225</v>
      </c>
      <c r="G168" s="32" t="s">
        <v>1225</v>
      </c>
      <c r="H168" s="32" t="s">
        <v>1225</v>
      </c>
      <c r="I168" s="38" t="s">
        <v>2337</v>
      </c>
      <c r="J168" s="32" t="s">
        <v>1225</v>
      </c>
      <c r="K168" s="32" t="s">
        <v>1225</v>
      </c>
      <c r="L168" s="38" t="s">
        <v>2338</v>
      </c>
      <c r="M168" s="38" t="s">
        <v>68</v>
      </c>
      <c r="N168" s="32" t="s">
        <v>1225</v>
      </c>
      <c r="O168" s="32" t="s">
        <v>1225</v>
      </c>
      <c r="P168" s="32" t="s">
        <v>1225</v>
      </c>
      <c r="Q168" s="38" t="s">
        <v>1417</v>
      </c>
      <c r="R168" s="32" t="s">
        <v>1225</v>
      </c>
      <c r="S168" s="32" t="s">
        <v>1225</v>
      </c>
      <c r="T168" s="32" t="s">
        <v>1225</v>
      </c>
      <c r="U168" s="32" t="s">
        <v>1225</v>
      </c>
      <c r="V168" s="32" t="s">
        <v>1225</v>
      </c>
      <c r="W168" s="38" t="s">
        <v>2339</v>
      </c>
      <c r="X168" s="38" t="s">
        <v>2340</v>
      </c>
      <c r="Y168" s="38" t="s">
        <v>2341</v>
      </c>
      <c r="Z168" s="32" t="s">
        <v>1225</v>
      </c>
      <c r="AA168" s="32" t="s">
        <v>1225</v>
      </c>
      <c r="AB168" s="32" t="s">
        <v>1225</v>
      </c>
      <c r="AC168" s="32" t="s">
        <v>1225</v>
      </c>
      <c r="AD168" s="32" t="s">
        <v>1225</v>
      </c>
      <c r="AE168" s="32" t="s">
        <v>1225</v>
      </c>
      <c r="AF168" s="32" t="s">
        <v>1225</v>
      </c>
      <c r="AG168" s="32" t="s">
        <v>1225</v>
      </c>
      <c r="AH168" s="32" t="s">
        <v>1225</v>
      </c>
      <c r="AI168" s="32" t="s">
        <v>1225</v>
      </c>
      <c r="AJ168" s="32" t="s">
        <v>1225</v>
      </c>
      <c r="AK168" s="32" t="s">
        <v>1225</v>
      </c>
      <c r="AL168" s="32" t="s">
        <v>1225</v>
      </c>
      <c r="AM168" s="32" t="s">
        <v>1225</v>
      </c>
      <c r="AN168" s="32" t="s">
        <v>1225</v>
      </c>
      <c r="AO168" s="32" t="s">
        <v>1225</v>
      </c>
      <c r="AP168" s="32" t="s">
        <v>1225</v>
      </c>
      <c r="AQ168" s="32" t="s">
        <v>1225</v>
      </c>
      <c r="AR168" s="32" t="s">
        <v>1225</v>
      </c>
      <c r="AS168" s="32" t="s">
        <v>1225</v>
      </c>
      <c r="AT168" s="32" t="s">
        <v>1225</v>
      </c>
      <c r="AU168" s="32" t="s">
        <v>1225</v>
      </c>
      <c r="AV168" s="32" t="s">
        <v>1225</v>
      </c>
      <c r="AW168" s="38" t="s">
        <v>1225</v>
      </c>
      <c r="AX168" s="38">
        <v>2019</v>
      </c>
      <c r="AY168" s="32">
        <v>7</v>
      </c>
      <c r="AZ168" s="32" t="s">
        <v>1225</v>
      </c>
      <c r="BA168" s="32" t="s">
        <v>1225</v>
      </c>
      <c r="BB168" s="32" t="s">
        <v>1225</v>
      </c>
      <c r="BC168" s="32" t="s">
        <v>1225</v>
      </c>
      <c r="BD168" s="32" t="s">
        <v>1225</v>
      </c>
      <c r="BE168" s="32">
        <v>128353</v>
      </c>
      <c r="BF168" s="32">
        <v>128371</v>
      </c>
      <c r="BG168" s="32" t="s">
        <v>1225</v>
      </c>
      <c r="BH168" s="38" t="s">
        <v>2342</v>
      </c>
      <c r="BI168" s="38" t="str">
        <f>HYPERLINK("http://dx.doi.org/10.1109/ACCESS.2019.2939595","http://dx.doi.org/10.1109/ACCESS.2019.2939595")</f>
        <v>http://dx.doi.org/10.1109/ACCESS.2019.2939595</v>
      </c>
      <c r="BJ168" s="32" t="s">
        <v>1225</v>
      </c>
      <c r="BK168" s="32" t="s">
        <v>1225</v>
      </c>
      <c r="BL168" s="32" t="s">
        <v>1225</v>
      </c>
      <c r="BM168" s="32" t="s">
        <v>1225</v>
      </c>
      <c r="BN168" s="32" t="s">
        <v>1225</v>
      </c>
      <c r="BO168" s="32" t="s">
        <v>1225</v>
      </c>
      <c r="BP168" s="32" t="s">
        <v>1225</v>
      </c>
      <c r="BQ168" s="32" t="s">
        <v>1225</v>
      </c>
      <c r="BR168" s="32" t="s">
        <v>1225</v>
      </c>
      <c r="BS168" s="32" t="s">
        <v>1225</v>
      </c>
      <c r="BT168" s="32" t="s">
        <v>1225</v>
      </c>
      <c r="BU168" s="32" t="s">
        <v>1225</v>
      </c>
      <c r="BV168" s="32" t="s">
        <v>1225</v>
      </c>
      <c r="BW168" s="32" t="str">
        <f t="shared" si="4"/>
        <v>View Full Record in Web of Science</v>
      </c>
      <c r="BY168" s="41" t="str">
        <f>IF(Deletion!J168=TRUE,"Yes","No")</f>
        <v>Yes</v>
      </c>
    </row>
    <row r="169" spans="1:77" x14ac:dyDescent="0.15">
      <c r="A169" s="32">
        <f t="shared" si="5"/>
        <v>168</v>
      </c>
      <c r="D169" s="32" t="s">
        <v>1223</v>
      </c>
      <c r="E169" s="32" t="s">
        <v>1639</v>
      </c>
      <c r="F169" s="32" t="s">
        <v>1225</v>
      </c>
      <c r="G169" s="32" t="s">
        <v>1225</v>
      </c>
      <c r="H169" s="32" t="s">
        <v>1225</v>
      </c>
      <c r="I169" s="32" t="s">
        <v>544</v>
      </c>
      <c r="J169" s="32" t="s">
        <v>1225</v>
      </c>
      <c r="K169" s="32" t="s">
        <v>1225</v>
      </c>
      <c r="L169" s="32" t="s">
        <v>2343</v>
      </c>
      <c r="M169" s="32" t="s">
        <v>422</v>
      </c>
      <c r="N169" s="32" t="s">
        <v>1225</v>
      </c>
      <c r="O169" s="32" t="s">
        <v>1225</v>
      </c>
      <c r="P169" s="32" t="s">
        <v>1225</v>
      </c>
      <c r="Q169" s="32" t="s">
        <v>1227</v>
      </c>
      <c r="R169" s="32" t="s">
        <v>1225</v>
      </c>
      <c r="S169" s="32" t="s">
        <v>1225</v>
      </c>
      <c r="T169" s="32" t="s">
        <v>1225</v>
      </c>
      <c r="U169" s="32" t="s">
        <v>1225</v>
      </c>
      <c r="V169" s="32" t="s">
        <v>1225</v>
      </c>
      <c r="W169" s="32" t="s">
        <v>2344</v>
      </c>
      <c r="X169" s="32" t="s">
        <v>2345</v>
      </c>
      <c r="Y169" s="32" t="s">
        <v>2346</v>
      </c>
      <c r="Z169" s="32" t="s">
        <v>1225</v>
      </c>
      <c r="AA169" s="32" t="s">
        <v>1225</v>
      </c>
      <c r="AB169" s="32" t="s">
        <v>1225</v>
      </c>
      <c r="AC169" s="32" t="s">
        <v>1225</v>
      </c>
      <c r="AD169" s="32" t="s">
        <v>1225</v>
      </c>
      <c r="AE169" s="32" t="s">
        <v>1225</v>
      </c>
      <c r="AF169" s="32" t="s">
        <v>1225</v>
      </c>
      <c r="AG169" s="32" t="s">
        <v>1225</v>
      </c>
      <c r="AH169" s="32" t="s">
        <v>1225</v>
      </c>
      <c r="AI169" s="32" t="s">
        <v>1225</v>
      </c>
      <c r="AJ169" s="32" t="s">
        <v>1225</v>
      </c>
      <c r="AK169" s="32" t="s">
        <v>1225</v>
      </c>
      <c r="AL169" s="32" t="s">
        <v>1225</v>
      </c>
      <c r="AM169" s="32" t="s">
        <v>1225</v>
      </c>
      <c r="AN169" s="32" t="s">
        <v>1225</v>
      </c>
      <c r="AO169" s="32" t="s">
        <v>1225</v>
      </c>
      <c r="AP169" s="32" t="s">
        <v>1225</v>
      </c>
      <c r="AQ169" s="32" t="s">
        <v>1225</v>
      </c>
      <c r="AR169" s="32" t="s">
        <v>1225</v>
      </c>
      <c r="AS169" s="32" t="s">
        <v>1225</v>
      </c>
      <c r="AT169" s="32" t="s">
        <v>1225</v>
      </c>
      <c r="AU169" s="32" t="s">
        <v>1225</v>
      </c>
      <c r="AV169" s="32" t="s">
        <v>1225</v>
      </c>
      <c r="AW169" s="32" t="s">
        <v>1229</v>
      </c>
      <c r="AX169" s="32">
        <v>2018</v>
      </c>
      <c r="AY169" s="32">
        <v>11</v>
      </c>
      <c r="AZ169" s="32">
        <v>11</v>
      </c>
      <c r="BA169" s="32" t="s">
        <v>1225</v>
      </c>
      <c r="BB169" s="32" t="s">
        <v>1225</v>
      </c>
      <c r="BC169" s="32" t="s">
        <v>1225</v>
      </c>
      <c r="BD169" s="32" t="s">
        <v>1225</v>
      </c>
      <c r="BE169" s="32" t="s">
        <v>1225</v>
      </c>
      <c r="BF169" s="32" t="s">
        <v>1225</v>
      </c>
      <c r="BG169" s="32">
        <v>3188</v>
      </c>
      <c r="BH169" s="32" t="s">
        <v>2347</v>
      </c>
      <c r="BI169" s="32" t="str">
        <f>HYPERLINK("http://dx.doi.org/10.3390/en11113188","http://dx.doi.org/10.3390/en11113188")</f>
        <v>http://dx.doi.org/10.3390/en11113188</v>
      </c>
      <c r="BJ169" s="32" t="s">
        <v>1225</v>
      </c>
      <c r="BK169" s="32" t="s">
        <v>1225</v>
      </c>
      <c r="BL169" s="32" t="s">
        <v>1225</v>
      </c>
      <c r="BM169" s="32" t="s">
        <v>1225</v>
      </c>
      <c r="BN169" s="32" t="s">
        <v>1225</v>
      </c>
      <c r="BO169" s="32" t="s">
        <v>1225</v>
      </c>
      <c r="BP169" s="32" t="s">
        <v>1225</v>
      </c>
      <c r="BQ169" s="32" t="s">
        <v>1225</v>
      </c>
      <c r="BR169" s="32" t="s">
        <v>1225</v>
      </c>
      <c r="BS169" s="32" t="s">
        <v>1225</v>
      </c>
      <c r="BT169" s="32" t="s">
        <v>1225</v>
      </c>
      <c r="BU169" s="32" t="s">
        <v>1225</v>
      </c>
      <c r="BV169" s="32" t="s">
        <v>1225</v>
      </c>
      <c r="BW169" s="32" t="str">
        <f t="shared" si="4"/>
        <v>View Full Record in Web of Science</v>
      </c>
      <c r="BY169" s="41" t="str">
        <f>IF(Deletion!J169=TRUE,"Yes","No")</f>
        <v>Yes</v>
      </c>
    </row>
    <row r="170" spans="1:77" x14ac:dyDescent="0.15">
      <c r="A170" s="32">
        <f t="shared" si="5"/>
        <v>169</v>
      </c>
      <c r="D170" s="32" t="s">
        <v>1223</v>
      </c>
      <c r="E170" s="32" t="s">
        <v>2348</v>
      </c>
      <c r="F170" s="32" t="s">
        <v>1225</v>
      </c>
      <c r="G170" s="32" t="s">
        <v>1225</v>
      </c>
      <c r="H170" s="32" t="s">
        <v>1225</v>
      </c>
      <c r="I170" s="32" t="s">
        <v>2349</v>
      </c>
      <c r="J170" s="32" t="s">
        <v>1225</v>
      </c>
      <c r="K170" s="32" t="s">
        <v>1225</v>
      </c>
      <c r="L170" s="32" t="s">
        <v>2350</v>
      </c>
      <c r="M170" s="32" t="s">
        <v>68</v>
      </c>
      <c r="N170" s="32" t="s">
        <v>1225</v>
      </c>
      <c r="O170" s="32" t="s">
        <v>1225</v>
      </c>
      <c r="P170" s="32" t="s">
        <v>1225</v>
      </c>
      <c r="Q170" s="32" t="s">
        <v>1227</v>
      </c>
      <c r="R170" s="32" t="s">
        <v>1225</v>
      </c>
      <c r="S170" s="32" t="s">
        <v>1225</v>
      </c>
      <c r="T170" s="32" t="s">
        <v>1225</v>
      </c>
      <c r="U170" s="32" t="s">
        <v>1225</v>
      </c>
      <c r="V170" s="32" t="s">
        <v>1225</v>
      </c>
      <c r="W170" s="32" t="s">
        <v>2351</v>
      </c>
      <c r="X170" s="32" t="s">
        <v>2352</v>
      </c>
      <c r="Y170" s="32" t="s">
        <v>2353</v>
      </c>
      <c r="Z170" s="32" t="s">
        <v>1225</v>
      </c>
      <c r="AA170" s="32" t="s">
        <v>1225</v>
      </c>
      <c r="AB170" s="32" t="s">
        <v>1225</v>
      </c>
      <c r="AC170" s="32" t="s">
        <v>1225</v>
      </c>
      <c r="AD170" s="32" t="s">
        <v>1225</v>
      </c>
      <c r="AE170" s="32" t="s">
        <v>1225</v>
      </c>
      <c r="AF170" s="32" t="s">
        <v>1225</v>
      </c>
      <c r="AG170" s="32" t="s">
        <v>1225</v>
      </c>
      <c r="AH170" s="32" t="s">
        <v>1225</v>
      </c>
      <c r="AI170" s="32" t="s">
        <v>1225</v>
      </c>
      <c r="AJ170" s="32" t="s">
        <v>1225</v>
      </c>
      <c r="AK170" s="32" t="s">
        <v>1225</v>
      </c>
      <c r="AL170" s="32" t="s">
        <v>1225</v>
      </c>
      <c r="AM170" s="32" t="s">
        <v>1225</v>
      </c>
      <c r="AN170" s="32" t="s">
        <v>1225</v>
      </c>
      <c r="AO170" s="32" t="s">
        <v>1225</v>
      </c>
      <c r="AP170" s="32" t="s">
        <v>1225</v>
      </c>
      <c r="AQ170" s="32" t="s">
        <v>1225</v>
      </c>
      <c r="AR170" s="32" t="s">
        <v>1225</v>
      </c>
      <c r="AS170" s="32" t="s">
        <v>1225</v>
      </c>
      <c r="AT170" s="32" t="s">
        <v>1225</v>
      </c>
      <c r="AU170" s="32" t="s">
        <v>1225</v>
      </c>
      <c r="AV170" s="32" t="s">
        <v>1225</v>
      </c>
      <c r="AW170" s="32" t="s">
        <v>1225</v>
      </c>
      <c r="AX170" s="32">
        <v>2020</v>
      </c>
      <c r="AY170" s="32">
        <v>8</v>
      </c>
      <c r="AZ170" s="32" t="s">
        <v>1225</v>
      </c>
      <c r="BA170" s="32" t="s">
        <v>1225</v>
      </c>
      <c r="BB170" s="32" t="s">
        <v>1225</v>
      </c>
      <c r="BC170" s="32" t="s">
        <v>1225</v>
      </c>
      <c r="BD170" s="32" t="s">
        <v>1225</v>
      </c>
      <c r="BE170" s="32">
        <v>196908</v>
      </c>
      <c r="BF170" s="32">
        <v>196919</v>
      </c>
      <c r="BG170" s="32" t="s">
        <v>1225</v>
      </c>
      <c r="BH170" s="32" t="s">
        <v>2354</v>
      </c>
      <c r="BI170" s="32" t="str">
        <f>HYPERLINK("http://dx.doi.org/10.1109/ACCESS.2020.3033662","http://dx.doi.org/10.1109/ACCESS.2020.3033662")</f>
        <v>http://dx.doi.org/10.1109/ACCESS.2020.3033662</v>
      </c>
      <c r="BJ170" s="32" t="s">
        <v>1225</v>
      </c>
      <c r="BK170" s="32" t="s">
        <v>1225</v>
      </c>
      <c r="BL170" s="32" t="s">
        <v>1225</v>
      </c>
      <c r="BM170" s="32" t="s">
        <v>1225</v>
      </c>
      <c r="BN170" s="32" t="s">
        <v>1225</v>
      </c>
      <c r="BO170" s="32" t="s">
        <v>1225</v>
      </c>
      <c r="BP170" s="32" t="s">
        <v>1225</v>
      </c>
      <c r="BQ170" s="32" t="s">
        <v>1225</v>
      </c>
      <c r="BR170" s="32" t="s">
        <v>1225</v>
      </c>
      <c r="BS170" s="32" t="s">
        <v>1225</v>
      </c>
      <c r="BT170" s="32" t="s">
        <v>1225</v>
      </c>
      <c r="BU170" s="32" t="s">
        <v>1225</v>
      </c>
      <c r="BV170" s="32" t="s">
        <v>1225</v>
      </c>
      <c r="BW170" s="32" t="str">
        <f t="shared" si="4"/>
        <v>View Full Record in Web of Science</v>
      </c>
      <c r="BY170" s="41" t="str">
        <f>IF(Deletion!J170=TRUE,"Yes","No")</f>
        <v>Yes</v>
      </c>
    </row>
    <row r="171" spans="1:77" x14ac:dyDescent="0.15">
      <c r="A171" s="32">
        <f t="shared" si="5"/>
        <v>170</v>
      </c>
      <c r="D171" s="32" t="s">
        <v>1223</v>
      </c>
      <c r="E171" s="32" t="s">
        <v>2355</v>
      </c>
      <c r="F171" s="32" t="s">
        <v>1225</v>
      </c>
      <c r="G171" s="32" t="s">
        <v>1225</v>
      </c>
      <c r="H171" s="32" t="s">
        <v>1225</v>
      </c>
      <c r="I171" s="32" t="s">
        <v>2356</v>
      </c>
      <c r="J171" s="32" t="s">
        <v>1225</v>
      </c>
      <c r="K171" s="32" t="s">
        <v>1225</v>
      </c>
      <c r="L171" s="32" t="s">
        <v>2357</v>
      </c>
      <c r="M171" s="32" t="s">
        <v>863</v>
      </c>
      <c r="N171" s="32" t="s">
        <v>1225</v>
      </c>
      <c r="O171" s="32" t="s">
        <v>1225</v>
      </c>
      <c r="P171" s="32" t="s">
        <v>1225</v>
      </c>
      <c r="Q171" s="32" t="s">
        <v>1227</v>
      </c>
      <c r="R171" s="32" t="s">
        <v>1225</v>
      </c>
      <c r="S171" s="32" t="s">
        <v>1225</v>
      </c>
      <c r="T171" s="32" t="s">
        <v>1225</v>
      </c>
      <c r="U171" s="32" t="s">
        <v>1225</v>
      </c>
      <c r="V171" s="32" t="s">
        <v>1225</v>
      </c>
      <c r="W171" s="32" t="s">
        <v>2358</v>
      </c>
      <c r="X171" s="32" t="s">
        <v>2359</v>
      </c>
      <c r="Y171" s="32" t="s">
        <v>2360</v>
      </c>
      <c r="Z171" s="32" t="s">
        <v>1225</v>
      </c>
      <c r="AA171" s="32" t="s">
        <v>1225</v>
      </c>
      <c r="AB171" s="32" t="s">
        <v>1225</v>
      </c>
      <c r="AC171" s="32" t="s">
        <v>1225</v>
      </c>
      <c r="AD171" s="32" t="s">
        <v>1225</v>
      </c>
      <c r="AE171" s="32" t="s">
        <v>1225</v>
      </c>
      <c r="AF171" s="32" t="s">
        <v>1225</v>
      </c>
      <c r="AG171" s="32" t="s">
        <v>1225</v>
      </c>
      <c r="AH171" s="32" t="s">
        <v>1225</v>
      </c>
      <c r="AI171" s="32" t="s">
        <v>1225</v>
      </c>
      <c r="AJ171" s="32" t="s">
        <v>1225</v>
      </c>
      <c r="AK171" s="32" t="s">
        <v>1225</v>
      </c>
      <c r="AL171" s="32" t="s">
        <v>1225</v>
      </c>
      <c r="AM171" s="32" t="s">
        <v>1225</v>
      </c>
      <c r="AN171" s="32" t="s">
        <v>1225</v>
      </c>
      <c r="AO171" s="32" t="s">
        <v>1225</v>
      </c>
      <c r="AP171" s="32" t="s">
        <v>1225</v>
      </c>
      <c r="AQ171" s="32" t="s">
        <v>1225</v>
      </c>
      <c r="AR171" s="32" t="s">
        <v>1225</v>
      </c>
      <c r="AS171" s="32" t="s">
        <v>1225</v>
      </c>
      <c r="AT171" s="32" t="s">
        <v>1225</v>
      </c>
      <c r="AU171" s="32" t="s">
        <v>1225</v>
      </c>
      <c r="AV171" s="32" t="s">
        <v>1225</v>
      </c>
      <c r="AW171" s="32" t="s">
        <v>1276</v>
      </c>
      <c r="AX171" s="32">
        <v>2014</v>
      </c>
      <c r="AY171" s="32">
        <v>5</v>
      </c>
      <c r="AZ171" s="32">
        <v>4</v>
      </c>
      <c r="BA171" s="32" t="s">
        <v>1225</v>
      </c>
      <c r="BB171" s="32" t="s">
        <v>1225</v>
      </c>
      <c r="BC171" s="32" t="s">
        <v>1225</v>
      </c>
      <c r="BD171" s="32" t="s">
        <v>1225</v>
      </c>
      <c r="BE171" s="32">
        <v>1389</v>
      </c>
      <c r="BF171" s="32">
        <v>1396</v>
      </c>
      <c r="BG171" s="32" t="s">
        <v>1225</v>
      </c>
      <c r="BH171" s="32" t="s">
        <v>2361</v>
      </c>
      <c r="BI171" s="32" t="str">
        <f>HYPERLINK("http://dx.doi.org/10.1109/TSTE.2014.2314754","http://dx.doi.org/10.1109/TSTE.2014.2314754")</f>
        <v>http://dx.doi.org/10.1109/TSTE.2014.2314754</v>
      </c>
      <c r="BJ171" s="32" t="s">
        <v>1225</v>
      </c>
      <c r="BK171" s="32" t="s">
        <v>1225</v>
      </c>
      <c r="BL171" s="32" t="s">
        <v>1225</v>
      </c>
      <c r="BM171" s="32" t="s">
        <v>1225</v>
      </c>
      <c r="BN171" s="32" t="s">
        <v>1225</v>
      </c>
      <c r="BO171" s="32" t="s">
        <v>1225</v>
      </c>
      <c r="BP171" s="32" t="s">
        <v>1225</v>
      </c>
      <c r="BQ171" s="32" t="s">
        <v>1225</v>
      </c>
      <c r="BR171" s="32" t="s">
        <v>1225</v>
      </c>
      <c r="BS171" s="32" t="s">
        <v>1225</v>
      </c>
      <c r="BT171" s="32" t="s">
        <v>1225</v>
      </c>
      <c r="BU171" s="32" t="s">
        <v>1225</v>
      </c>
      <c r="BV171" s="32" t="s">
        <v>1225</v>
      </c>
      <c r="BW171" s="32" t="str">
        <f t="shared" si="4"/>
        <v>View Full Record in Web of Science</v>
      </c>
      <c r="BY171" s="41" t="str">
        <f>IF(Deletion!J171=TRUE,"Yes","No")</f>
        <v>Yes</v>
      </c>
    </row>
    <row r="172" spans="1:77" x14ac:dyDescent="0.15">
      <c r="A172" s="32">
        <f t="shared" si="5"/>
        <v>171</v>
      </c>
      <c r="D172" s="32" t="s">
        <v>1223</v>
      </c>
      <c r="E172" s="32" t="s">
        <v>2362</v>
      </c>
      <c r="F172" s="32" t="s">
        <v>1225</v>
      </c>
      <c r="G172" s="32" t="s">
        <v>1225</v>
      </c>
      <c r="H172" s="32" t="s">
        <v>1225</v>
      </c>
      <c r="I172" s="32" t="s">
        <v>2363</v>
      </c>
      <c r="J172" s="32" t="s">
        <v>1225</v>
      </c>
      <c r="K172" s="32" t="s">
        <v>1225</v>
      </c>
      <c r="L172" s="32" t="s">
        <v>2364</v>
      </c>
      <c r="M172" s="32" t="s">
        <v>502</v>
      </c>
      <c r="N172" s="32" t="s">
        <v>1225</v>
      </c>
      <c r="O172" s="32" t="s">
        <v>1225</v>
      </c>
      <c r="P172" s="32" t="s">
        <v>1225</v>
      </c>
      <c r="Q172" s="32" t="s">
        <v>1227</v>
      </c>
      <c r="R172" s="32" t="s">
        <v>1225</v>
      </c>
      <c r="S172" s="32" t="s">
        <v>1225</v>
      </c>
      <c r="T172" s="32" t="s">
        <v>1225</v>
      </c>
      <c r="U172" s="32" t="s">
        <v>1225</v>
      </c>
      <c r="V172" s="32" t="s">
        <v>1225</v>
      </c>
      <c r="W172" s="32" t="s">
        <v>2365</v>
      </c>
      <c r="X172" s="32" t="s">
        <v>2366</v>
      </c>
      <c r="Y172" s="32" t="s">
        <v>2367</v>
      </c>
      <c r="Z172" s="32" t="s">
        <v>1225</v>
      </c>
      <c r="AA172" s="32" t="s">
        <v>1225</v>
      </c>
      <c r="AB172" s="32" t="s">
        <v>1225</v>
      </c>
      <c r="AC172" s="32" t="s">
        <v>1225</v>
      </c>
      <c r="AD172" s="32" t="s">
        <v>1225</v>
      </c>
      <c r="AE172" s="32" t="s">
        <v>1225</v>
      </c>
      <c r="AF172" s="32" t="s">
        <v>1225</v>
      </c>
      <c r="AG172" s="32" t="s">
        <v>1225</v>
      </c>
      <c r="AH172" s="32" t="s">
        <v>1225</v>
      </c>
      <c r="AI172" s="32" t="s">
        <v>1225</v>
      </c>
      <c r="AJ172" s="32" t="s">
        <v>1225</v>
      </c>
      <c r="AK172" s="32" t="s">
        <v>1225</v>
      </c>
      <c r="AL172" s="32" t="s">
        <v>1225</v>
      </c>
      <c r="AM172" s="32" t="s">
        <v>1225</v>
      </c>
      <c r="AN172" s="32" t="s">
        <v>1225</v>
      </c>
      <c r="AO172" s="32" t="s">
        <v>1225</v>
      </c>
      <c r="AP172" s="32" t="s">
        <v>1225</v>
      </c>
      <c r="AQ172" s="32" t="s">
        <v>1225</v>
      </c>
      <c r="AR172" s="32" t="s">
        <v>1225</v>
      </c>
      <c r="AS172" s="32" t="s">
        <v>1225</v>
      </c>
      <c r="AT172" s="32" t="s">
        <v>1225</v>
      </c>
      <c r="AU172" s="32" t="s">
        <v>1225</v>
      </c>
      <c r="AV172" s="32" t="s">
        <v>1225</v>
      </c>
      <c r="AW172" s="32" t="s">
        <v>1251</v>
      </c>
      <c r="AX172" s="32">
        <v>2019</v>
      </c>
      <c r="AY172" s="32">
        <v>189</v>
      </c>
      <c r="AZ172" s="32" t="s">
        <v>1225</v>
      </c>
      <c r="BA172" s="32" t="s">
        <v>1225</v>
      </c>
      <c r="BB172" s="32" t="s">
        <v>1225</v>
      </c>
      <c r="BC172" s="32" t="s">
        <v>1225</v>
      </c>
      <c r="BD172" s="32" t="s">
        <v>1225</v>
      </c>
      <c r="BE172" s="32" t="s">
        <v>1225</v>
      </c>
      <c r="BF172" s="32" t="s">
        <v>1225</v>
      </c>
      <c r="BG172" s="32">
        <v>116275</v>
      </c>
      <c r="BH172" s="32" t="s">
        <v>2368</v>
      </c>
      <c r="BI172" s="32" t="str">
        <f>HYPERLINK("http://dx.doi.org/10.1016/j.energy.2019.116275","http://dx.doi.org/10.1016/j.energy.2019.116275")</f>
        <v>http://dx.doi.org/10.1016/j.energy.2019.116275</v>
      </c>
      <c r="BJ172" s="32" t="s">
        <v>1225</v>
      </c>
      <c r="BK172" s="32" t="s">
        <v>1225</v>
      </c>
      <c r="BL172" s="32" t="s">
        <v>1225</v>
      </c>
      <c r="BM172" s="32" t="s">
        <v>1225</v>
      </c>
      <c r="BN172" s="32" t="s">
        <v>1225</v>
      </c>
      <c r="BO172" s="32" t="s">
        <v>1225</v>
      </c>
      <c r="BP172" s="32" t="s">
        <v>1225</v>
      </c>
      <c r="BQ172" s="32" t="s">
        <v>1225</v>
      </c>
      <c r="BR172" s="32" t="s">
        <v>1225</v>
      </c>
      <c r="BS172" s="32" t="s">
        <v>1225</v>
      </c>
      <c r="BT172" s="32" t="s">
        <v>1225</v>
      </c>
      <c r="BU172" s="32" t="s">
        <v>1225</v>
      </c>
      <c r="BV172" s="32" t="s">
        <v>1225</v>
      </c>
      <c r="BW172" s="32" t="str">
        <f t="shared" si="4"/>
        <v>View Full Record in Web of Science</v>
      </c>
      <c r="BY172" s="41" t="str">
        <f>IF(Deletion!J172=TRUE,"Yes","No")</f>
        <v>Yes</v>
      </c>
    </row>
    <row r="173" spans="1:77" x14ac:dyDescent="0.15">
      <c r="A173" s="32">
        <f t="shared" si="5"/>
        <v>172</v>
      </c>
      <c r="D173" s="32" t="s">
        <v>1223</v>
      </c>
      <c r="E173" s="32" t="s">
        <v>2369</v>
      </c>
      <c r="F173" s="32" t="s">
        <v>1225</v>
      </c>
      <c r="G173" s="32" t="s">
        <v>1225</v>
      </c>
      <c r="H173" s="32" t="s">
        <v>1225</v>
      </c>
      <c r="I173" s="32" t="s">
        <v>2370</v>
      </c>
      <c r="J173" s="32" t="s">
        <v>1225</v>
      </c>
      <c r="K173" s="32" t="s">
        <v>1225</v>
      </c>
      <c r="L173" s="32" t="s">
        <v>2371</v>
      </c>
      <c r="M173" s="32" t="s">
        <v>2372</v>
      </c>
      <c r="N173" s="32" t="s">
        <v>1225</v>
      </c>
      <c r="O173" s="32" t="s">
        <v>1225</v>
      </c>
      <c r="P173" s="32" t="s">
        <v>1225</v>
      </c>
      <c r="Q173" s="32" t="s">
        <v>1227</v>
      </c>
      <c r="R173" s="32" t="s">
        <v>1225</v>
      </c>
      <c r="S173" s="32" t="s">
        <v>1225</v>
      </c>
      <c r="T173" s="32" t="s">
        <v>1225</v>
      </c>
      <c r="U173" s="32" t="s">
        <v>1225</v>
      </c>
      <c r="V173" s="32" t="s">
        <v>1225</v>
      </c>
      <c r="W173" s="32" t="s">
        <v>2373</v>
      </c>
      <c r="X173" s="32" t="s">
        <v>2374</v>
      </c>
      <c r="Y173" s="32" t="s">
        <v>2375</v>
      </c>
      <c r="Z173" s="32" t="s">
        <v>1225</v>
      </c>
      <c r="AA173" s="32" t="s">
        <v>1225</v>
      </c>
      <c r="AB173" s="32" t="s">
        <v>1225</v>
      </c>
      <c r="AC173" s="32" t="s">
        <v>1225</v>
      </c>
      <c r="AD173" s="32" t="s">
        <v>1225</v>
      </c>
      <c r="AE173" s="32" t="s">
        <v>1225</v>
      </c>
      <c r="AF173" s="32" t="s">
        <v>1225</v>
      </c>
      <c r="AG173" s="32" t="s">
        <v>1225</v>
      </c>
      <c r="AH173" s="32" t="s">
        <v>1225</v>
      </c>
      <c r="AI173" s="32" t="s">
        <v>1225</v>
      </c>
      <c r="AJ173" s="32" t="s">
        <v>1225</v>
      </c>
      <c r="AK173" s="32" t="s">
        <v>1225</v>
      </c>
      <c r="AL173" s="32" t="s">
        <v>1225</v>
      </c>
      <c r="AM173" s="32" t="s">
        <v>1225</v>
      </c>
      <c r="AN173" s="32" t="s">
        <v>1225</v>
      </c>
      <c r="AO173" s="32" t="s">
        <v>1225</v>
      </c>
      <c r="AP173" s="32" t="s">
        <v>1225</v>
      </c>
      <c r="AQ173" s="32" t="s">
        <v>1225</v>
      </c>
      <c r="AR173" s="32" t="s">
        <v>1225</v>
      </c>
      <c r="AS173" s="32" t="s">
        <v>1225</v>
      </c>
      <c r="AT173" s="32" t="s">
        <v>1225</v>
      </c>
      <c r="AU173" s="32" t="s">
        <v>1225</v>
      </c>
      <c r="AV173" s="32" t="s">
        <v>1225</v>
      </c>
      <c r="AW173" s="32" t="s">
        <v>1272</v>
      </c>
      <c r="AX173" s="32">
        <v>2021</v>
      </c>
      <c r="AY173" s="32">
        <v>4</v>
      </c>
      <c r="AZ173" s="32">
        <v>1</v>
      </c>
      <c r="BA173" s="32" t="s">
        <v>1225</v>
      </c>
      <c r="BB173" s="32" t="s">
        <v>1225</v>
      </c>
      <c r="BC173" s="32" t="s">
        <v>1225</v>
      </c>
      <c r="BD173" s="32" t="s">
        <v>1225</v>
      </c>
      <c r="BE173" s="32">
        <v>17</v>
      </c>
      <c r="BF173" s="32">
        <v>40</v>
      </c>
      <c r="BG173" s="32" t="s">
        <v>1225</v>
      </c>
      <c r="BH173" s="32" t="s">
        <v>2376</v>
      </c>
      <c r="BI173" s="32" t="str">
        <f>HYPERLINK("http://dx.doi.org/10.3390/smartcities4010002","http://dx.doi.org/10.3390/smartcities4010002")</f>
        <v>http://dx.doi.org/10.3390/smartcities4010002</v>
      </c>
      <c r="BJ173" s="32" t="s">
        <v>1225</v>
      </c>
      <c r="BK173" s="32" t="s">
        <v>1225</v>
      </c>
      <c r="BL173" s="32" t="s">
        <v>1225</v>
      </c>
      <c r="BM173" s="32" t="s">
        <v>1225</v>
      </c>
      <c r="BN173" s="32" t="s">
        <v>1225</v>
      </c>
      <c r="BO173" s="32" t="s">
        <v>1225</v>
      </c>
      <c r="BP173" s="32" t="s">
        <v>1225</v>
      </c>
      <c r="BQ173" s="32" t="s">
        <v>1225</v>
      </c>
      <c r="BR173" s="32" t="s">
        <v>1225</v>
      </c>
      <c r="BS173" s="32" t="s">
        <v>1225</v>
      </c>
      <c r="BT173" s="32" t="s">
        <v>1225</v>
      </c>
      <c r="BU173" s="32" t="s">
        <v>1225</v>
      </c>
      <c r="BV173" s="32" t="s">
        <v>1225</v>
      </c>
      <c r="BW173" s="32" t="str">
        <f t="shared" si="4"/>
        <v>View Full Record in Web of Science</v>
      </c>
      <c r="BY173" s="41" t="str">
        <f>IF(Deletion!J173=TRUE,"Yes","No")</f>
        <v>Yes</v>
      </c>
    </row>
    <row r="174" spans="1:77" x14ac:dyDescent="0.15">
      <c r="A174" s="32">
        <f t="shared" si="5"/>
        <v>173</v>
      </c>
      <c r="D174" s="32" t="s">
        <v>1223</v>
      </c>
      <c r="E174" s="32" t="s">
        <v>2377</v>
      </c>
      <c r="F174" s="32" t="s">
        <v>1225</v>
      </c>
      <c r="G174" s="32" t="s">
        <v>1225</v>
      </c>
      <c r="H174" s="32" t="s">
        <v>1225</v>
      </c>
      <c r="I174" s="32" t="s">
        <v>2378</v>
      </c>
      <c r="J174" s="32" t="s">
        <v>1225</v>
      </c>
      <c r="K174" s="32" t="s">
        <v>1225</v>
      </c>
      <c r="L174" s="32" t="s">
        <v>2379</v>
      </c>
      <c r="M174" s="32" t="s">
        <v>89</v>
      </c>
      <c r="N174" s="32" t="s">
        <v>1225</v>
      </c>
      <c r="O174" s="32" t="s">
        <v>1225</v>
      </c>
      <c r="P174" s="32" t="s">
        <v>1225</v>
      </c>
      <c r="Q174" s="32" t="s">
        <v>1227</v>
      </c>
      <c r="R174" s="32" t="s">
        <v>1225</v>
      </c>
      <c r="S174" s="32" t="s">
        <v>1225</v>
      </c>
      <c r="T174" s="32" t="s">
        <v>1225</v>
      </c>
      <c r="U174" s="32" t="s">
        <v>1225</v>
      </c>
      <c r="V174" s="32" t="s">
        <v>1225</v>
      </c>
      <c r="W174" s="32" t="s">
        <v>2380</v>
      </c>
      <c r="X174" s="32" t="s">
        <v>1225</v>
      </c>
      <c r="Y174" s="32" t="s">
        <v>2381</v>
      </c>
      <c r="Z174" s="32" t="s">
        <v>1225</v>
      </c>
      <c r="AA174" s="32" t="s">
        <v>1225</v>
      </c>
      <c r="AB174" s="32" t="s">
        <v>1225</v>
      </c>
      <c r="AC174" s="32" t="s">
        <v>1225</v>
      </c>
      <c r="AD174" s="32" t="s">
        <v>1225</v>
      </c>
      <c r="AE174" s="32" t="s">
        <v>1225</v>
      </c>
      <c r="AF174" s="32" t="s">
        <v>1225</v>
      </c>
      <c r="AG174" s="32" t="s">
        <v>1225</v>
      </c>
      <c r="AH174" s="32" t="s">
        <v>1225</v>
      </c>
      <c r="AI174" s="32" t="s">
        <v>1225</v>
      </c>
      <c r="AJ174" s="32" t="s">
        <v>1225</v>
      </c>
      <c r="AK174" s="32" t="s">
        <v>1225</v>
      </c>
      <c r="AL174" s="32" t="s">
        <v>1225</v>
      </c>
      <c r="AM174" s="32" t="s">
        <v>1225</v>
      </c>
      <c r="AN174" s="32" t="s">
        <v>1225</v>
      </c>
      <c r="AO174" s="32" t="s">
        <v>1225</v>
      </c>
      <c r="AP174" s="32" t="s">
        <v>1225</v>
      </c>
      <c r="AQ174" s="32" t="s">
        <v>1225</v>
      </c>
      <c r="AR174" s="32" t="s">
        <v>1225</v>
      </c>
      <c r="AS174" s="32" t="s">
        <v>1225</v>
      </c>
      <c r="AT174" s="32" t="s">
        <v>1225</v>
      </c>
      <c r="AU174" s="32" t="s">
        <v>1225</v>
      </c>
      <c r="AV174" s="32" t="s">
        <v>1225</v>
      </c>
      <c r="AW174" s="32" t="s">
        <v>1272</v>
      </c>
      <c r="AX174" s="32">
        <v>2015</v>
      </c>
      <c r="AY174" s="32">
        <v>120</v>
      </c>
      <c r="AZ174" s="32" t="s">
        <v>1225</v>
      </c>
      <c r="BA174" s="32" t="s">
        <v>1225</v>
      </c>
      <c r="BB174" s="32" t="s">
        <v>1225</v>
      </c>
      <c r="BC174" s="32" t="s">
        <v>1511</v>
      </c>
      <c r="BD174" s="32" t="s">
        <v>1225</v>
      </c>
      <c r="BE174" s="32">
        <v>96</v>
      </c>
      <c r="BF174" s="32">
        <v>108</v>
      </c>
      <c r="BG174" s="32" t="s">
        <v>1225</v>
      </c>
      <c r="BH174" s="32" t="s">
        <v>2382</v>
      </c>
      <c r="BI174" s="32" t="str">
        <f>HYPERLINK("http://dx.doi.org/10.1016/j.epsr.2014.07.033","http://dx.doi.org/10.1016/j.epsr.2014.07.033")</f>
        <v>http://dx.doi.org/10.1016/j.epsr.2014.07.033</v>
      </c>
      <c r="BJ174" s="32" t="s">
        <v>1225</v>
      </c>
      <c r="BK174" s="32" t="s">
        <v>1225</v>
      </c>
      <c r="BL174" s="32" t="s">
        <v>1225</v>
      </c>
      <c r="BM174" s="32" t="s">
        <v>1225</v>
      </c>
      <c r="BN174" s="32" t="s">
        <v>1225</v>
      </c>
      <c r="BO174" s="32" t="s">
        <v>1225</v>
      </c>
      <c r="BP174" s="32" t="s">
        <v>1225</v>
      </c>
      <c r="BQ174" s="32" t="s">
        <v>1225</v>
      </c>
      <c r="BR174" s="32" t="s">
        <v>1225</v>
      </c>
      <c r="BS174" s="32" t="s">
        <v>1225</v>
      </c>
      <c r="BT174" s="32" t="s">
        <v>1225</v>
      </c>
      <c r="BU174" s="32" t="s">
        <v>1225</v>
      </c>
      <c r="BV174" s="32" t="s">
        <v>1225</v>
      </c>
      <c r="BW174" s="32" t="str">
        <f t="shared" si="4"/>
        <v>View Full Record in Web of Science</v>
      </c>
      <c r="BY174" s="41" t="str">
        <f>IF(Deletion!J174=TRUE,"Yes","No")</f>
        <v>Yes</v>
      </c>
    </row>
    <row r="175" spans="1:77" x14ac:dyDescent="0.15">
      <c r="A175" s="32">
        <f t="shared" si="5"/>
        <v>174</v>
      </c>
      <c r="D175" s="32" t="s">
        <v>1223</v>
      </c>
      <c r="E175" s="32" t="s">
        <v>2383</v>
      </c>
      <c r="F175" s="32" t="s">
        <v>1225</v>
      </c>
      <c r="G175" s="32" t="s">
        <v>1225</v>
      </c>
      <c r="H175" s="32" t="s">
        <v>1225</v>
      </c>
      <c r="I175" s="32" t="s">
        <v>2384</v>
      </c>
      <c r="J175" s="32" t="s">
        <v>1225</v>
      </c>
      <c r="K175" s="32" t="s">
        <v>1225</v>
      </c>
      <c r="L175" s="32" t="s">
        <v>2385</v>
      </c>
      <c r="M175" s="32" t="s">
        <v>68</v>
      </c>
      <c r="N175" s="32" t="s">
        <v>1225</v>
      </c>
      <c r="O175" s="32" t="s">
        <v>1225</v>
      </c>
      <c r="P175" s="32" t="s">
        <v>1225</v>
      </c>
      <c r="Q175" s="32" t="s">
        <v>1227</v>
      </c>
      <c r="R175" s="32" t="s">
        <v>1225</v>
      </c>
      <c r="S175" s="32" t="s">
        <v>1225</v>
      </c>
      <c r="T175" s="32" t="s">
        <v>1225</v>
      </c>
      <c r="U175" s="32" t="s">
        <v>1225</v>
      </c>
      <c r="V175" s="32" t="s">
        <v>1225</v>
      </c>
      <c r="W175" s="32" t="s">
        <v>2386</v>
      </c>
      <c r="X175" s="32" t="s">
        <v>2387</v>
      </c>
      <c r="Y175" s="32" t="s">
        <v>2388</v>
      </c>
      <c r="Z175" s="32" t="s">
        <v>1225</v>
      </c>
      <c r="AA175" s="32" t="s">
        <v>1225</v>
      </c>
      <c r="AB175" s="32" t="s">
        <v>1225</v>
      </c>
      <c r="AC175" s="32" t="s">
        <v>1225</v>
      </c>
      <c r="AD175" s="32" t="s">
        <v>1225</v>
      </c>
      <c r="AE175" s="32" t="s">
        <v>1225</v>
      </c>
      <c r="AF175" s="32" t="s">
        <v>1225</v>
      </c>
      <c r="AG175" s="32" t="s">
        <v>1225</v>
      </c>
      <c r="AH175" s="32" t="s">
        <v>1225</v>
      </c>
      <c r="AI175" s="32" t="s">
        <v>1225</v>
      </c>
      <c r="AJ175" s="32" t="s">
        <v>1225</v>
      </c>
      <c r="AK175" s="32" t="s">
        <v>1225</v>
      </c>
      <c r="AL175" s="32" t="s">
        <v>1225</v>
      </c>
      <c r="AM175" s="32" t="s">
        <v>1225</v>
      </c>
      <c r="AN175" s="32" t="s">
        <v>1225</v>
      </c>
      <c r="AO175" s="32" t="s">
        <v>1225</v>
      </c>
      <c r="AP175" s="32" t="s">
        <v>1225</v>
      </c>
      <c r="AQ175" s="32" t="s">
        <v>1225</v>
      </c>
      <c r="AR175" s="32" t="s">
        <v>1225</v>
      </c>
      <c r="AS175" s="32" t="s">
        <v>1225</v>
      </c>
      <c r="AT175" s="32" t="s">
        <v>1225</v>
      </c>
      <c r="AU175" s="32" t="s">
        <v>1225</v>
      </c>
      <c r="AV175" s="32" t="s">
        <v>1225</v>
      </c>
      <c r="AW175" s="32" t="s">
        <v>1225</v>
      </c>
      <c r="AX175" s="32">
        <v>2018</v>
      </c>
      <c r="AY175" s="32">
        <v>6</v>
      </c>
      <c r="AZ175" s="32" t="s">
        <v>1225</v>
      </c>
      <c r="BA175" s="32" t="s">
        <v>1225</v>
      </c>
      <c r="BB175" s="32" t="s">
        <v>1225</v>
      </c>
      <c r="BC175" s="32" t="s">
        <v>1225</v>
      </c>
      <c r="BD175" s="32" t="s">
        <v>1225</v>
      </c>
      <c r="BE175" s="32">
        <v>56995</v>
      </c>
      <c r="BF175" s="32">
        <v>57005</v>
      </c>
      <c r="BG175" s="32" t="s">
        <v>1225</v>
      </c>
      <c r="BH175" s="32" t="s">
        <v>2389</v>
      </c>
      <c r="BI175" s="32" t="str">
        <f>HYPERLINK("http://dx.doi.org/10.1109/ACCESS.2018.2873286","http://dx.doi.org/10.1109/ACCESS.2018.2873286")</f>
        <v>http://dx.doi.org/10.1109/ACCESS.2018.2873286</v>
      </c>
      <c r="BJ175" s="32" t="s">
        <v>1225</v>
      </c>
      <c r="BK175" s="32" t="s">
        <v>1225</v>
      </c>
      <c r="BL175" s="32" t="s">
        <v>1225</v>
      </c>
      <c r="BM175" s="32" t="s">
        <v>1225</v>
      </c>
      <c r="BN175" s="32" t="s">
        <v>1225</v>
      </c>
      <c r="BO175" s="32" t="s">
        <v>1225</v>
      </c>
      <c r="BP175" s="32" t="s">
        <v>1225</v>
      </c>
      <c r="BQ175" s="32" t="s">
        <v>1225</v>
      </c>
      <c r="BR175" s="32" t="s">
        <v>1225</v>
      </c>
      <c r="BS175" s="32" t="s">
        <v>1225</v>
      </c>
      <c r="BT175" s="32" t="s">
        <v>1225</v>
      </c>
      <c r="BU175" s="32" t="s">
        <v>1225</v>
      </c>
      <c r="BV175" s="32" t="s">
        <v>1225</v>
      </c>
      <c r="BW175" s="32" t="str">
        <f t="shared" si="4"/>
        <v>View Full Record in Web of Science</v>
      </c>
      <c r="BY175" s="41" t="str">
        <f>IF(Deletion!J175=TRUE,"Yes","No")</f>
        <v>Yes</v>
      </c>
    </row>
    <row r="176" spans="1:77" x14ac:dyDescent="0.15">
      <c r="A176" s="34">
        <f t="shared" si="5"/>
        <v>175</v>
      </c>
      <c r="B176" s="34" t="s">
        <v>4</v>
      </c>
      <c r="C176" s="34" t="s">
        <v>4</v>
      </c>
      <c r="D176" s="34" t="s">
        <v>1223</v>
      </c>
      <c r="E176" s="34" t="s">
        <v>2390</v>
      </c>
      <c r="F176" s="32" t="s">
        <v>1225</v>
      </c>
      <c r="G176" s="32" t="s">
        <v>1225</v>
      </c>
      <c r="H176" s="32" t="s">
        <v>1225</v>
      </c>
      <c r="I176" s="34" t="s">
        <v>2391</v>
      </c>
      <c r="J176" s="32" t="s">
        <v>1225</v>
      </c>
      <c r="K176" s="32" t="s">
        <v>1225</v>
      </c>
      <c r="L176" s="34" t="s">
        <v>2392</v>
      </c>
      <c r="M176" s="34" t="s">
        <v>2393</v>
      </c>
      <c r="N176" s="32" t="s">
        <v>1225</v>
      </c>
      <c r="O176" s="32" t="s">
        <v>1225</v>
      </c>
      <c r="P176" s="32" t="s">
        <v>1225</v>
      </c>
      <c r="Q176" s="34" t="s">
        <v>1227</v>
      </c>
      <c r="R176" s="32" t="s">
        <v>1225</v>
      </c>
      <c r="S176" s="32" t="s">
        <v>1225</v>
      </c>
      <c r="T176" s="32" t="s">
        <v>1225</v>
      </c>
      <c r="U176" s="32" t="s">
        <v>1225</v>
      </c>
      <c r="V176" s="32" t="s">
        <v>1225</v>
      </c>
      <c r="W176" s="34" t="s">
        <v>2394</v>
      </c>
      <c r="X176" s="34" t="s">
        <v>2395</v>
      </c>
      <c r="Y176" s="34" t="s">
        <v>2396</v>
      </c>
      <c r="Z176" s="32" t="s">
        <v>1225</v>
      </c>
      <c r="AA176" s="32" t="s">
        <v>1225</v>
      </c>
      <c r="AB176" s="32" t="s">
        <v>1225</v>
      </c>
      <c r="AC176" s="32" t="s">
        <v>1225</v>
      </c>
      <c r="AD176" s="32" t="s">
        <v>1225</v>
      </c>
      <c r="AE176" s="32" t="s">
        <v>1225</v>
      </c>
      <c r="AF176" s="32" t="s">
        <v>1225</v>
      </c>
      <c r="AG176" s="32" t="s">
        <v>1225</v>
      </c>
      <c r="AH176" s="32" t="s">
        <v>1225</v>
      </c>
      <c r="AI176" s="32" t="s">
        <v>1225</v>
      </c>
      <c r="AJ176" s="32" t="s">
        <v>1225</v>
      </c>
      <c r="AK176" s="32" t="s">
        <v>1225</v>
      </c>
      <c r="AL176" s="32" t="s">
        <v>1225</v>
      </c>
      <c r="AM176" s="32" t="s">
        <v>1225</v>
      </c>
      <c r="AN176" s="32" t="s">
        <v>1225</v>
      </c>
      <c r="AO176" s="32" t="s">
        <v>1225</v>
      </c>
      <c r="AP176" s="32" t="s">
        <v>1225</v>
      </c>
      <c r="AQ176" s="32" t="s">
        <v>1225</v>
      </c>
      <c r="AR176" s="32" t="s">
        <v>1225</v>
      </c>
      <c r="AS176" s="32" t="s">
        <v>1225</v>
      </c>
      <c r="AT176" s="32" t="s">
        <v>1225</v>
      </c>
      <c r="AU176" s="32" t="s">
        <v>1225</v>
      </c>
      <c r="AV176" s="32" t="s">
        <v>1225</v>
      </c>
      <c r="AW176" s="34" t="s">
        <v>1285</v>
      </c>
      <c r="AX176" s="34">
        <v>2019</v>
      </c>
      <c r="AY176" s="32">
        <v>127</v>
      </c>
      <c r="AZ176" s="32" t="s">
        <v>1225</v>
      </c>
      <c r="BA176" s="32" t="s">
        <v>1225</v>
      </c>
      <c r="BB176" s="32" t="s">
        <v>1225</v>
      </c>
      <c r="BC176" s="32" t="s">
        <v>1225</v>
      </c>
      <c r="BD176" s="32" t="s">
        <v>1225</v>
      </c>
      <c r="BE176" s="32">
        <v>169</v>
      </c>
      <c r="BF176" s="32">
        <v>183</v>
      </c>
      <c r="BG176" s="32" t="s">
        <v>1225</v>
      </c>
      <c r="BH176" s="34" t="s">
        <v>2397</v>
      </c>
      <c r="BI176" s="34" t="str">
        <f>HYPERLINK("http://dx.doi.org/10.1016/j.jpdc.2018.06.010","http://dx.doi.org/10.1016/j.jpdc.2018.06.010")</f>
        <v>http://dx.doi.org/10.1016/j.jpdc.2018.06.010</v>
      </c>
      <c r="BJ176" s="32" t="s">
        <v>1225</v>
      </c>
      <c r="BK176" s="32" t="s">
        <v>1225</v>
      </c>
      <c r="BL176" s="32" t="s">
        <v>1225</v>
      </c>
      <c r="BM176" s="32" t="s">
        <v>1225</v>
      </c>
      <c r="BN176" s="32" t="s">
        <v>1225</v>
      </c>
      <c r="BO176" s="32" t="s">
        <v>1225</v>
      </c>
      <c r="BP176" s="32" t="s">
        <v>1225</v>
      </c>
      <c r="BQ176" s="32" t="s">
        <v>1225</v>
      </c>
      <c r="BR176" s="32" t="s">
        <v>1225</v>
      </c>
      <c r="BS176" s="32" t="s">
        <v>1225</v>
      </c>
      <c r="BT176" s="32" t="s">
        <v>1225</v>
      </c>
      <c r="BU176" s="32" t="s">
        <v>1225</v>
      </c>
      <c r="BV176" s="32" t="s">
        <v>1225</v>
      </c>
      <c r="BW176" s="32" t="str">
        <f t="shared" si="4"/>
        <v>View Full Record in Web of Science</v>
      </c>
      <c r="BY176" s="41" t="str">
        <f>IF(Deletion!J176=TRUE,"Yes","No")</f>
        <v>No</v>
      </c>
    </row>
    <row r="177" spans="1:77" x14ac:dyDescent="0.15">
      <c r="A177" s="32">
        <f t="shared" si="5"/>
        <v>176</v>
      </c>
      <c r="D177" s="32" t="s">
        <v>1223</v>
      </c>
      <c r="E177" s="32" t="s">
        <v>2398</v>
      </c>
      <c r="F177" s="32" t="s">
        <v>1225</v>
      </c>
      <c r="G177" s="32" t="s">
        <v>1225</v>
      </c>
      <c r="H177" s="32" t="s">
        <v>1225</v>
      </c>
      <c r="I177" s="32" t="s">
        <v>2399</v>
      </c>
      <c r="J177" s="32" t="s">
        <v>1225</v>
      </c>
      <c r="K177" s="32" t="s">
        <v>1225</v>
      </c>
      <c r="L177" s="32" t="s">
        <v>2400</v>
      </c>
      <c r="M177" s="32" t="s">
        <v>1562</v>
      </c>
      <c r="N177" s="32" t="s">
        <v>1225</v>
      </c>
      <c r="O177" s="32" t="s">
        <v>1225</v>
      </c>
      <c r="P177" s="32" t="s">
        <v>1225</v>
      </c>
      <c r="Q177" s="32" t="s">
        <v>1227</v>
      </c>
      <c r="R177" s="32" t="s">
        <v>1225</v>
      </c>
      <c r="S177" s="32" t="s">
        <v>1225</v>
      </c>
      <c r="T177" s="32" t="s">
        <v>1225</v>
      </c>
      <c r="U177" s="32" t="s">
        <v>1225</v>
      </c>
      <c r="V177" s="32" t="s">
        <v>1225</v>
      </c>
      <c r="W177" s="32" t="s">
        <v>2401</v>
      </c>
      <c r="X177" s="32" t="s">
        <v>2402</v>
      </c>
      <c r="Y177" s="32" t="s">
        <v>2403</v>
      </c>
      <c r="Z177" s="32" t="s">
        <v>1225</v>
      </c>
      <c r="AA177" s="32" t="s">
        <v>1225</v>
      </c>
      <c r="AB177" s="32" t="s">
        <v>1225</v>
      </c>
      <c r="AC177" s="32" t="s">
        <v>1225</v>
      </c>
      <c r="AD177" s="32" t="s">
        <v>1225</v>
      </c>
      <c r="AE177" s="32" t="s">
        <v>1225</v>
      </c>
      <c r="AF177" s="32" t="s">
        <v>1225</v>
      </c>
      <c r="AG177" s="32" t="s">
        <v>1225</v>
      </c>
      <c r="AH177" s="32" t="s">
        <v>1225</v>
      </c>
      <c r="AI177" s="32" t="s">
        <v>1225</v>
      </c>
      <c r="AJ177" s="32" t="s">
        <v>1225</v>
      </c>
      <c r="AK177" s="32" t="s">
        <v>1225</v>
      </c>
      <c r="AL177" s="32" t="s">
        <v>1225</v>
      </c>
      <c r="AM177" s="32" t="s">
        <v>1225</v>
      </c>
      <c r="AN177" s="32" t="s">
        <v>1225</v>
      </c>
      <c r="AO177" s="32" t="s">
        <v>1225</v>
      </c>
      <c r="AP177" s="32" t="s">
        <v>1225</v>
      </c>
      <c r="AQ177" s="32" t="s">
        <v>1225</v>
      </c>
      <c r="AR177" s="32" t="s">
        <v>1225</v>
      </c>
      <c r="AS177" s="32" t="s">
        <v>1225</v>
      </c>
      <c r="AT177" s="32" t="s">
        <v>1225</v>
      </c>
      <c r="AU177" s="32" t="s">
        <v>1225</v>
      </c>
      <c r="AV177" s="32" t="s">
        <v>1225</v>
      </c>
      <c r="AW177" s="32" t="s">
        <v>2090</v>
      </c>
      <c r="AX177" s="32">
        <v>2018</v>
      </c>
      <c r="AY177" s="32">
        <v>401</v>
      </c>
      <c r="AZ177" s="32" t="s">
        <v>1225</v>
      </c>
      <c r="BA177" s="32" t="s">
        <v>1225</v>
      </c>
      <c r="BB177" s="32" t="s">
        <v>1225</v>
      </c>
      <c r="BC177" s="32" t="s">
        <v>1225</v>
      </c>
      <c r="BD177" s="32" t="s">
        <v>1225</v>
      </c>
      <c r="BE177" s="32">
        <v>175</v>
      </c>
      <c r="BF177" s="32">
        <v>185</v>
      </c>
      <c r="BG177" s="32" t="s">
        <v>1225</v>
      </c>
      <c r="BH177" s="32" t="s">
        <v>2404</v>
      </c>
      <c r="BI177" s="32" t="str">
        <f>HYPERLINK("http://dx.doi.org/10.1016/j.jpowsour.2018.08.092","http://dx.doi.org/10.1016/j.jpowsour.2018.08.092")</f>
        <v>http://dx.doi.org/10.1016/j.jpowsour.2018.08.092</v>
      </c>
      <c r="BJ177" s="32" t="s">
        <v>1225</v>
      </c>
      <c r="BK177" s="32" t="s">
        <v>1225</v>
      </c>
      <c r="BL177" s="32" t="s">
        <v>1225</v>
      </c>
      <c r="BM177" s="32" t="s">
        <v>1225</v>
      </c>
      <c r="BN177" s="32" t="s">
        <v>1225</v>
      </c>
      <c r="BO177" s="32" t="s">
        <v>1225</v>
      </c>
      <c r="BP177" s="32" t="s">
        <v>1225</v>
      </c>
      <c r="BQ177" s="32" t="s">
        <v>1225</v>
      </c>
      <c r="BR177" s="32" t="s">
        <v>1225</v>
      </c>
      <c r="BS177" s="32" t="s">
        <v>1225</v>
      </c>
      <c r="BT177" s="32" t="s">
        <v>1225</v>
      </c>
      <c r="BU177" s="32" t="s">
        <v>1225</v>
      </c>
      <c r="BV177" s="32" t="s">
        <v>1225</v>
      </c>
      <c r="BW177" s="32" t="str">
        <f t="shared" si="4"/>
        <v>View Full Record in Web of Science</v>
      </c>
      <c r="BY177" s="41" t="str">
        <f>IF(Deletion!J177=TRUE,"Yes","No")</f>
        <v>Yes</v>
      </c>
    </row>
    <row r="178" spans="1:77" x14ac:dyDescent="0.15">
      <c r="A178" s="32">
        <f t="shared" si="5"/>
        <v>177</v>
      </c>
      <c r="D178" s="32" t="s">
        <v>1223</v>
      </c>
      <c r="E178" s="32" t="s">
        <v>2405</v>
      </c>
      <c r="F178" s="32" t="s">
        <v>1225</v>
      </c>
      <c r="G178" s="32" t="s">
        <v>1225</v>
      </c>
      <c r="H178" s="32" t="s">
        <v>1225</v>
      </c>
      <c r="I178" s="32" t="s">
        <v>2406</v>
      </c>
      <c r="J178" s="32" t="s">
        <v>1225</v>
      </c>
      <c r="K178" s="32" t="s">
        <v>1225</v>
      </c>
      <c r="L178" s="32" t="s">
        <v>2407</v>
      </c>
      <c r="M178" s="32" t="s">
        <v>228</v>
      </c>
      <c r="N178" s="32" t="s">
        <v>1225</v>
      </c>
      <c r="O178" s="32" t="s">
        <v>1225</v>
      </c>
      <c r="P178" s="32" t="s">
        <v>1225</v>
      </c>
      <c r="Q178" s="32" t="s">
        <v>1227</v>
      </c>
      <c r="R178" s="32" t="s">
        <v>1225</v>
      </c>
      <c r="S178" s="32" t="s">
        <v>1225</v>
      </c>
      <c r="T178" s="32" t="s">
        <v>1225</v>
      </c>
      <c r="U178" s="32" t="s">
        <v>1225</v>
      </c>
      <c r="V178" s="32" t="s">
        <v>1225</v>
      </c>
      <c r="W178" s="32" t="s">
        <v>2408</v>
      </c>
      <c r="X178" s="32" t="s">
        <v>2409</v>
      </c>
      <c r="Y178" s="32" t="s">
        <v>2410</v>
      </c>
      <c r="Z178" s="32" t="s">
        <v>1225</v>
      </c>
      <c r="AA178" s="32" t="s">
        <v>1225</v>
      </c>
      <c r="AB178" s="32" t="s">
        <v>1225</v>
      </c>
      <c r="AC178" s="32" t="s">
        <v>1225</v>
      </c>
      <c r="AD178" s="32" t="s">
        <v>1225</v>
      </c>
      <c r="AE178" s="32" t="s">
        <v>1225</v>
      </c>
      <c r="AF178" s="32" t="s">
        <v>1225</v>
      </c>
      <c r="AG178" s="32" t="s">
        <v>1225</v>
      </c>
      <c r="AH178" s="32" t="s">
        <v>1225</v>
      </c>
      <c r="AI178" s="32" t="s">
        <v>1225</v>
      </c>
      <c r="AJ178" s="32" t="s">
        <v>1225</v>
      </c>
      <c r="AK178" s="32" t="s">
        <v>1225</v>
      </c>
      <c r="AL178" s="32" t="s">
        <v>1225</v>
      </c>
      <c r="AM178" s="32" t="s">
        <v>1225</v>
      </c>
      <c r="AN178" s="32" t="s">
        <v>1225</v>
      </c>
      <c r="AO178" s="32" t="s">
        <v>1225</v>
      </c>
      <c r="AP178" s="32" t="s">
        <v>1225</v>
      </c>
      <c r="AQ178" s="32" t="s">
        <v>1225</v>
      </c>
      <c r="AR178" s="32" t="s">
        <v>1225</v>
      </c>
      <c r="AS178" s="32" t="s">
        <v>1225</v>
      </c>
      <c r="AT178" s="32" t="s">
        <v>1225</v>
      </c>
      <c r="AU178" s="32" t="s">
        <v>1225</v>
      </c>
      <c r="AV178" s="32" t="s">
        <v>1225</v>
      </c>
      <c r="AW178" s="32" t="s">
        <v>1465</v>
      </c>
      <c r="AX178" s="32">
        <v>2020</v>
      </c>
      <c r="AY178" s="32">
        <v>30</v>
      </c>
      <c r="AZ178" s="32">
        <v>2</v>
      </c>
      <c r="BA178" s="32" t="s">
        <v>1225</v>
      </c>
      <c r="BB178" s="32" t="s">
        <v>1225</v>
      </c>
      <c r="BC178" s="32" t="s">
        <v>1225</v>
      </c>
      <c r="BD178" s="32" t="s">
        <v>1225</v>
      </c>
      <c r="BE178" s="32" t="s">
        <v>1225</v>
      </c>
      <c r="BF178" s="32" t="s">
        <v>1225</v>
      </c>
      <c r="BG178" s="32" t="s">
        <v>2411</v>
      </c>
      <c r="BH178" s="32" t="s">
        <v>2412</v>
      </c>
      <c r="BI178" s="32" t="str">
        <f>HYPERLINK("http://dx.doi.org/10.1002/2050-7038.12229","http://dx.doi.org/10.1002/2050-7038.12229")</f>
        <v>http://dx.doi.org/10.1002/2050-7038.12229</v>
      </c>
      <c r="BJ178" s="32" t="s">
        <v>1225</v>
      </c>
      <c r="BK178" s="32" t="s">
        <v>2413</v>
      </c>
      <c r="BL178" s="32" t="s">
        <v>1225</v>
      </c>
      <c r="BM178" s="32" t="s">
        <v>1225</v>
      </c>
      <c r="BN178" s="32" t="s">
        <v>1225</v>
      </c>
      <c r="BO178" s="32" t="s">
        <v>1225</v>
      </c>
      <c r="BP178" s="32" t="s">
        <v>1225</v>
      </c>
      <c r="BQ178" s="32" t="s">
        <v>1225</v>
      </c>
      <c r="BR178" s="32" t="s">
        <v>1225</v>
      </c>
      <c r="BS178" s="32" t="s">
        <v>1225</v>
      </c>
      <c r="BT178" s="32" t="s">
        <v>1225</v>
      </c>
      <c r="BU178" s="32" t="s">
        <v>1225</v>
      </c>
      <c r="BV178" s="32" t="s">
        <v>1225</v>
      </c>
      <c r="BW178" s="32" t="str">
        <f t="shared" si="4"/>
        <v>View Full Record in Web of Science</v>
      </c>
      <c r="BY178" s="41" t="str">
        <f>IF(Deletion!J178=TRUE,"Yes","No")</f>
        <v>Yes</v>
      </c>
    </row>
    <row r="179" spans="1:77" x14ac:dyDescent="0.15">
      <c r="A179" s="32">
        <f t="shared" si="5"/>
        <v>178</v>
      </c>
      <c r="D179" s="32" t="s">
        <v>1223</v>
      </c>
      <c r="E179" s="32" t="s">
        <v>2414</v>
      </c>
      <c r="F179" s="32" t="s">
        <v>1225</v>
      </c>
      <c r="G179" s="32" t="s">
        <v>1225</v>
      </c>
      <c r="H179" s="32" t="s">
        <v>1225</v>
      </c>
      <c r="I179" s="32" t="s">
        <v>2415</v>
      </c>
      <c r="J179" s="32" t="s">
        <v>1225</v>
      </c>
      <c r="K179" s="32" t="s">
        <v>1225</v>
      </c>
      <c r="L179" s="32" t="s">
        <v>2416</v>
      </c>
      <c r="M179" s="32" t="s">
        <v>371</v>
      </c>
      <c r="N179" s="32" t="s">
        <v>1225</v>
      </c>
      <c r="O179" s="32" t="s">
        <v>1225</v>
      </c>
      <c r="P179" s="32" t="s">
        <v>1225</v>
      </c>
      <c r="Q179" s="32" t="s">
        <v>1227</v>
      </c>
      <c r="R179" s="32" t="s">
        <v>1225</v>
      </c>
      <c r="S179" s="32" t="s">
        <v>1225</v>
      </c>
      <c r="T179" s="32" t="s">
        <v>1225</v>
      </c>
      <c r="U179" s="32" t="s">
        <v>1225</v>
      </c>
      <c r="V179" s="32" t="s">
        <v>1225</v>
      </c>
      <c r="W179" s="32" t="s">
        <v>2417</v>
      </c>
      <c r="X179" s="32" t="s">
        <v>2418</v>
      </c>
      <c r="Y179" s="32" t="s">
        <v>2419</v>
      </c>
      <c r="Z179" s="32" t="s">
        <v>1225</v>
      </c>
      <c r="AA179" s="32" t="s">
        <v>1225</v>
      </c>
      <c r="AB179" s="32" t="s">
        <v>1225</v>
      </c>
      <c r="AC179" s="32" t="s">
        <v>1225</v>
      </c>
      <c r="AD179" s="32" t="s">
        <v>1225</v>
      </c>
      <c r="AE179" s="32" t="s">
        <v>1225</v>
      </c>
      <c r="AF179" s="32" t="s">
        <v>1225</v>
      </c>
      <c r="AG179" s="32" t="s">
        <v>1225</v>
      </c>
      <c r="AH179" s="32" t="s">
        <v>1225</v>
      </c>
      <c r="AI179" s="32" t="s">
        <v>1225</v>
      </c>
      <c r="AJ179" s="32" t="s">
        <v>1225</v>
      </c>
      <c r="AK179" s="32" t="s">
        <v>1225</v>
      </c>
      <c r="AL179" s="32" t="s">
        <v>1225</v>
      </c>
      <c r="AM179" s="32" t="s">
        <v>1225</v>
      </c>
      <c r="AN179" s="32" t="s">
        <v>1225</v>
      </c>
      <c r="AO179" s="32" t="s">
        <v>1225</v>
      </c>
      <c r="AP179" s="32" t="s">
        <v>1225</v>
      </c>
      <c r="AQ179" s="32" t="s">
        <v>1225</v>
      </c>
      <c r="AR179" s="32" t="s">
        <v>1225</v>
      </c>
      <c r="AS179" s="32" t="s">
        <v>1225</v>
      </c>
      <c r="AT179" s="32" t="s">
        <v>1225</v>
      </c>
      <c r="AU179" s="32" t="s">
        <v>1225</v>
      </c>
      <c r="AV179" s="32" t="s">
        <v>1225</v>
      </c>
      <c r="AW179" s="32" t="s">
        <v>1225</v>
      </c>
      <c r="AX179" s="32">
        <v>2019</v>
      </c>
      <c r="AY179" s="32">
        <v>27</v>
      </c>
      <c r="AZ179" s="32">
        <v>2</v>
      </c>
      <c r="BA179" s="32" t="s">
        <v>1225</v>
      </c>
      <c r="BB179" s="32" t="s">
        <v>1225</v>
      </c>
      <c r="BC179" s="32" t="s">
        <v>1225</v>
      </c>
      <c r="BD179" s="32" t="s">
        <v>1225</v>
      </c>
      <c r="BE179" s="32">
        <v>685</v>
      </c>
      <c r="BF179" s="32">
        <v>696</v>
      </c>
      <c r="BG179" s="32" t="s">
        <v>1225</v>
      </c>
      <c r="BH179" s="32" t="s">
        <v>2420</v>
      </c>
      <c r="BI179" s="32" t="str">
        <f>HYPERLINK("http://dx.doi.org/10.3906/elk-1801-34","http://dx.doi.org/10.3906/elk-1801-34")</f>
        <v>http://dx.doi.org/10.3906/elk-1801-34</v>
      </c>
      <c r="BJ179" s="32" t="s">
        <v>1225</v>
      </c>
      <c r="BK179" s="32" t="s">
        <v>1225</v>
      </c>
      <c r="BL179" s="32" t="s">
        <v>1225</v>
      </c>
      <c r="BM179" s="32" t="s">
        <v>1225</v>
      </c>
      <c r="BN179" s="32" t="s">
        <v>1225</v>
      </c>
      <c r="BO179" s="32" t="s">
        <v>1225</v>
      </c>
      <c r="BP179" s="32" t="s">
        <v>1225</v>
      </c>
      <c r="BQ179" s="32" t="s">
        <v>1225</v>
      </c>
      <c r="BR179" s="32" t="s">
        <v>1225</v>
      </c>
      <c r="BS179" s="32" t="s">
        <v>1225</v>
      </c>
      <c r="BT179" s="32" t="s">
        <v>1225</v>
      </c>
      <c r="BU179" s="32" t="s">
        <v>1225</v>
      </c>
      <c r="BV179" s="32" t="s">
        <v>1225</v>
      </c>
      <c r="BW179" s="32" t="str">
        <f t="shared" si="4"/>
        <v>View Full Record in Web of Science</v>
      </c>
      <c r="BY179" s="41" t="str">
        <f>IF(Deletion!J179=TRUE,"Yes","No")</f>
        <v>Yes</v>
      </c>
    </row>
    <row r="180" spans="1:77" x14ac:dyDescent="0.15">
      <c r="A180" s="32">
        <f t="shared" si="5"/>
        <v>179</v>
      </c>
      <c r="D180" s="32" t="s">
        <v>1223</v>
      </c>
      <c r="E180" s="32" t="s">
        <v>2421</v>
      </c>
      <c r="F180" s="32" t="s">
        <v>1225</v>
      </c>
      <c r="G180" s="32" t="s">
        <v>1225</v>
      </c>
      <c r="H180" s="32" t="s">
        <v>1225</v>
      </c>
      <c r="I180" s="32" t="s">
        <v>2422</v>
      </c>
      <c r="J180" s="32" t="s">
        <v>1225</v>
      </c>
      <c r="K180" s="32" t="s">
        <v>1225</v>
      </c>
      <c r="L180" s="32" t="s">
        <v>2423</v>
      </c>
      <c r="M180" s="32" t="s">
        <v>1430</v>
      </c>
      <c r="N180" s="32" t="s">
        <v>1225</v>
      </c>
      <c r="O180" s="32" t="s">
        <v>1225</v>
      </c>
      <c r="P180" s="32" t="s">
        <v>1225</v>
      </c>
      <c r="Q180" s="32" t="s">
        <v>1227</v>
      </c>
      <c r="R180" s="32" t="s">
        <v>1225</v>
      </c>
      <c r="S180" s="32" t="s">
        <v>1225</v>
      </c>
      <c r="T180" s="32" t="s">
        <v>1225</v>
      </c>
      <c r="U180" s="32" t="s">
        <v>1225</v>
      </c>
      <c r="V180" s="32" t="s">
        <v>1225</v>
      </c>
      <c r="W180" s="32" t="s">
        <v>2424</v>
      </c>
      <c r="X180" s="32" t="s">
        <v>2425</v>
      </c>
      <c r="Y180" s="32" t="s">
        <v>2426</v>
      </c>
      <c r="Z180" s="32" t="s">
        <v>1225</v>
      </c>
      <c r="AA180" s="32" t="s">
        <v>1225</v>
      </c>
      <c r="AB180" s="32" t="s">
        <v>1225</v>
      </c>
      <c r="AC180" s="32" t="s">
        <v>1225</v>
      </c>
      <c r="AD180" s="32" t="s">
        <v>1225</v>
      </c>
      <c r="AE180" s="32" t="s">
        <v>1225</v>
      </c>
      <c r="AF180" s="32" t="s">
        <v>1225</v>
      </c>
      <c r="AG180" s="32" t="s">
        <v>1225</v>
      </c>
      <c r="AH180" s="32" t="s">
        <v>1225</v>
      </c>
      <c r="AI180" s="32" t="s">
        <v>1225</v>
      </c>
      <c r="AJ180" s="32" t="s">
        <v>1225</v>
      </c>
      <c r="AK180" s="32" t="s">
        <v>1225</v>
      </c>
      <c r="AL180" s="32" t="s">
        <v>1225</v>
      </c>
      <c r="AM180" s="32" t="s">
        <v>1225</v>
      </c>
      <c r="AN180" s="32" t="s">
        <v>1225</v>
      </c>
      <c r="AO180" s="32" t="s">
        <v>1225</v>
      </c>
      <c r="AP180" s="32" t="s">
        <v>1225</v>
      </c>
      <c r="AQ180" s="32" t="s">
        <v>1225</v>
      </c>
      <c r="AR180" s="32" t="s">
        <v>1225</v>
      </c>
      <c r="AS180" s="32" t="s">
        <v>1225</v>
      </c>
      <c r="AT180" s="32" t="s">
        <v>1225</v>
      </c>
      <c r="AU180" s="32" t="s">
        <v>1225</v>
      </c>
      <c r="AV180" s="32" t="s">
        <v>1225</v>
      </c>
      <c r="AW180" s="32" t="s">
        <v>1276</v>
      </c>
      <c r="AX180" s="32">
        <v>2016</v>
      </c>
      <c r="AY180" s="32">
        <v>71</v>
      </c>
      <c r="AZ180" s="32" t="s">
        <v>1225</v>
      </c>
      <c r="BA180" s="32" t="s">
        <v>1225</v>
      </c>
      <c r="BB180" s="32" t="s">
        <v>1225</v>
      </c>
      <c r="BC180" s="32" t="s">
        <v>1225</v>
      </c>
      <c r="BD180" s="32" t="s">
        <v>1225</v>
      </c>
      <c r="BE180" s="32">
        <v>198</v>
      </c>
      <c r="BF180" s="32">
        <v>214</v>
      </c>
      <c r="BG180" s="32" t="s">
        <v>1225</v>
      </c>
      <c r="BH180" s="32" t="s">
        <v>2427</v>
      </c>
      <c r="BI180" s="32" t="str">
        <f>HYPERLINK("http://dx.doi.org/10.1016/j.trc.2016.07.006","http://dx.doi.org/10.1016/j.trc.2016.07.006")</f>
        <v>http://dx.doi.org/10.1016/j.trc.2016.07.006</v>
      </c>
      <c r="BJ180" s="32" t="s">
        <v>1225</v>
      </c>
      <c r="BK180" s="32" t="s">
        <v>1225</v>
      </c>
      <c r="BL180" s="32" t="s">
        <v>1225</v>
      </c>
      <c r="BM180" s="32" t="s">
        <v>1225</v>
      </c>
      <c r="BN180" s="32" t="s">
        <v>1225</v>
      </c>
      <c r="BO180" s="32" t="s">
        <v>1225</v>
      </c>
      <c r="BP180" s="32" t="s">
        <v>1225</v>
      </c>
      <c r="BQ180" s="32" t="s">
        <v>1225</v>
      </c>
      <c r="BR180" s="32" t="s">
        <v>1225</v>
      </c>
      <c r="BS180" s="32" t="s">
        <v>1225</v>
      </c>
      <c r="BT180" s="32" t="s">
        <v>1225</v>
      </c>
      <c r="BU180" s="32" t="s">
        <v>1225</v>
      </c>
      <c r="BV180" s="32" t="s">
        <v>1225</v>
      </c>
      <c r="BW180" s="32" t="str">
        <f t="shared" si="4"/>
        <v>View Full Record in Web of Science</v>
      </c>
      <c r="BY180" s="41" t="str">
        <f>IF(Deletion!J180=TRUE,"Yes","No")</f>
        <v>Yes</v>
      </c>
    </row>
    <row r="181" spans="1:77" x14ac:dyDescent="0.15">
      <c r="A181" s="32">
        <f t="shared" si="5"/>
        <v>180</v>
      </c>
      <c r="D181" s="32" t="s">
        <v>1223</v>
      </c>
      <c r="E181" s="32" t="s">
        <v>2428</v>
      </c>
      <c r="F181" s="32" t="s">
        <v>1225</v>
      </c>
      <c r="G181" s="32" t="s">
        <v>1225</v>
      </c>
      <c r="H181" s="32" t="s">
        <v>1225</v>
      </c>
      <c r="I181" s="32" t="s">
        <v>2429</v>
      </c>
      <c r="J181" s="32" t="s">
        <v>1225</v>
      </c>
      <c r="K181" s="32" t="s">
        <v>1225</v>
      </c>
      <c r="L181" s="32" t="s">
        <v>2430</v>
      </c>
      <c r="M181" s="32" t="s">
        <v>502</v>
      </c>
      <c r="N181" s="32" t="s">
        <v>1225</v>
      </c>
      <c r="O181" s="32" t="s">
        <v>1225</v>
      </c>
      <c r="P181" s="32" t="s">
        <v>1225</v>
      </c>
      <c r="Q181" s="32" t="s">
        <v>1227</v>
      </c>
      <c r="R181" s="32" t="s">
        <v>1225</v>
      </c>
      <c r="S181" s="32" t="s">
        <v>1225</v>
      </c>
      <c r="T181" s="32" t="s">
        <v>1225</v>
      </c>
      <c r="U181" s="32" t="s">
        <v>1225</v>
      </c>
      <c r="V181" s="32" t="s">
        <v>1225</v>
      </c>
      <c r="W181" s="32" t="s">
        <v>2431</v>
      </c>
      <c r="X181" s="32" t="s">
        <v>2432</v>
      </c>
      <c r="Y181" s="32" t="s">
        <v>2433</v>
      </c>
      <c r="Z181" s="32" t="s">
        <v>1225</v>
      </c>
      <c r="AA181" s="32" t="s">
        <v>1225</v>
      </c>
      <c r="AB181" s="32" t="s">
        <v>1225</v>
      </c>
      <c r="AC181" s="32" t="s">
        <v>1225</v>
      </c>
      <c r="AD181" s="32" t="s">
        <v>1225</v>
      </c>
      <c r="AE181" s="32" t="s">
        <v>1225</v>
      </c>
      <c r="AF181" s="32" t="s">
        <v>1225</v>
      </c>
      <c r="AG181" s="32" t="s">
        <v>1225</v>
      </c>
      <c r="AH181" s="32" t="s">
        <v>1225</v>
      </c>
      <c r="AI181" s="32" t="s">
        <v>1225</v>
      </c>
      <c r="AJ181" s="32" t="s">
        <v>1225</v>
      </c>
      <c r="AK181" s="32" t="s">
        <v>1225</v>
      </c>
      <c r="AL181" s="32" t="s">
        <v>1225</v>
      </c>
      <c r="AM181" s="32" t="s">
        <v>1225</v>
      </c>
      <c r="AN181" s="32" t="s">
        <v>1225</v>
      </c>
      <c r="AO181" s="32" t="s">
        <v>1225</v>
      </c>
      <c r="AP181" s="32" t="s">
        <v>1225</v>
      </c>
      <c r="AQ181" s="32" t="s">
        <v>1225</v>
      </c>
      <c r="AR181" s="32" t="s">
        <v>1225</v>
      </c>
      <c r="AS181" s="32" t="s">
        <v>1225</v>
      </c>
      <c r="AT181" s="32" t="s">
        <v>1225</v>
      </c>
      <c r="AU181" s="32" t="s">
        <v>1225</v>
      </c>
      <c r="AV181" s="32" t="s">
        <v>1225</v>
      </c>
      <c r="AW181" s="32" t="s">
        <v>2434</v>
      </c>
      <c r="AX181" s="32">
        <v>2021</v>
      </c>
      <c r="AY181" s="32">
        <v>218</v>
      </c>
      <c r="AZ181" s="32" t="s">
        <v>1225</v>
      </c>
      <c r="BA181" s="32" t="s">
        <v>1225</v>
      </c>
      <c r="BB181" s="32" t="s">
        <v>1225</v>
      </c>
      <c r="BC181" s="32" t="s">
        <v>1225</v>
      </c>
      <c r="BD181" s="32" t="s">
        <v>1225</v>
      </c>
      <c r="BE181" s="32" t="s">
        <v>1225</v>
      </c>
      <c r="BF181" s="32" t="s">
        <v>1225</v>
      </c>
      <c r="BG181" s="32">
        <v>119540</v>
      </c>
      <c r="BH181" s="32" t="s">
        <v>2435</v>
      </c>
      <c r="BI181" s="32" t="str">
        <f>HYPERLINK("http://dx.doi.org/10.1016/j.energy.2020.119540","http://dx.doi.org/10.1016/j.energy.2020.119540")</f>
        <v>http://dx.doi.org/10.1016/j.energy.2020.119540</v>
      </c>
      <c r="BJ181" s="32" t="s">
        <v>1225</v>
      </c>
      <c r="BK181" s="32" t="s">
        <v>1225</v>
      </c>
      <c r="BL181" s="32" t="s">
        <v>1225</v>
      </c>
      <c r="BM181" s="32" t="s">
        <v>1225</v>
      </c>
      <c r="BN181" s="32" t="s">
        <v>1225</v>
      </c>
      <c r="BO181" s="32" t="s">
        <v>1225</v>
      </c>
      <c r="BP181" s="32" t="s">
        <v>1225</v>
      </c>
      <c r="BQ181" s="32" t="s">
        <v>1225</v>
      </c>
      <c r="BR181" s="32" t="s">
        <v>1225</v>
      </c>
      <c r="BS181" s="32" t="s">
        <v>1225</v>
      </c>
      <c r="BT181" s="32" t="s">
        <v>1225</v>
      </c>
      <c r="BU181" s="32" t="s">
        <v>1225</v>
      </c>
      <c r="BV181" s="32" t="s">
        <v>1225</v>
      </c>
      <c r="BW181" s="32" t="str">
        <f t="shared" si="4"/>
        <v>View Full Record in Web of Science</v>
      </c>
      <c r="BY181" s="41" t="str">
        <f>IF(Deletion!J181=TRUE,"Yes","No")</f>
        <v>Yes</v>
      </c>
    </row>
    <row r="182" spans="1:77" x14ac:dyDescent="0.15">
      <c r="A182" s="32">
        <f t="shared" si="5"/>
        <v>181</v>
      </c>
      <c r="D182" s="32" t="s">
        <v>1223</v>
      </c>
      <c r="E182" s="32" t="s">
        <v>2436</v>
      </c>
      <c r="F182" s="32" t="s">
        <v>1225</v>
      </c>
      <c r="G182" s="32" t="s">
        <v>1225</v>
      </c>
      <c r="H182" s="32" t="s">
        <v>1225</v>
      </c>
      <c r="I182" s="32" t="s">
        <v>2437</v>
      </c>
      <c r="J182" s="32" t="s">
        <v>1225</v>
      </c>
      <c r="K182" s="32" t="s">
        <v>1225</v>
      </c>
      <c r="L182" s="32" t="s">
        <v>2438</v>
      </c>
      <c r="M182" s="32" t="s">
        <v>124</v>
      </c>
      <c r="N182" s="32" t="s">
        <v>1225</v>
      </c>
      <c r="O182" s="32" t="s">
        <v>1225</v>
      </c>
      <c r="P182" s="32" t="s">
        <v>1225</v>
      </c>
      <c r="Q182" s="32" t="s">
        <v>1227</v>
      </c>
      <c r="R182" s="32" t="s">
        <v>1225</v>
      </c>
      <c r="S182" s="32" t="s">
        <v>1225</v>
      </c>
      <c r="T182" s="32" t="s">
        <v>1225</v>
      </c>
      <c r="U182" s="32" t="s">
        <v>1225</v>
      </c>
      <c r="V182" s="32" t="s">
        <v>1225</v>
      </c>
      <c r="W182" s="32" t="s">
        <v>2439</v>
      </c>
      <c r="X182" s="32" t="s">
        <v>2318</v>
      </c>
      <c r="Y182" s="32" t="s">
        <v>2440</v>
      </c>
      <c r="Z182" s="32" t="s">
        <v>1225</v>
      </c>
      <c r="AA182" s="32" t="s">
        <v>1225</v>
      </c>
      <c r="AB182" s="32" t="s">
        <v>1225</v>
      </c>
      <c r="AC182" s="32" t="s">
        <v>1225</v>
      </c>
      <c r="AD182" s="32" t="s">
        <v>1225</v>
      </c>
      <c r="AE182" s="32" t="s">
        <v>1225</v>
      </c>
      <c r="AF182" s="32" t="s">
        <v>1225</v>
      </c>
      <c r="AG182" s="32" t="s">
        <v>1225</v>
      </c>
      <c r="AH182" s="32" t="s">
        <v>1225</v>
      </c>
      <c r="AI182" s="32" t="s">
        <v>1225</v>
      </c>
      <c r="AJ182" s="32" t="s">
        <v>1225</v>
      </c>
      <c r="AK182" s="32" t="s">
        <v>1225</v>
      </c>
      <c r="AL182" s="32" t="s">
        <v>1225</v>
      </c>
      <c r="AM182" s="32" t="s">
        <v>1225</v>
      </c>
      <c r="AN182" s="32" t="s">
        <v>1225</v>
      </c>
      <c r="AO182" s="32" t="s">
        <v>1225</v>
      </c>
      <c r="AP182" s="32" t="s">
        <v>1225</v>
      </c>
      <c r="AQ182" s="32" t="s">
        <v>1225</v>
      </c>
      <c r="AR182" s="32" t="s">
        <v>1225</v>
      </c>
      <c r="AS182" s="32" t="s">
        <v>1225</v>
      </c>
      <c r="AT182" s="32" t="s">
        <v>1225</v>
      </c>
      <c r="AU182" s="32" t="s">
        <v>1225</v>
      </c>
      <c r="AV182" s="32" t="s">
        <v>1225</v>
      </c>
      <c r="AW182" s="32" t="s">
        <v>1229</v>
      </c>
      <c r="AX182" s="32">
        <v>2014</v>
      </c>
      <c r="AY182" s="32">
        <v>5</v>
      </c>
      <c r="AZ182" s="32">
        <v>6</v>
      </c>
      <c r="BA182" s="32" t="s">
        <v>1225</v>
      </c>
      <c r="BB182" s="32" t="s">
        <v>1225</v>
      </c>
      <c r="BC182" s="32" t="s">
        <v>1225</v>
      </c>
      <c r="BD182" s="32" t="s">
        <v>1225</v>
      </c>
      <c r="BE182" s="32">
        <v>2846</v>
      </c>
      <c r="BF182" s="32">
        <v>2856</v>
      </c>
      <c r="BG182" s="32" t="s">
        <v>1225</v>
      </c>
      <c r="BH182" s="32" t="s">
        <v>2441</v>
      </c>
      <c r="BI182" s="32" t="str">
        <f>HYPERLINK("http://dx.doi.org/10.1109/TSG.2014.2344684","http://dx.doi.org/10.1109/TSG.2014.2344684")</f>
        <v>http://dx.doi.org/10.1109/TSG.2014.2344684</v>
      </c>
      <c r="BJ182" s="32" t="s">
        <v>1225</v>
      </c>
      <c r="BK182" s="32" t="s">
        <v>1225</v>
      </c>
      <c r="BL182" s="32" t="s">
        <v>1225</v>
      </c>
      <c r="BM182" s="32" t="s">
        <v>1225</v>
      </c>
      <c r="BN182" s="32" t="s">
        <v>1225</v>
      </c>
      <c r="BO182" s="32" t="s">
        <v>1225</v>
      </c>
      <c r="BP182" s="32" t="s">
        <v>1225</v>
      </c>
      <c r="BQ182" s="32" t="s">
        <v>1225</v>
      </c>
      <c r="BR182" s="32" t="s">
        <v>1225</v>
      </c>
      <c r="BS182" s="32" t="s">
        <v>1225</v>
      </c>
      <c r="BT182" s="32" t="s">
        <v>1225</v>
      </c>
      <c r="BU182" s="32" t="s">
        <v>1225</v>
      </c>
      <c r="BV182" s="32" t="s">
        <v>1225</v>
      </c>
      <c r="BW182" s="32" t="str">
        <f t="shared" si="4"/>
        <v>View Full Record in Web of Science</v>
      </c>
      <c r="BY182" s="41" t="str">
        <f>IF(Deletion!J182=TRUE,"Yes","No")</f>
        <v>Yes</v>
      </c>
    </row>
    <row r="183" spans="1:77" x14ac:dyDescent="0.15">
      <c r="A183" s="32">
        <f t="shared" si="5"/>
        <v>182</v>
      </c>
      <c r="D183" s="32" t="s">
        <v>1223</v>
      </c>
      <c r="E183" s="32" t="s">
        <v>2442</v>
      </c>
      <c r="F183" s="32" t="s">
        <v>1225</v>
      </c>
      <c r="G183" s="32" t="s">
        <v>1225</v>
      </c>
      <c r="H183" s="32" t="s">
        <v>1225</v>
      </c>
      <c r="I183" s="32" t="s">
        <v>2443</v>
      </c>
      <c r="J183" s="32" t="s">
        <v>1225</v>
      </c>
      <c r="K183" s="32" t="s">
        <v>1225</v>
      </c>
      <c r="L183" s="32" t="s">
        <v>2444</v>
      </c>
      <c r="M183" s="32" t="s">
        <v>68</v>
      </c>
      <c r="N183" s="32" t="s">
        <v>1225</v>
      </c>
      <c r="O183" s="32" t="s">
        <v>1225</v>
      </c>
      <c r="P183" s="32" t="s">
        <v>1225</v>
      </c>
      <c r="Q183" s="32" t="s">
        <v>1227</v>
      </c>
      <c r="R183" s="32" t="s">
        <v>1225</v>
      </c>
      <c r="S183" s="32" t="s">
        <v>1225</v>
      </c>
      <c r="T183" s="32" t="s">
        <v>1225</v>
      </c>
      <c r="U183" s="32" t="s">
        <v>1225</v>
      </c>
      <c r="V183" s="32" t="s">
        <v>1225</v>
      </c>
      <c r="W183" s="32" t="s">
        <v>2445</v>
      </c>
      <c r="X183" s="32" t="s">
        <v>2446</v>
      </c>
      <c r="Y183" s="32" t="s">
        <v>2447</v>
      </c>
      <c r="Z183" s="32" t="s">
        <v>1225</v>
      </c>
      <c r="AA183" s="32" t="s">
        <v>1225</v>
      </c>
      <c r="AB183" s="32" t="s">
        <v>1225</v>
      </c>
      <c r="AC183" s="32" t="s">
        <v>1225</v>
      </c>
      <c r="AD183" s="32" t="s">
        <v>1225</v>
      </c>
      <c r="AE183" s="32" t="s">
        <v>1225</v>
      </c>
      <c r="AF183" s="32" t="s">
        <v>1225</v>
      </c>
      <c r="AG183" s="32" t="s">
        <v>1225</v>
      </c>
      <c r="AH183" s="32" t="s">
        <v>1225</v>
      </c>
      <c r="AI183" s="32" t="s">
        <v>1225</v>
      </c>
      <c r="AJ183" s="32" t="s">
        <v>1225</v>
      </c>
      <c r="AK183" s="32" t="s">
        <v>1225</v>
      </c>
      <c r="AL183" s="32" t="s">
        <v>1225</v>
      </c>
      <c r="AM183" s="32" t="s">
        <v>1225</v>
      </c>
      <c r="AN183" s="32" t="s">
        <v>1225</v>
      </c>
      <c r="AO183" s="32" t="s">
        <v>1225</v>
      </c>
      <c r="AP183" s="32" t="s">
        <v>1225</v>
      </c>
      <c r="AQ183" s="32" t="s">
        <v>1225</v>
      </c>
      <c r="AR183" s="32" t="s">
        <v>1225</v>
      </c>
      <c r="AS183" s="32" t="s">
        <v>1225</v>
      </c>
      <c r="AT183" s="32" t="s">
        <v>1225</v>
      </c>
      <c r="AU183" s="32" t="s">
        <v>1225</v>
      </c>
      <c r="AV183" s="32" t="s">
        <v>1225</v>
      </c>
      <c r="AW183" s="32" t="s">
        <v>1225</v>
      </c>
      <c r="AX183" s="32">
        <v>2021</v>
      </c>
      <c r="AY183" s="32">
        <v>9</v>
      </c>
      <c r="AZ183" s="32" t="s">
        <v>1225</v>
      </c>
      <c r="BA183" s="32" t="s">
        <v>1225</v>
      </c>
      <c r="BB183" s="32" t="s">
        <v>1225</v>
      </c>
      <c r="BC183" s="32" t="s">
        <v>1225</v>
      </c>
      <c r="BD183" s="32" t="s">
        <v>1225</v>
      </c>
      <c r="BE183" s="32">
        <v>105357</v>
      </c>
      <c r="BF183" s="32">
        <v>105368</v>
      </c>
      <c r="BG183" s="32" t="s">
        <v>1225</v>
      </c>
      <c r="BH183" s="32" t="s">
        <v>2448</v>
      </c>
      <c r="BI183" s="32" t="str">
        <f>HYPERLINK("http://dx.doi.org/10.1109/ACCESS.2021.3099426","http://dx.doi.org/10.1109/ACCESS.2021.3099426")</f>
        <v>http://dx.doi.org/10.1109/ACCESS.2021.3099426</v>
      </c>
      <c r="BJ183" s="32" t="s">
        <v>1225</v>
      </c>
      <c r="BK183" s="32" t="s">
        <v>1225</v>
      </c>
      <c r="BL183" s="32" t="s">
        <v>1225</v>
      </c>
      <c r="BM183" s="32" t="s">
        <v>1225</v>
      </c>
      <c r="BN183" s="32" t="s">
        <v>1225</v>
      </c>
      <c r="BO183" s="32" t="s">
        <v>1225</v>
      </c>
      <c r="BP183" s="32" t="s">
        <v>1225</v>
      </c>
      <c r="BQ183" s="32" t="s">
        <v>1225</v>
      </c>
      <c r="BR183" s="32" t="s">
        <v>1225</v>
      </c>
      <c r="BS183" s="32" t="s">
        <v>1225</v>
      </c>
      <c r="BT183" s="32" t="s">
        <v>1225</v>
      </c>
      <c r="BU183" s="32" t="s">
        <v>1225</v>
      </c>
      <c r="BV183" s="32" t="s">
        <v>1225</v>
      </c>
      <c r="BW183" s="32" t="str">
        <f t="shared" si="4"/>
        <v>View Full Record in Web of Science</v>
      </c>
      <c r="BY183" s="41" t="str">
        <f>IF(Deletion!J183=TRUE,"Yes","No")</f>
        <v>Yes</v>
      </c>
    </row>
    <row r="184" spans="1:77" x14ac:dyDescent="0.15">
      <c r="A184" s="32">
        <f t="shared" si="5"/>
        <v>183</v>
      </c>
      <c r="D184" s="32" t="s">
        <v>1223</v>
      </c>
      <c r="E184" s="32" t="s">
        <v>2449</v>
      </c>
      <c r="F184" s="32" t="s">
        <v>1225</v>
      </c>
      <c r="G184" s="32" t="s">
        <v>1225</v>
      </c>
      <c r="H184" s="32" t="s">
        <v>1225</v>
      </c>
      <c r="I184" s="32" t="s">
        <v>2450</v>
      </c>
      <c r="J184" s="32" t="s">
        <v>1225</v>
      </c>
      <c r="K184" s="32" t="s">
        <v>1225</v>
      </c>
      <c r="L184" s="32" t="s">
        <v>2451</v>
      </c>
      <c r="M184" s="32" t="s">
        <v>1936</v>
      </c>
      <c r="N184" s="32" t="s">
        <v>1225</v>
      </c>
      <c r="O184" s="32" t="s">
        <v>1225</v>
      </c>
      <c r="P184" s="32" t="s">
        <v>1225</v>
      </c>
      <c r="Q184" s="32" t="s">
        <v>1227</v>
      </c>
      <c r="R184" s="32" t="s">
        <v>1225</v>
      </c>
      <c r="S184" s="32" t="s">
        <v>1225</v>
      </c>
      <c r="T184" s="32" t="s">
        <v>1225</v>
      </c>
      <c r="U184" s="32" t="s">
        <v>1225</v>
      </c>
      <c r="V184" s="32" t="s">
        <v>1225</v>
      </c>
      <c r="W184" s="32" t="s">
        <v>2452</v>
      </c>
      <c r="X184" s="32" t="s">
        <v>2453</v>
      </c>
      <c r="Y184" s="32" t="s">
        <v>2454</v>
      </c>
      <c r="Z184" s="32" t="s">
        <v>1225</v>
      </c>
      <c r="AA184" s="32" t="s">
        <v>1225</v>
      </c>
      <c r="AB184" s="32" t="s">
        <v>1225</v>
      </c>
      <c r="AC184" s="32" t="s">
        <v>1225</v>
      </c>
      <c r="AD184" s="32" t="s">
        <v>1225</v>
      </c>
      <c r="AE184" s="32" t="s">
        <v>1225</v>
      </c>
      <c r="AF184" s="32" t="s">
        <v>1225</v>
      </c>
      <c r="AG184" s="32" t="s">
        <v>1225</v>
      </c>
      <c r="AH184" s="32" t="s">
        <v>1225</v>
      </c>
      <c r="AI184" s="32" t="s">
        <v>1225</v>
      </c>
      <c r="AJ184" s="32" t="s">
        <v>1225</v>
      </c>
      <c r="AK184" s="32" t="s">
        <v>1225</v>
      </c>
      <c r="AL184" s="32" t="s">
        <v>1225</v>
      </c>
      <c r="AM184" s="32" t="s">
        <v>1225</v>
      </c>
      <c r="AN184" s="32" t="s">
        <v>1225</v>
      </c>
      <c r="AO184" s="32" t="s">
        <v>1225</v>
      </c>
      <c r="AP184" s="32" t="s">
        <v>1225</v>
      </c>
      <c r="AQ184" s="32" t="s">
        <v>1225</v>
      </c>
      <c r="AR184" s="32" t="s">
        <v>1225</v>
      </c>
      <c r="AS184" s="32" t="s">
        <v>1225</v>
      </c>
      <c r="AT184" s="32" t="s">
        <v>1225</v>
      </c>
      <c r="AU184" s="32" t="s">
        <v>1225</v>
      </c>
      <c r="AV184" s="32" t="s">
        <v>1225</v>
      </c>
      <c r="AW184" s="32" t="s">
        <v>1256</v>
      </c>
      <c r="AX184" s="32">
        <v>2019</v>
      </c>
      <c r="AY184" s="32">
        <v>85</v>
      </c>
      <c r="AZ184" s="32" t="s">
        <v>1225</v>
      </c>
      <c r="BA184" s="32" t="s">
        <v>1225</v>
      </c>
      <c r="BB184" s="32" t="s">
        <v>1225</v>
      </c>
      <c r="BC184" s="32" t="s">
        <v>1225</v>
      </c>
      <c r="BD184" s="32" t="s">
        <v>1225</v>
      </c>
      <c r="BE184" s="32" t="s">
        <v>1225</v>
      </c>
      <c r="BF184" s="32" t="s">
        <v>1225</v>
      </c>
      <c r="BG184" s="32">
        <v>105782</v>
      </c>
      <c r="BH184" s="32" t="s">
        <v>2455</v>
      </c>
      <c r="BI184" s="32" t="str">
        <f>HYPERLINK("http://dx.doi.org/10.1016/j.asoc.2019.105782","http://dx.doi.org/10.1016/j.asoc.2019.105782")</f>
        <v>http://dx.doi.org/10.1016/j.asoc.2019.105782</v>
      </c>
      <c r="BJ184" s="32" t="s">
        <v>1225</v>
      </c>
      <c r="BK184" s="32" t="s">
        <v>1225</v>
      </c>
      <c r="BL184" s="32" t="s">
        <v>1225</v>
      </c>
      <c r="BM184" s="32" t="s">
        <v>1225</v>
      </c>
      <c r="BN184" s="32" t="s">
        <v>1225</v>
      </c>
      <c r="BO184" s="32" t="s">
        <v>1225</v>
      </c>
      <c r="BP184" s="32" t="s">
        <v>1225</v>
      </c>
      <c r="BQ184" s="32" t="s">
        <v>1225</v>
      </c>
      <c r="BR184" s="32" t="s">
        <v>1225</v>
      </c>
      <c r="BS184" s="32" t="s">
        <v>1225</v>
      </c>
      <c r="BT184" s="32" t="s">
        <v>1225</v>
      </c>
      <c r="BU184" s="32" t="s">
        <v>1225</v>
      </c>
      <c r="BV184" s="32" t="s">
        <v>1225</v>
      </c>
      <c r="BW184" s="32" t="str">
        <f t="shared" si="4"/>
        <v>View Full Record in Web of Science</v>
      </c>
      <c r="BY184" s="41" t="str">
        <f>IF(Deletion!J184=TRUE,"Yes","No")</f>
        <v>Yes</v>
      </c>
    </row>
    <row r="185" spans="1:77" x14ac:dyDescent="0.15">
      <c r="A185" s="32">
        <f t="shared" si="5"/>
        <v>184</v>
      </c>
      <c r="D185" s="32" t="s">
        <v>1223</v>
      </c>
      <c r="E185" s="32" t="s">
        <v>2456</v>
      </c>
      <c r="F185" s="32" t="s">
        <v>1225</v>
      </c>
      <c r="G185" s="32" t="s">
        <v>1225</v>
      </c>
      <c r="H185" s="32" t="s">
        <v>1225</v>
      </c>
      <c r="I185" s="32" t="s">
        <v>2457</v>
      </c>
      <c r="J185" s="32" t="s">
        <v>1225</v>
      </c>
      <c r="K185" s="32" t="s">
        <v>1225</v>
      </c>
      <c r="L185" s="32" t="s">
        <v>2458</v>
      </c>
      <c r="M185" s="32" t="s">
        <v>2459</v>
      </c>
      <c r="N185" s="32" t="s">
        <v>1225</v>
      </c>
      <c r="O185" s="32" t="s">
        <v>1225</v>
      </c>
      <c r="P185" s="32" t="s">
        <v>1225</v>
      </c>
      <c r="Q185" s="32" t="s">
        <v>1227</v>
      </c>
      <c r="R185" s="32" t="s">
        <v>1225</v>
      </c>
      <c r="S185" s="32" t="s">
        <v>1225</v>
      </c>
      <c r="T185" s="32" t="s">
        <v>1225</v>
      </c>
      <c r="U185" s="32" t="s">
        <v>1225</v>
      </c>
      <c r="V185" s="32" t="s">
        <v>1225</v>
      </c>
      <c r="W185" s="32" t="s">
        <v>2460</v>
      </c>
      <c r="X185" s="32" t="s">
        <v>2461</v>
      </c>
      <c r="Y185" s="32" t="s">
        <v>2462</v>
      </c>
      <c r="Z185" s="32" t="s">
        <v>1225</v>
      </c>
      <c r="AA185" s="32" t="s">
        <v>1225</v>
      </c>
      <c r="AB185" s="32" t="s">
        <v>1225</v>
      </c>
      <c r="AC185" s="32" t="s">
        <v>1225</v>
      </c>
      <c r="AD185" s="32" t="s">
        <v>1225</v>
      </c>
      <c r="AE185" s="32" t="s">
        <v>1225</v>
      </c>
      <c r="AF185" s="32" t="s">
        <v>1225</v>
      </c>
      <c r="AG185" s="32" t="s">
        <v>1225</v>
      </c>
      <c r="AH185" s="32" t="s">
        <v>1225</v>
      </c>
      <c r="AI185" s="32" t="s">
        <v>1225</v>
      </c>
      <c r="AJ185" s="32" t="s">
        <v>1225</v>
      </c>
      <c r="AK185" s="32" t="s">
        <v>1225</v>
      </c>
      <c r="AL185" s="32" t="s">
        <v>1225</v>
      </c>
      <c r="AM185" s="32" t="s">
        <v>1225</v>
      </c>
      <c r="AN185" s="32" t="s">
        <v>1225</v>
      </c>
      <c r="AO185" s="32" t="s">
        <v>1225</v>
      </c>
      <c r="AP185" s="32" t="s">
        <v>1225</v>
      </c>
      <c r="AQ185" s="32" t="s">
        <v>1225</v>
      </c>
      <c r="AR185" s="32" t="s">
        <v>1225</v>
      </c>
      <c r="AS185" s="32" t="s">
        <v>1225</v>
      </c>
      <c r="AT185" s="32" t="s">
        <v>1225</v>
      </c>
      <c r="AU185" s="32" t="s">
        <v>1225</v>
      </c>
      <c r="AV185" s="32" t="s">
        <v>1225</v>
      </c>
      <c r="AW185" s="32" t="s">
        <v>1317</v>
      </c>
      <c r="AX185" s="32">
        <v>2017</v>
      </c>
      <c r="AY185" s="32">
        <v>12</v>
      </c>
      <c r="AZ185" s="32">
        <v>1</v>
      </c>
      <c r="BA185" s="32" t="s">
        <v>1225</v>
      </c>
      <c r="BB185" s="32" t="s">
        <v>1225</v>
      </c>
      <c r="BC185" s="32" t="s">
        <v>1225</v>
      </c>
      <c r="BD185" s="32" t="s">
        <v>1225</v>
      </c>
      <c r="BE185" s="32">
        <v>1</v>
      </c>
      <c r="BF185" s="32">
        <v>10</v>
      </c>
      <c r="BG185" s="32" t="s">
        <v>1225</v>
      </c>
      <c r="BH185" s="32" t="s">
        <v>2463</v>
      </c>
      <c r="BI185" s="32" t="str">
        <f>HYPERLINK("http://dx.doi.org/10.5370/JEET.2017.12.1.001","http://dx.doi.org/10.5370/JEET.2017.12.1.001")</f>
        <v>http://dx.doi.org/10.5370/JEET.2017.12.1.001</v>
      </c>
      <c r="BJ185" s="32" t="s">
        <v>1225</v>
      </c>
      <c r="BK185" s="32" t="s">
        <v>1225</v>
      </c>
      <c r="BL185" s="32" t="s">
        <v>1225</v>
      </c>
      <c r="BM185" s="32" t="s">
        <v>1225</v>
      </c>
      <c r="BN185" s="32" t="s">
        <v>1225</v>
      </c>
      <c r="BO185" s="32" t="s">
        <v>1225</v>
      </c>
      <c r="BP185" s="32" t="s">
        <v>1225</v>
      </c>
      <c r="BQ185" s="32" t="s">
        <v>1225</v>
      </c>
      <c r="BR185" s="32" t="s">
        <v>1225</v>
      </c>
      <c r="BS185" s="32" t="s">
        <v>1225</v>
      </c>
      <c r="BT185" s="32" t="s">
        <v>1225</v>
      </c>
      <c r="BU185" s="32" t="s">
        <v>1225</v>
      </c>
      <c r="BV185" s="32" t="s">
        <v>1225</v>
      </c>
      <c r="BW185" s="32" t="str">
        <f t="shared" si="4"/>
        <v>View Full Record in Web of Science</v>
      </c>
      <c r="BY185" s="41" t="str">
        <f>IF(Deletion!J185=TRUE,"Yes","No")</f>
        <v>Yes</v>
      </c>
    </row>
    <row r="186" spans="1:77" x14ac:dyDescent="0.15">
      <c r="A186" s="32">
        <f t="shared" si="5"/>
        <v>185</v>
      </c>
      <c r="D186" s="32" t="s">
        <v>1223</v>
      </c>
      <c r="E186" s="32" t="s">
        <v>2464</v>
      </c>
      <c r="F186" s="32" t="s">
        <v>1225</v>
      </c>
      <c r="G186" s="32" t="s">
        <v>1225</v>
      </c>
      <c r="H186" s="32" t="s">
        <v>1225</v>
      </c>
      <c r="I186" s="32" t="s">
        <v>2465</v>
      </c>
      <c r="J186" s="32" t="s">
        <v>1225</v>
      </c>
      <c r="K186" s="32" t="s">
        <v>1225</v>
      </c>
      <c r="L186" s="32" t="s">
        <v>2466</v>
      </c>
      <c r="M186" s="32" t="s">
        <v>114</v>
      </c>
      <c r="N186" s="32" t="s">
        <v>1225</v>
      </c>
      <c r="O186" s="32" t="s">
        <v>1225</v>
      </c>
      <c r="P186" s="32" t="s">
        <v>1225</v>
      </c>
      <c r="Q186" s="32" t="s">
        <v>1227</v>
      </c>
      <c r="R186" s="32" t="s">
        <v>1225</v>
      </c>
      <c r="S186" s="32" t="s">
        <v>1225</v>
      </c>
      <c r="T186" s="32" t="s">
        <v>1225</v>
      </c>
      <c r="U186" s="32" t="s">
        <v>1225</v>
      </c>
      <c r="V186" s="32" t="s">
        <v>1225</v>
      </c>
      <c r="W186" s="32" t="s">
        <v>2467</v>
      </c>
      <c r="X186" s="32" t="s">
        <v>2468</v>
      </c>
      <c r="Y186" s="32" t="s">
        <v>2469</v>
      </c>
      <c r="Z186" s="32" t="s">
        <v>1225</v>
      </c>
      <c r="AA186" s="32" t="s">
        <v>1225</v>
      </c>
      <c r="AB186" s="32" t="s">
        <v>1225</v>
      </c>
      <c r="AC186" s="32" t="s">
        <v>1225</v>
      </c>
      <c r="AD186" s="32" t="s">
        <v>1225</v>
      </c>
      <c r="AE186" s="32" t="s">
        <v>1225</v>
      </c>
      <c r="AF186" s="32" t="s">
        <v>1225</v>
      </c>
      <c r="AG186" s="32" t="s">
        <v>1225</v>
      </c>
      <c r="AH186" s="32" t="s">
        <v>1225</v>
      </c>
      <c r="AI186" s="32" t="s">
        <v>1225</v>
      </c>
      <c r="AJ186" s="32" t="s">
        <v>1225</v>
      </c>
      <c r="AK186" s="32" t="s">
        <v>1225</v>
      </c>
      <c r="AL186" s="32" t="s">
        <v>1225</v>
      </c>
      <c r="AM186" s="32" t="s">
        <v>1225</v>
      </c>
      <c r="AN186" s="32" t="s">
        <v>1225</v>
      </c>
      <c r="AO186" s="32" t="s">
        <v>1225</v>
      </c>
      <c r="AP186" s="32" t="s">
        <v>1225</v>
      </c>
      <c r="AQ186" s="32" t="s">
        <v>1225</v>
      </c>
      <c r="AR186" s="32" t="s">
        <v>1225</v>
      </c>
      <c r="AS186" s="32" t="s">
        <v>1225</v>
      </c>
      <c r="AT186" s="32" t="s">
        <v>1225</v>
      </c>
      <c r="AU186" s="32" t="s">
        <v>1225</v>
      </c>
      <c r="AV186" s="32" t="s">
        <v>1225</v>
      </c>
      <c r="AW186" s="32" t="s">
        <v>1239</v>
      </c>
      <c r="AX186" s="32">
        <v>2021</v>
      </c>
      <c r="AY186" s="32">
        <v>22</v>
      </c>
      <c r="AZ186" s="32">
        <v>7</v>
      </c>
      <c r="BA186" s="32" t="s">
        <v>1225</v>
      </c>
      <c r="BB186" s="32" t="s">
        <v>1225</v>
      </c>
      <c r="BC186" s="32" t="s">
        <v>1225</v>
      </c>
      <c r="BD186" s="32" t="s">
        <v>1225</v>
      </c>
      <c r="BE186" s="32">
        <v>4194</v>
      </c>
      <c r="BF186" s="32">
        <v>4211</v>
      </c>
      <c r="BG186" s="32" t="s">
        <v>1225</v>
      </c>
      <c r="BH186" s="32" t="s">
        <v>2470</v>
      </c>
      <c r="BI186" s="32" t="str">
        <f>HYPERLINK("http://dx.doi.org/10.1109/TITS.2020.3044890","http://dx.doi.org/10.1109/TITS.2020.3044890")</f>
        <v>http://dx.doi.org/10.1109/TITS.2020.3044890</v>
      </c>
      <c r="BJ186" s="32" t="s">
        <v>1225</v>
      </c>
      <c r="BK186" s="32" t="s">
        <v>1225</v>
      </c>
      <c r="BL186" s="32" t="s">
        <v>1225</v>
      </c>
      <c r="BM186" s="32" t="s">
        <v>1225</v>
      </c>
      <c r="BN186" s="32" t="s">
        <v>1225</v>
      </c>
      <c r="BO186" s="32" t="s">
        <v>1225</v>
      </c>
      <c r="BP186" s="32" t="s">
        <v>1225</v>
      </c>
      <c r="BQ186" s="32" t="s">
        <v>1225</v>
      </c>
      <c r="BR186" s="32" t="s">
        <v>1225</v>
      </c>
      <c r="BS186" s="32" t="s">
        <v>1225</v>
      </c>
      <c r="BT186" s="32" t="s">
        <v>1225</v>
      </c>
      <c r="BU186" s="32" t="s">
        <v>1225</v>
      </c>
      <c r="BV186" s="32" t="s">
        <v>1225</v>
      </c>
      <c r="BW186" s="32" t="str">
        <f t="shared" si="4"/>
        <v>View Full Record in Web of Science</v>
      </c>
      <c r="BY186" s="41" t="str">
        <f>IF(Deletion!J186=TRUE,"Yes","No")</f>
        <v>Yes</v>
      </c>
    </row>
    <row r="187" spans="1:77" x14ac:dyDescent="0.15">
      <c r="A187" s="34">
        <f t="shared" si="5"/>
        <v>186</v>
      </c>
      <c r="B187" s="34" t="s">
        <v>4</v>
      </c>
      <c r="C187" s="34" t="s">
        <v>4</v>
      </c>
      <c r="D187" s="34" t="s">
        <v>1223</v>
      </c>
      <c r="E187" s="34" t="s">
        <v>2471</v>
      </c>
      <c r="F187" s="32" t="s">
        <v>1225</v>
      </c>
      <c r="G187" s="32" t="s">
        <v>1225</v>
      </c>
      <c r="H187" s="32" t="s">
        <v>1225</v>
      </c>
      <c r="I187" s="34" t="s">
        <v>2472</v>
      </c>
      <c r="J187" s="32" t="s">
        <v>1225</v>
      </c>
      <c r="K187" s="32" t="s">
        <v>1225</v>
      </c>
      <c r="L187" s="34" t="s">
        <v>2473</v>
      </c>
      <c r="M187" s="34" t="s">
        <v>2474</v>
      </c>
      <c r="N187" s="32" t="s">
        <v>1225</v>
      </c>
      <c r="O187" s="32" t="s">
        <v>1225</v>
      </c>
      <c r="P187" s="32" t="s">
        <v>1225</v>
      </c>
      <c r="Q187" s="34" t="s">
        <v>1227</v>
      </c>
      <c r="R187" s="32" t="s">
        <v>1225</v>
      </c>
      <c r="S187" s="32" t="s">
        <v>1225</v>
      </c>
      <c r="T187" s="32" t="s">
        <v>1225</v>
      </c>
      <c r="U187" s="32" t="s">
        <v>1225</v>
      </c>
      <c r="V187" s="32" t="s">
        <v>1225</v>
      </c>
      <c r="W187" s="34" t="s">
        <v>2475</v>
      </c>
      <c r="X187" s="34" t="s">
        <v>502</v>
      </c>
      <c r="Y187" s="34" t="s">
        <v>2476</v>
      </c>
      <c r="Z187" s="32" t="s">
        <v>1225</v>
      </c>
      <c r="AA187" s="32" t="s">
        <v>1225</v>
      </c>
      <c r="AB187" s="32" t="s">
        <v>1225</v>
      </c>
      <c r="AC187" s="32" t="s">
        <v>1225</v>
      </c>
      <c r="AD187" s="32" t="s">
        <v>1225</v>
      </c>
      <c r="AE187" s="32" t="s">
        <v>1225</v>
      </c>
      <c r="AF187" s="32" t="s">
        <v>1225</v>
      </c>
      <c r="AG187" s="32" t="s">
        <v>1225</v>
      </c>
      <c r="AH187" s="32" t="s">
        <v>1225</v>
      </c>
      <c r="AI187" s="32" t="s">
        <v>1225</v>
      </c>
      <c r="AJ187" s="32" t="s">
        <v>1225</v>
      </c>
      <c r="AK187" s="32" t="s">
        <v>1225</v>
      </c>
      <c r="AL187" s="32" t="s">
        <v>1225</v>
      </c>
      <c r="AM187" s="32" t="s">
        <v>1225</v>
      </c>
      <c r="AN187" s="32" t="s">
        <v>1225</v>
      </c>
      <c r="AO187" s="32" t="s">
        <v>1225</v>
      </c>
      <c r="AP187" s="32" t="s">
        <v>1225</v>
      </c>
      <c r="AQ187" s="32" t="s">
        <v>1225</v>
      </c>
      <c r="AR187" s="32" t="s">
        <v>1225</v>
      </c>
      <c r="AS187" s="32" t="s">
        <v>1225</v>
      </c>
      <c r="AT187" s="32" t="s">
        <v>1225</v>
      </c>
      <c r="AU187" s="32" t="s">
        <v>1225</v>
      </c>
      <c r="AV187" s="32" t="s">
        <v>1225</v>
      </c>
      <c r="AW187" s="34" t="s">
        <v>1393</v>
      </c>
      <c r="AX187" s="34">
        <v>2017</v>
      </c>
      <c r="AY187" s="32">
        <v>15</v>
      </c>
      <c r="AZ187" s="32">
        <v>2</v>
      </c>
      <c r="BA187" s="32" t="s">
        <v>1225</v>
      </c>
      <c r="BB187" s="32" t="s">
        <v>1225</v>
      </c>
      <c r="BC187" s="32" t="s">
        <v>1225</v>
      </c>
      <c r="BD187" s="32" t="s">
        <v>1225</v>
      </c>
      <c r="BE187" s="32">
        <v>163</v>
      </c>
      <c r="BF187" s="32">
        <v>181</v>
      </c>
      <c r="BG187" s="32" t="s">
        <v>1225</v>
      </c>
      <c r="BH187" s="34" t="s">
        <v>2477</v>
      </c>
      <c r="BI187" s="34" t="str">
        <f>HYPERLINK("http://dx.doi.org/10.1007/s10288-016-0328-9","http://dx.doi.org/10.1007/s10288-016-0328-9")</f>
        <v>http://dx.doi.org/10.1007/s10288-016-0328-9</v>
      </c>
      <c r="BJ187" s="32" t="s">
        <v>1225</v>
      </c>
      <c r="BK187" s="32" t="s">
        <v>1225</v>
      </c>
      <c r="BL187" s="32" t="s">
        <v>1225</v>
      </c>
      <c r="BM187" s="32" t="s">
        <v>1225</v>
      </c>
      <c r="BN187" s="32" t="s">
        <v>1225</v>
      </c>
      <c r="BO187" s="32" t="s">
        <v>1225</v>
      </c>
      <c r="BP187" s="32" t="s">
        <v>1225</v>
      </c>
      <c r="BQ187" s="32" t="s">
        <v>1225</v>
      </c>
      <c r="BR187" s="32" t="s">
        <v>1225</v>
      </c>
      <c r="BS187" s="32" t="s">
        <v>1225</v>
      </c>
      <c r="BT187" s="32" t="s">
        <v>1225</v>
      </c>
      <c r="BU187" s="32" t="s">
        <v>1225</v>
      </c>
      <c r="BV187" s="32" t="s">
        <v>1225</v>
      </c>
      <c r="BW187" s="32" t="str">
        <f t="shared" si="4"/>
        <v>View Full Record in Web of Science</v>
      </c>
      <c r="BY187" s="41" t="str">
        <f>IF(Deletion!J187=TRUE,"Yes","No")</f>
        <v>No</v>
      </c>
    </row>
    <row r="188" spans="1:77" x14ac:dyDescent="0.15">
      <c r="A188" s="32">
        <f t="shared" si="5"/>
        <v>187</v>
      </c>
      <c r="D188" s="32" t="s">
        <v>1223</v>
      </c>
      <c r="E188" s="32" t="s">
        <v>2478</v>
      </c>
      <c r="F188" s="32" t="s">
        <v>1225</v>
      </c>
      <c r="G188" s="32" t="s">
        <v>1225</v>
      </c>
      <c r="H188" s="32" t="s">
        <v>1225</v>
      </c>
      <c r="I188" s="32" t="s">
        <v>2479</v>
      </c>
      <c r="J188" s="32" t="s">
        <v>1225</v>
      </c>
      <c r="K188" s="32" t="s">
        <v>1225</v>
      </c>
      <c r="L188" s="32" t="s">
        <v>2480</v>
      </c>
      <c r="M188" s="32" t="s">
        <v>97</v>
      </c>
      <c r="N188" s="32" t="s">
        <v>1225</v>
      </c>
      <c r="O188" s="32" t="s">
        <v>1225</v>
      </c>
      <c r="P188" s="32" t="s">
        <v>1225</v>
      </c>
      <c r="Q188" s="32" t="s">
        <v>1227</v>
      </c>
      <c r="R188" s="32" t="s">
        <v>1225</v>
      </c>
      <c r="S188" s="32" t="s">
        <v>1225</v>
      </c>
      <c r="T188" s="32" t="s">
        <v>1225</v>
      </c>
      <c r="U188" s="32" t="s">
        <v>1225</v>
      </c>
      <c r="V188" s="32" t="s">
        <v>1225</v>
      </c>
      <c r="W188" s="32" t="s">
        <v>2481</v>
      </c>
      <c r="X188" s="32" t="s">
        <v>2482</v>
      </c>
      <c r="Y188" s="32" t="s">
        <v>2483</v>
      </c>
      <c r="Z188" s="32" t="s">
        <v>1225</v>
      </c>
      <c r="AA188" s="32" t="s">
        <v>1225</v>
      </c>
      <c r="AB188" s="32" t="s">
        <v>1225</v>
      </c>
      <c r="AC188" s="32" t="s">
        <v>1225</v>
      </c>
      <c r="AD188" s="32" t="s">
        <v>1225</v>
      </c>
      <c r="AE188" s="32" t="s">
        <v>1225</v>
      </c>
      <c r="AF188" s="32" t="s">
        <v>1225</v>
      </c>
      <c r="AG188" s="32" t="s">
        <v>1225</v>
      </c>
      <c r="AH188" s="32" t="s">
        <v>1225</v>
      </c>
      <c r="AI188" s="32" t="s">
        <v>1225</v>
      </c>
      <c r="AJ188" s="32" t="s">
        <v>1225</v>
      </c>
      <c r="AK188" s="32" t="s">
        <v>1225</v>
      </c>
      <c r="AL188" s="32" t="s">
        <v>1225</v>
      </c>
      <c r="AM188" s="32" t="s">
        <v>1225</v>
      </c>
      <c r="AN188" s="32" t="s">
        <v>1225</v>
      </c>
      <c r="AO188" s="32" t="s">
        <v>1225</v>
      </c>
      <c r="AP188" s="32" t="s">
        <v>1225</v>
      </c>
      <c r="AQ188" s="32" t="s">
        <v>1225</v>
      </c>
      <c r="AR188" s="32" t="s">
        <v>1225</v>
      </c>
      <c r="AS188" s="32" t="s">
        <v>1225</v>
      </c>
      <c r="AT188" s="32" t="s">
        <v>1225</v>
      </c>
      <c r="AU188" s="32" t="s">
        <v>1225</v>
      </c>
      <c r="AV188" s="32" t="s">
        <v>1225</v>
      </c>
      <c r="AW188" s="32" t="s">
        <v>2484</v>
      </c>
      <c r="AX188" s="32">
        <v>2020</v>
      </c>
      <c r="AY188" s="32">
        <v>266</v>
      </c>
      <c r="AZ188" s="32" t="s">
        <v>1225</v>
      </c>
      <c r="BA188" s="32" t="s">
        <v>1225</v>
      </c>
      <c r="BB188" s="32" t="s">
        <v>1225</v>
      </c>
      <c r="BC188" s="32" t="s">
        <v>1225</v>
      </c>
      <c r="BD188" s="32" t="s">
        <v>1225</v>
      </c>
      <c r="BE188" s="32" t="s">
        <v>1225</v>
      </c>
      <c r="BF188" s="32" t="s">
        <v>1225</v>
      </c>
      <c r="BG188" s="32">
        <v>114803</v>
      </c>
      <c r="BH188" s="32" t="s">
        <v>2485</v>
      </c>
      <c r="BI188" s="32" t="str">
        <f>HYPERLINK("http://dx.doi.org/10.1016/j.apenergy.2020.114803","http://dx.doi.org/10.1016/j.apenergy.2020.114803")</f>
        <v>http://dx.doi.org/10.1016/j.apenergy.2020.114803</v>
      </c>
      <c r="BJ188" s="32" t="s">
        <v>1225</v>
      </c>
      <c r="BK188" s="32" t="s">
        <v>1225</v>
      </c>
      <c r="BL188" s="32" t="s">
        <v>1225</v>
      </c>
      <c r="BM188" s="32" t="s">
        <v>1225</v>
      </c>
      <c r="BN188" s="32" t="s">
        <v>1225</v>
      </c>
      <c r="BO188" s="32" t="s">
        <v>1225</v>
      </c>
      <c r="BP188" s="32" t="s">
        <v>1225</v>
      </c>
      <c r="BQ188" s="32" t="s">
        <v>1225</v>
      </c>
      <c r="BR188" s="32" t="s">
        <v>1225</v>
      </c>
      <c r="BS188" s="32" t="s">
        <v>1225</v>
      </c>
      <c r="BT188" s="32" t="s">
        <v>1225</v>
      </c>
      <c r="BU188" s="32" t="s">
        <v>1225</v>
      </c>
      <c r="BV188" s="32" t="s">
        <v>1225</v>
      </c>
      <c r="BW188" s="32" t="str">
        <f t="shared" si="4"/>
        <v>View Full Record in Web of Science</v>
      </c>
      <c r="BY188" s="41" t="str">
        <f>IF(Deletion!J188=TRUE,"Yes","No")</f>
        <v>Yes</v>
      </c>
    </row>
    <row r="189" spans="1:77" x14ac:dyDescent="0.15">
      <c r="A189" s="32">
        <f t="shared" si="5"/>
        <v>188</v>
      </c>
      <c r="D189" s="32" t="s">
        <v>1223</v>
      </c>
      <c r="E189" s="32" t="s">
        <v>2486</v>
      </c>
      <c r="F189" s="32" t="s">
        <v>1225</v>
      </c>
      <c r="G189" s="32" t="s">
        <v>1225</v>
      </c>
      <c r="H189" s="32" t="s">
        <v>1225</v>
      </c>
      <c r="I189" s="32" t="s">
        <v>2487</v>
      </c>
      <c r="J189" s="32" t="s">
        <v>1225</v>
      </c>
      <c r="K189" s="32" t="s">
        <v>1225</v>
      </c>
      <c r="L189" s="32" t="s">
        <v>2488</v>
      </c>
      <c r="M189" s="32" t="s">
        <v>313</v>
      </c>
      <c r="N189" s="32" t="s">
        <v>1225</v>
      </c>
      <c r="O189" s="32" t="s">
        <v>1225</v>
      </c>
      <c r="P189" s="32" t="s">
        <v>1225</v>
      </c>
      <c r="Q189" s="32" t="s">
        <v>1227</v>
      </c>
      <c r="R189" s="32" t="s">
        <v>1225</v>
      </c>
      <c r="S189" s="32" t="s">
        <v>1225</v>
      </c>
      <c r="T189" s="32" t="s">
        <v>1225</v>
      </c>
      <c r="U189" s="32" t="s">
        <v>1225</v>
      </c>
      <c r="V189" s="32" t="s">
        <v>1225</v>
      </c>
      <c r="W189" s="32" t="s">
        <v>2489</v>
      </c>
      <c r="X189" s="32" t="s">
        <v>2490</v>
      </c>
      <c r="Y189" s="32" t="s">
        <v>2491</v>
      </c>
      <c r="Z189" s="32" t="s">
        <v>1225</v>
      </c>
      <c r="AA189" s="32" t="s">
        <v>1225</v>
      </c>
      <c r="AB189" s="32" t="s">
        <v>1225</v>
      </c>
      <c r="AC189" s="32" t="s">
        <v>1225</v>
      </c>
      <c r="AD189" s="32" t="s">
        <v>1225</v>
      </c>
      <c r="AE189" s="32" t="s">
        <v>1225</v>
      </c>
      <c r="AF189" s="32" t="s">
        <v>1225</v>
      </c>
      <c r="AG189" s="32" t="s">
        <v>1225</v>
      </c>
      <c r="AH189" s="32" t="s">
        <v>1225</v>
      </c>
      <c r="AI189" s="32" t="s">
        <v>1225</v>
      </c>
      <c r="AJ189" s="32" t="s">
        <v>1225</v>
      </c>
      <c r="AK189" s="32" t="s">
        <v>1225</v>
      </c>
      <c r="AL189" s="32" t="s">
        <v>1225</v>
      </c>
      <c r="AM189" s="32" t="s">
        <v>1225</v>
      </c>
      <c r="AN189" s="32" t="s">
        <v>1225</v>
      </c>
      <c r="AO189" s="32" t="s">
        <v>1225</v>
      </c>
      <c r="AP189" s="32" t="s">
        <v>1225</v>
      </c>
      <c r="AQ189" s="32" t="s">
        <v>1225</v>
      </c>
      <c r="AR189" s="32" t="s">
        <v>1225</v>
      </c>
      <c r="AS189" s="32" t="s">
        <v>1225</v>
      </c>
      <c r="AT189" s="32" t="s">
        <v>1225</v>
      </c>
      <c r="AU189" s="32" t="s">
        <v>1225</v>
      </c>
      <c r="AV189" s="32" t="s">
        <v>1225</v>
      </c>
      <c r="AW189" s="32" t="s">
        <v>1272</v>
      </c>
      <c r="AX189" s="32">
        <v>2021</v>
      </c>
      <c r="AY189" s="32">
        <v>126</v>
      </c>
      <c r="AZ189" s="32" t="s">
        <v>1225</v>
      </c>
      <c r="BA189" s="32" t="s">
        <v>2492</v>
      </c>
      <c r="BB189" s="32" t="s">
        <v>1225</v>
      </c>
      <c r="BC189" s="32" t="s">
        <v>1225</v>
      </c>
      <c r="BD189" s="32" t="s">
        <v>1225</v>
      </c>
      <c r="BE189" s="32" t="s">
        <v>1225</v>
      </c>
      <c r="BF189" s="32" t="s">
        <v>1225</v>
      </c>
      <c r="BG189" s="32">
        <v>106567</v>
      </c>
      <c r="BH189" s="32" t="s">
        <v>2493</v>
      </c>
      <c r="BI189" s="32" t="str">
        <f>HYPERLINK("http://dx.doi.org/10.1016/j.ijepes.2020.106567","http://dx.doi.org/10.1016/j.ijepes.2020.106567")</f>
        <v>http://dx.doi.org/10.1016/j.ijepes.2020.106567</v>
      </c>
      <c r="BJ189" s="32" t="s">
        <v>1225</v>
      </c>
      <c r="BK189" s="32" t="s">
        <v>1225</v>
      </c>
      <c r="BL189" s="32" t="s">
        <v>1225</v>
      </c>
      <c r="BM189" s="32" t="s">
        <v>1225</v>
      </c>
      <c r="BN189" s="32" t="s">
        <v>1225</v>
      </c>
      <c r="BO189" s="32" t="s">
        <v>1225</v>
      </c>
      <c r="BP189" s="32" t="s">
        <v>1225</v>
      </c>
      <c r="BQ189" s="32" t="s">
        <v>1225</v>
      </c>
      <c r="BR189" s="32" t="s">
        <v>1225</v>
      </c>
      <c r="BS189" s="32" t="s">
        <v>1225</v>
      </c>
      <c r="BT189" s="32" t="s">
        <v>1225</v>
      </c>
      <c r="BU189" s="32" t="s">
        <v>1225</v>
      </c>
      <c r="BV189" s="32" t="s">
        <v>1225</v>
      </c>
      <c r="BW189" s="32" t="str">
        <f t="shared" si="4"/>
        <v>View Full Record in Web of Science</v>
      </c>
      <c r="BY189" s="41" t="str">
        <f>IF(Deletion!J189=TRUE,"Yes","No")</f>
        <v>Yes</v>
      </c>
    </row>
    <row r="190" spans="1:77" x14ac:dyDescent="0.15">
      <c r="A190" s="32">
        <f t="shared" si="5"/>
        <v>189</v>
      </c>
      <c r="D190" s="32" t="s">
        <v>1223</v>
      </c>
      <c r="E190" s="32" t="s">
        <v>2494</v>
      </c>
      <c r="F190" s="32" t="s">
        <v>1225</v>
      </c>
      <c r="G190" s="32" t="s">
        <v>1225</v>
      </c>
      <c r="H190" s="32" t="s">
        <v>1225</v>
      </c>
      <c r="I190" s="32" t="s">
        <v>2495</v>
      </c>
      <c r="J190" s="32" t="s">
        <v>1225</v>
      </c>
      <c r="K190" s="32" t="s">
        <v>1225</v>
      </c>
      <c r="L190" s="32" t="s">
        <v>2496</v>
      </c>
      <c r="M190" s="32" t="s">
        <v>114</v>
      </c>
      <c r="N190" s="32" t="s">
        <v>1225</v>
      </c>
      <c r="O190" s="32" t="s">
        <v>1225</v>
      </c>
      <c r="P190" s="32" t="s">
        <v>1225</v>
      </c>
      <c r="Q190" s="32" t="s">
        <v>1688</v>
      </c>
      <c r="R190" s="32" t="s">
        <v>1225</v>
      </c>
      <c r="S190" s="32" t="s">
        <v>1225</v>
      </c>
      <c r="T190" s="32" t="s">
        <v>1225</v>
      </c>
      <c r="U190" s="32" t="s">
        <v>1225</v>
      </c>
      <c r="V190" s="32" t="s">
        <v>1225</v>
      </c>
      <c r="W190" s="32" t="s">
        <v>2497</v>
      </c>
      <c r="X190" s="32" t="s">
        <v>2498</v>
      </c>
      <c r="Y190" s="32" t="s">
        <v>2499</v>
      </c>
      <c r="Z190" s="32" t="s">
        <v>1225</v>
      </c>
      <c r="AA190" s="32" t="s">
        <v>1225</v>
      </c>
      <c r="AB190" s="32" t="s">
        <v>1225</v>
      </c>
      <c r="AC190" s="32" t="s">
        <v>1225</v>
      </c>
      <c r="AD190" s="32" t="s">
        <v>1225</v>
      </c>
      <c r="AE190" s="32" t="s">
        <v>1225</v>
      </c>
      <c r="AF190" s="32" t="s">
        <v>1225</v>
      </c>
      <c r="AG190" s="32" t="s">
        <v>1225</v>
      </c>
      <c r="AH190" s="32" t="s">
        <v>1225</v>
      </c>
      <c r="AI190" s="32" t="s">
        <v>1225</v>
      </c>
      <c r="AJ190" s="32" t="s">
        <v>1225</v>
      </c>
      <c r="AK190" s="32" t="s">
        <v>1225</v>
      </c>
      <c r="AL190" s="32" t="s">
        <v>1225</v>
      </c>
      <c r="AM190" s="32" t="s">
        <v>1225</v>
      </c>
      <c r="AN190" s="32" t="s">
        <v>1225</v>
      </c>
      <c r="AO190" s="32" t="s">
        <v>1225</v>
      </c>
      <c r="AP190" s="32" t="s">
        <v>1225</v>
      </c>
      <c r="AQ190" s="32" t="s">
        <v>1225</v>
      </c>
      <c r="AR190" s="32" t="s">
        <v>1225</v>
      </c>
      <c r="AS190" s="32" t="s">
        <v>1225</v>
      </c>
      <c r="AT190" s="32" t="s">
        <v>1225</v>
      </c>
      <c r="AU190" s="32" t="s">
        <v>1225</v>
      </c>
      <c r="AV190" s="32" t="s">
        <v>1225</v>
      </c>
      <c r="AW190" s="32" t="s">
        <v>1225</v>
      </c>
      <c r="AX190" s="32" t="s">
        <v>1225</v>
      </c>
      <c r="AY190" s="32" t="s">
        <v>1225</v>
      </c>
      <c r="AZ190" s="32" t="s">
        <v>1225</v>
      </c>
      <c r="BA190" s="32" t="s">
        <v>1225</v>
      </c>
      <c r="BB190" s="32" t="s">
        <v>1225</v>
      </c>
      <c r="BC190" s="32" t="s">
        <v>1225</v>
      </c>
      <c r="BD190" s="32" t="s">
        <v>1225</v>
      </c>
      <c r="BE190" s="32" t="s">
        <v>1225</v>
      </c>
      <c r="BF190" s="32" t="s">
        <v>1225</v>
      </c>
      <c r="BG190" s="32" t="s">
        <v>1225</v>
      </c>
      <c r="BH190" s="32" t="s">
        <v>2500</v>
      </c>
      <c r="BI190" s="32" t="str">
        <f>HYPERLINK("http://dx.doi.org/10.1109/TITS.2022.3146237","http://dx.doi.org/10.1109/TITS.2022.3146237")</f>
        <v>http://dx.doi.org/10.1109/TITS.2022.3146237</v>
      </c>
      <c r="BJ190" s="32" t="s">
        <v>1225</v>
      </c>
      <c r="BK190" s="32" t="s">
        <v>2011</v>
      </c>
      <c r="BL190" s="32" t="s">
        <v>1225</v>
      </c>
      <c r="BM190" s="32" t="s">
        <v>1225</v>
      </c>
      <c r="BN190" s="32" t="s">
        <v>1225</v>
      </c>
      <c r="BO190" s="32" t="s">
        <v>1225</v>
      </c>
      <c r="BP190" s="32" t="s">
        <v>1225</v>
      </c>
      <c r="BQ190" s="32" t="s">
        <v>1225</v>
      </c>
      <c r="BR190" s="32" t="s">
        <v>1225</v>
      </c>
      <c r="BS190" s="32" t="s">
        <v>1225</v>
      </c>
      <c r="BT190" s="32" t="s">
        <v>1225</v>
      </c>
      <c r="BU190" s="32" t="s">
        <v>1225</v>
      </c>
      <c r="BV190" s="32" t="s">
        <v>1225</v>
      </c>
      <c r="BW190" s="32" t="str">
        <f t="shared" si="4"/>
        <v>View Full Record in Web of Science</v>
      </c>
      <c r="BY190" s="41" t="str">
        <f>IF(Deletion!J190=TRUE,"Yes","No")</f>
        <v>Yes</v>
      </c>
    </row>
    <row r="191" spans="1:77" x14ac:dyDescent="0.15">
      <c r="A191" s="34">
        <f t="shared" si="5"/>
        <v>190</v>
      </c>
      <c r="B191" s="34" t="s">
        <v>4</v>
      </c>
      <c r="C191" s="34" t="s">
        <v>4</v>
      </c>
      <c r="D191" s="34" t="s">
        <v>1223</v>
      </c>
      <c r="E191" s="34" t="s">
        <v>2501</v>
      </c>
      <c r="F191" s="32" t="s">
        <v>1225</v>
      </c>
      <c r="G191" s="32" t="s">
        <v>1225</v>
      </c>
      <c r="H191" s="32" t="s">
        <v>1225</v>
      </c>
      <c r="I191" s="34" t="s">
        <v>2502</v>
      </c>
      <c r="J191" s="32" t="s">
        <v>1225</v>
      </c>
      <c r="K191" s="32" t="s">
        <v>1225</v>
      </c>
      <c r="L191" s="34" t="s">
        <v>2503</v>
      </c>
      <c r="M191" s="34" t="s">
        <v>2504</v>
      </c>
      <c r="N191" s="32" t="s">
        <v>1225</v>
      </c>
      <c r="O191" s="32" t="s">
        <v>1225</v>
      </c>
      <c r="P191" s="32" t="s">
        <v>1225</v>
      </c>
      <c r="Q191" s="34" t="s">
        <v>1227</v>
      </c>
      <c r="R191" s="32" t="s">
        <v>1225</v>
      </c>
      <c r="S191" s="32" t="s">
        <v>1225</v>
      </c>
      <c r="T191" s="32" t="s">
        <v>1225</v>
      </c>
      <c r="U191" s="32" t="s">
        <v>1225</v>
      </c>
      <c r="V191" s="32" t="s">
        <v>1225</v>
      </c>
      <c r="W191" s="34" t="s">
        <v>2505</v>
      </c>
      <c r="X191" s="34" t="s">
        <v>1225</v>
      </c>
      <c r="Y191" s="34" t="s">
        <v>2506</v>
      </c>
      <c r="Z191" s="32" t="s">
        <v>1225</v>
      </c>
      <c r="AA191" s="32" t="s">
        <v>1225</v>
      </c>
      <c r="AB191" s="32" t="s">
        <v>1225</v>
      </c>
      <c r="AC191" s="32" t="s">
        <v>1225</v>
      </c>
      <c r="AD191" s="32" t="s">
        <v>1225</v>
      </c>
      <c r="AE191" s="32" t="s">
        <v>1225</v>
      </c>
      <c r="AF191" s="32" t="s">
        <v>1225</v>
      </c>
      <c r="AG191" s="32" t="s">
        <v>1225</v>
      </c>
      <c r="AH191" s="32" t="s">
        <v>1225</v>
      </c>
      <c r="AI191" s="32" t="s">
        <v>1225</v>
      </c>
      <c r="AJ191" s="32" t="s">
        <v>1225</v>
      </c>
      <c r="AK191" s="32" t="s">
        <v>1225</v>
      </c>
      <c r="AL191" s="32" t="s">
        <v>1225</v>
      </c>
      <c r="AM191" s="32" t="s">
        <v>1225</v>
      </c>
      <c r="AN191" s="32" t="s">
        <v>1225</v>
      </c>
      <c r="AO191" s="32" t="s">
        <v>1225</v>
      </c>
      <c r="AP191" s="32" t="s">
        <v>1225</v>
      </c>
      <c r="AQ191" s="32" t="s">
        <v>1225</v>
      </c>
      <c r="AR191" s="32" t="s">
        <v>1225</v>
      </c>
      <c r="AS191" s="32" t="s">
        <v>1225</v>
      </c>
      <c r="AT191" s="32" t="s">
        <v>1225</v>
      </c>
      <c r="AU191" s="32" t="s">
        <v>1225</v>
      </c>
      <c r="AV191" s="32" t="s">
        <v>1225</v>
      </c>
      <c r="AW191" s="34" t="s">
        <v>2507</v>
      </c>
      <c r="AX191" s="34">
        <v>2021</v>
      </c>
      <c r="AY191" s="32">
        <v>16</v>
      </c>
      <c r="AZ191" s="32" t="s">
        <v>2508</v>
      </c>
      <c r="BA191" s="32" t="s">
        <v>1225</v>
      </c>
      <c r="BB191" s="32" t="s">
        <v>1225</v>
      </c>
      <c r="BC191" s="32" t="s">
        <v>1511</v>
      </c>
      <c r="BD191" s="32" t="s">
        <v>1225</v>
      </c>
      <c r="BE191" s="32">
        <v>1026</v>
      </c>
      <c r="BF191" s="32">
        <v>1047</v>
      </c>
      <c r="BG191" s="32" t="s">
        <v>1225</v>
      </c>
      <c r="BH191" s="34" t="s">
        <v>2509</v>
      </c>
      <c r="BI191" s="34" t="str">
        <f>HYPERLINK("http://dx.doi.org/10.1080/15567249.2021.1916795","http://dx.doi.org/10.1080/15567249.2021.1916795")</f>
        <v>http://dx.doi.org/10.1080/15567249.2021.1916795</v>
      </c>
      <c r="BJ191" s="32" t="s">
        <v>1225</v>
      </c>
      <c r="BK191" s="32" t="s">
        <v>1395</v>
      </c>
      <c r="BL191" s="32" t="s">
        <v>1225</v>
      </c>
      <c r="BM191" s="32" t="s">
        <v>1225</v>
      </c>
      <c r="BN191" s="32" t="s">
        <v>1225</v>
      </c>
      <c r="BO191" s="32" t="s">
        <v>1225</v>
      </c>
      <c r="BP191" s="32" t="s">
        <v>1225</v>
      </c>
      <c r="BQ191" s="32" t="s">
        <v>1225</v>
      </c>
      <c r="BR191" s="32" t="s">
        <v>1225</v>
      </c>
      <c r="BS191" s="32" t="s">
        <v>1225</v>
      </c>
      <c r="BT191" s="32" t="s">
        <v>1225</v>
      </c>
      <c r="BU191" s="32" t="s">
        <v>1225</v>
      </c>
      <c r="BV191" s="32" t="s">
        <v>1225</v>
      </c>
      <c r="BW191" s="32" t="str">
        <f t="shared" si="4"/>
        <v>View Full Record in Web of Science</v>
      </c>
      <c r="BY191" s="41" t="str">
        <f>IF(Deletion!J191=TRUE,"Yes","No")</f>
        <v>No</v>
      </c>
    </row>
    <row r="192" spans="1:77" x14ac:dyDescent="0.15">
      <c r="A192" s="32">
        <f t="shared" si="5"/>
        <v>191</v>
      </c>
      <c r="D192" s="32" t="s">
        <v>1223</v>
      </c>
      <c r="E192" s="32" t="s">
        <v>1274</v>
      </c>
      <c r="F192" s="32" t="s">
        <v>1225</v>
      </c>
      <c r="G192" s="32" t="s">
        <v>1225</v>
      </c>
      <c r="H192" s="32" t="s">
        <v>1225</v>
      </c>
      <c r="I192" s="32" t="s">
        <v>115</v>
      </c>
      <c r="J192" s="32" t="s">
        <v>1225</v>
      </c>
      <c r="K192" s="32" t="s">
        <v>1225</v>
      </c>
      <c r="L192" s="32" t="s">
        <v>2510</v>
      </c>
      <c r="M192" s="32" t="s">
        <v>2051</v>
      </c>
      <c r="N192" s="32" t="s">
        <v>1225</v>
      </c>
      <c r="O192" s="32" t="s">
        <v>1225</v>
      </c>
      <c r="P192" s="32" t="s">
        <v>1225</v>
      </c>
      <c r="Q192" s="32" t="s">
        <v>1227</v>
      </c>
      <c r="R192" s="32" t="s">
        <v>1225</v>
      </c>
      <c r="S192" s="32" t="s">
        <v>1225</v>
      </c>
      <c r="T192" s="32" t="s">
        <v>1225</v>
      </c>
      <c r="U192" s="32" t="s">
        <v>1225</v>
      </c>
      <c r="V192" s="32" t="s">
        <v>1225</v>
      </c>
      <c r="W192" s="32" t="s">
        <v>2511</v>
      </c>
      <c r="X192" s="32" t="s">
        <v>1225</v>
      </c>
      <c r="Y192" s="32" t="s">
        <v>2512</v>
      </c>
      <c r="Z192" s="32" t="s">
        <v>1225</v>
      </c>
      <c r="AA192" s="32" t="s">
        <v>1225</v>
      </c>
      <c r="AB192" s="32" t="s">
        <v>1225</v>
      </c>
      <c r="AC192" s="32" t="s">
        <v>1225</v>
      </c>
      <c r="AD192" s="32" t="s">
        <v>1225</v>
      </c>
      <c r="AE192" s="32" t="s">
        <v>1225</v>
      </c>
      <c r="AF192" s="32" t="s">
        <v>1225</v>
      </c>
      <c r="AG192" s="32" t="s">
        <v>1225</v>
      </c>
      <c r="AH192" s="32" t="s">
        <v>1225</v>
      </c>
      <c r="AI192" s="32" t="s">
        <v>1225</v>
      </c>
      <c r="AJ192" s="32" t="s">
        <v>1225</v>
      </c>
      <c r="AK192" s="32" t="s">
        <v>1225</v>
      </c>
      <c r="AL192" s="32" t="s">
        <v>1225</v>
      </c>
      <c r="AM192" s="32" t="s">
        <v>1225</v>
      </c>
      <c r="AN192" s="32" t="s">
        <v>1225</v>
      </c>
      <c r="AO192" s="32" t="s">
        <v>1225</v>
      </c>
      <c r="AP192" s="32" t="s">
        <v>1225</v>
      </c>
      <c r="AQ192" s="32" t="s">
        <v>1225</v>
      </c>
      <c r="AR192" s="32" t="s">
        <v>1225</v>
      </c>
      <c r="AS192" s="32" t="s">
        <v>1225</v>
      </c>
      <c r="AT192" s="32" t="s">
        <v>1225</v>
      </c>
      <c r="AU192" s="32" t="s">
        <v>1225</v>
      </c>
      <c r="AV192" s="32" t="s">
        <v>1225</v>
      </c>
      <c r="AW192" s="32" t="s">
        <v>1298</v>
      </c>
      <c r="AX192" s="32">
        <v>2021</v>
      </c>
      <c r="AY192" s="32">
        <v>17</v>
      </c>
      <c r="AZ192" s="32">
        <v>9</v>
      </c>
      <c r="BA192" s="32" t="s">
        <v>1225</v>
      </c>
      <c r="BB192" s="32" t="s">
        <v>1225</v>
      </c>
      <c r="BC192" s="32" t="s">
        <v>1225</v>
      </c>
      <c r="BD192" s="32" t="s">
        <v>1225</v>
      </c>
      <c r="BE192" s="32">
        <v>6014</v>
      </c>
      <c r="BF192" s="32">
        <v>6022</v>
      </c>
      <c r="BG192" s="32" t="s">
        <v>1225</v>
      </c>
      <c r="BH192" s="32" t="s">
        <v>2513</v>
      </c>
      <c r="BI192" s="32" t="str">
        <f>HYPERLINK("http://dx.doi.org/10.1109/TII.2020.3038144","http://dx.doi.org/10.1109/TII.2020.3038144")</f>
        <v>http://dx.doi.org/10.1109/TII.2020.3038144</v>
      </c>
      <c r="BJ192" s="32" t="s">
        <v>1225</v>
      </c>
      <c r="BK192" s="32" t="s">
        <v>1225</v>
      </c>
      <c r="BL192" s="32" t="s">
        <v>1225</v>
      </c>
      <c r="BM192" s="32" t="s">
        <v>1225</v>
      </c>
      <c r="BN192" s="32" t="s">
        <v>1225</v>
      </c>
      <c r="BO192" s="32" t="s">
        <v>1225</v>
      </c>
      <c r="BP192" s="32" t="s">
        <v>1225</v>
      </c>
      <c r="BQ192" s="32" t="s">
        <v>1225</v>
      </c>
      <c r="BR192" s="32" t="s">
        <v>1225</v>
      </c>
      <c r="BS192" s="32" t="s">
        <v>1225</v>
      </c>
      <c r="BT192" s="32" t="s">
        <v>1225</v>
      </c>
      <c r="BU192" s="32" t="s">
        <v>1225</v>
      </c>
      <c r="BV192" s="32" t="s">
        <v>1225</v>
      </c>
      <c r="BW192" s="32" t="str">
        <f t="shared" si="4"/>
        <v>View Full Record in Web of Science</v>
      </c>
      <c r="BY192" s="41" t="str">
        <f>IF(Deletion!J192=TRUE,"Yes","No")</f>
        <v>Yes</v>
      </c>
    </row>
    <row r="193" spans="1:77" x14ac:dyDescent="0.15">
      <c r="A193" s="32">
        <f t="shared" si="5"/>
        <v>192</v>
      </c>
      <c r="D193" s="32" t="s">
        <v>1223</v>
      </c>
      <c r="E193" s="32" t="s">
        <v>2514</v>
      </c>
      <c r="F193" s="32" t="s">
        <v>1225</v>
      </c>
      <c r="G193" s="32" t="s">
        <v>1225</v>
      </c>
      <c r="H193" s="32" t="s">
        <v>1225</v>
      </c>
      <c r="I193" s="32" t="s">
        <v>2515</v>
      </c>
      <c r="J193" s="32" t="s">
        <v>1225</v>
      </c>
      <c r="K193" s="32" t="s">
        <v>1225</v>
      </c>
      <c r="L193" s="32" t="s">
        <v>2516</v>
      </c>
      <c r="M193" s="32" t="s">
        <v>124</v>
      </c>
      <c r="N193" s="32" t="s">
        <v>1225</v>
      </c>
      <c r="O193" s="32" t="s">
        <v>1225</v>
      </c>
      <c r="P193" s="32" t="s">
        <v>1225</v>
      </c>
      <c r="Q193" s="32" t="s">
        <v>1227</v>
      </c>
      <c r="R193" s="32" t="s">
        <v>1225</v>
      </c>
      <c r="S193" s="32" t="s">
        <v>1225</v>
      </c>
      <c r="T193" s="32" t="s">
        <v>1225</v>
      </c>
      <c r="U193" s="32" t="s">
        <v>1225</v>
      </c>
      <c r="V193" s="32" t="s">
        <v>1225</v>
      </c>
      <c r="W193" s="32" t="s">
        <v>2517</v>
      </c>
      <c r="X193" s="32" t="s">
        <v>1259</v>
      </c>
      <c r="Y193" s="32" t="s">
        <v>2518</v>
      </c>
      <c r="Z193" s="32" t="s">
        <v>1225</v>
      </c>
      <c r="AA193" s="32" t="s">
        <v>1225</v>
      </c>
      <c r="AB193" s="32" t="s">
        <v>1225</v>
      </c>
      <c r="AC193" s="32" t="s">
        <v>1225</v>
      </c>
      <c r="AD193" s="32" t="s">
        <v>1225</v>
      </c>
      <c r="AE193" s="32" t="s">
        <v>1225</v>
      </c>
      <c r="AF193" s="32" t="s">
        <v>1225</v>
      </c>
      <c r="AG193" s="32" t="s">
        <v>1225</v>
      </c>
      <c r="AH193" s="32" t="s">
        <v>1225</v>
      </c>
      <c r="AI193" s="32" t="s">
        <v>1225</v>
      </c>
      <c r="AJ193" s="32" t="s">
        <v>1225</v>
      </c>
      <c r="AK193" s="32" t="s">
        <v>1225</v>
      </c>
      <c r="AL193" s="32" t="s">
        <v>1225</v>
      </c>
      <c r="AM193" s="32" t="s">
        <v>1225</v>
      </c>
      <c r="AN193" s="32" t="s">
        <v>1225</v>
      </c>
      <c r="AO193" s="32" t="s">
        <v>1225</v>
      </c>
      <c r="AP193" s="32" t="s">
        <v>1225</v>
      </c>
      <c r="AQ193" s="32" t="s">
        <v>1225</v>
      </c>
      <c r="AR193" s="32" t="s">
        <v>1225</v>
      </c>
      <c r="AS193" s="32" t="s">
        <v>1225</v>
      </c>
      <c r="AT193" s="32" t="s">
        <v>1225</v>
      </c>
      <c r="AU193" s="32" t="s">
        <v>1225</v>
      </c>
      <c r="AV193" s="32" t="s">
        <v>1225</v>
      </c>
      <c r="AW193" s="32" t="s">
        <v>1317</v>
      </c>
      <c r="AX193" s="32">
        <v>2019</v>
      </c>
      <c r="AY193" s="32">
        <v>10</v>
      </c>
      <c r="AZ193" s="32">
        <v>1</v>
      </c>
      <c r="BA193" s="32" t="s">
        <v>1225</v>
      </c>
      <c r="BB193" s="32" t="s">
        <v>1225</v>
      </c>
      <c r="BC193" s="32" t="s">
        <v>1225</v>
      </c>
      <c r="BD193" s="32" t="s">
        <v>1225</v>
      </c>
      <c r="BE193" s="32">
        <v>173</v>
      </c>
      <c r="BF193" s="32">
        <v>183</v>
      </c>
      <c r="BG193" s="32" t="s">
        <v>1225</v>
      </c>
      <c r="BH193" s="32" t="s">
        <v>2519</v>
      </c>
      <c r="BI193" s="32" t="str">
        <f>HYPERLINK("http://dx.doi.org/10.1109/TSG.2017.2735636","http://dx.doi.org/10.1109/TSG.2017.2735636")</f>
        <v>http://dx.doi.org/10.1109/TSG.2017.2735636</v>
      </c>
      <c r="BJ193" s="32" t="s">
        <v>1225</v>
      </c>
      <c r="BK193" s="32" t="s">
        <v>1225</v>
      </c>
      <c r="BL193" s="32" t="s">
        <v>1225</v>
      </c>
      <c r="BM193" s="32" t="s">
        <v>1225</v>
      </c>
      <c r="BN193" s="32" t="s">
        <v>1225</v>
      </c>
      <c r="BO193" s="32" t="s">
        <v>1225</v>
      </c>
      <c r="BP193" s="32" t="s">
        <v>1225</v>
      </c>
      <c r="BQ193" s="32" t="s">
        <v>1225</v>
      </c>
      <c r="BR193" s="32" t="s">
        <v>1225</v>
      </c>
      <c r="BS193" s="32" t="s">
        <v>1225</v>
      </c>
      <c r="BT193" s="32" t="s">
        <v>1225</v>
      </c>
      <c r="BU193" s="32" t="s">
        <v>1225</v>
      </c>
      <c r="BV193" s="32" t="s">
        <v>1225</v>
      </c>
      <c r="BW193" s="32" t="str">
        <f t="shared" si="4"/>
        <v>View Full Record in Web of Science</v>
      </c>
      <c r="BY193" s="41" t="str">
        <f>IF(Deletion!J193=TRUE,"Yes","No")</f>
        <v>Yes</v>
      </c>
    </row>
    <row r="194" spans="1:77" x14ac:dyDescent="0.15">
      <c r="A194" s="32">
        <f t="shared" si="5"/>
        <v>193</v>
      </c>
      <c r="D194" s="32" t="s">
        <v>1223</v>
      </c>
      <c r="E194" s="32" t="s">
        <v>2520</v>
      </c>
      <c r="F194" s="32" t="s">
        <v>1225</v>
      </c>
      <c r="G194" s="32" t="s">
        <v>1225</v>
      </c>
      <c r="H194" s="32" t="s">
        <v>1225</v>
      </c>
      <c r="I194" s="32" t="s">
        <v>2521</v>
      </c>
      <c r="J194" s="32" t="s">
        <v>1225</v>
      </c>
      <c r="K194" s="32" t="s">
        <v>1225</v>
      </c>
      <c r="L194" s="32" t="s">
        <v>2522</v>
      </c>
      <c r="M194" s="32" t="s">
        <v>1586</v>
      </c>
      <c r="N194" s="32" t="s">
        <v>1225</v>
      </c>
      <c r="O194" s="32" t="s">
        <v>1225</v>
      </c>
      <c r="P194" s="32" t="s">
        <v>1225</v>
      </c>
      <c r="Q194" s="32" t="s">
        <v>1227</v>
      </c>
      <c r="R194" s="32" t="s">
        <v>1225</v>
      </c>
      <c r="S194" s="32" t="s">
        <v>1225</v>
      </c>
      <c r="T194" s="32" t="s">
        <v>1225</v>
      </c>
      <c r="U194" s="32" t="s">
        <v>1225</v>
      </c>
      <c r="V194" s="32" t="s">
        <v>1225</v>
      </c>
      <c r="W194" s="32" t="s">
        <v>2523</v>
      </c>
      <c r="X194" s="32" t="s">
        <v>1225</v>
      </c>
      <c r="Y194" s="32" t="s">
        <v>2524</v>
      </c>
      <c r="Z194" s="32" t="s">
        <v>1225</v>
      </c>
      <c r="AA194" s="32" t="s">
        <v>1225</v>
      </c>
      <c r="AB194" s="32" t="s">
        <v>1225</v>
      </c>
      <c r="AC194" s="32" t="s">
        <v>1225</v>
      </c>
      <c r="AD194" s="32" t="s">
        <v>1225</v>
      </c>
      <c r="AE194" s="32" t="s">
        <v>1225</v>
      </c>
      <c r="AF194" s="32" t="s">
        <v>1225</v>
      </c>
      <c r="AG194" s="32" t="s">
        <v>1225</v>
      </c>
      <c r="AH194" s="32" t="s">
        <v>1225</v>
      </c>
      <c r="AI194" s="32" t="s">
        <v>1225</v>
      </c>
      <c r="AJ194" s="32" t="s">
        <v>1225</v>
      </c>
      <c r="AK194" s="32" t="s">
        <v>1225</v>
      </c>
      <c r="AL194" s="32" t="s">
        <v>1225</v>
      </c>
      <c r="AM194" s="32" t="s">
        <v>1225</v>
      </c>
      <c r="AN194" s="32" t="s">
        <v>1225</v>
      </c>
      <c r="AO194" s="32" t="s">
        <v>1225</v>
      </c>
      <c r="AP194" s="32" t="s">
        <v>1225</v>
      </c>
      <c r="AQ194" s="32" t="s">
        <v>1225</v>
      </c>
      <c r="AR194" s="32" t="s">
        <v>1225</v>
      </c>
      <c r="AS194" s="32" t="s">
        <v>1225</v>
      </c>
      <c r="AT194" s="32" t="s">
        <v>1225</v>
      </c>
      <c r="AU194" s="32" t="s">
        <v>1225</v>
      </c>
      <c r="AV194" s="32" t="s">
        <v>1225</v>
      </c>
      <c r="AW194" s="32" t="s">
        <v>1726</v>
      </c>
      <c r="AX194" s="32">
        <v>2018</v>
      </c>
      <c r="AY194" s="32">
        <v>10</v>
      </c>
      <c r="AZ194" s="32">
        <v>4</v>
      </c>
      <c r="BA194" s="32" t="s">
        <v>1225</v>
      </c>
      <c r="BB194" s="32" t="s">
        <v>1225</v>
      </c>
      <c r="BC194" s="32" t="s">
        <v>1225</v>
      </c>
      <c r="BD194" s="32" t="s">
        <v>1225</v>
      </c>
      <c r="BE194" s="32" t="s">
        <v>1225</v>
      </c>
      <c r="BF194" s="32" t="s">
        <v>1225</v>
      </c>
      <c r="BG194" s="32">
        <v>1076</v>
      </c>
      <c r="BH194" s="32" t="s">
        <v>2525</v>
      </c>
      <c r="BI194" s="32" t="str">
        <f>HYPERLINK("http://dx.doi.org/10.3390/su10041076","http://dx.doi.org/10.3390/su10041076")</f>
        <v>http://dx.doi.org/10.3390/su10041076</v>
      </c>
      <c r="BJ194" s="32" t="s">
        <v>1225</v>
      </c>
      <c r="BK194" s="32" t="s">
        <v>1225</v>
      </c>
      <c r="BL194" s="32" t="s">
        <v>1225</v>
      </c>
      <c r="BM194" s="32" t="s">
        <v>1225</v>
      </c>
      <c r="BN194" s="32" t="s">
        <v>1225</v>
      </c>
      <c r="BO194" s="32" t="s">
        <v>1225</v>
      </c>
      <c r="BP194" s="32" t="s">
        <v>1225</v>
      </c>
      <c r="BQ194" s="32" t="s">
        <v>1225</v>
      </c>
      <c r="BR194" s="32" t="s">
        <v>1225</v>
      </c>
      <c r="BS194" s="32" t="s">
        <v>1225</v>
      </c>
      <c r="BT194" s="32" t="s">
        <v>1225</v>
      </c>
      <c r="BU194" s="32" t="s">
        <v>1225</v>
      </c>
      <c r="BV194" s="32" t="s">
        <v>1225</v>
      </c>
      <c r="BW194" s="32" t="str">
        <f t="shared" ref="BW194:BW257" si="6">HYPERLINK("https%3A%2F%2Fwww.webofscience.com%2Fwos%2Fwoscc%2Ffull-record%2F","View Full Record in Web of Science")</f>
        <v>View Full Record in Web of Science</v>
      </c>
      <c r="BY194" s="41" t="str">
        <f>IF(Deletion!J194=TRUE,"Yes","No")</f>
        <v>Yes</v>
      </c>
    </row>
    <row r="195" spans="1:77" x14ac:dyDescent="0.15">
      <c r="A195" s="32">
        <f t="shared" si="5"/>
        <v>194</v>
      </c>
      <c r="D195" s="32" t="s">
        <v>1223</v>
      </c>
      <c r="E195" s="32" t="s">
        <v>2526</v>
      </c>
      <c r="F195" s="32" t="s">
        <v>1225</v>
      </c>
      <c r="G195" s="32" t="s">
        <v>1225</v>
      </c>
      <c r="H195" s="32" t="s">
        <v>1225</v>
      </c>
      <c r="I195" s="32" t="s">
        <v>2527</v>
      </c>
      <c r="J195" s="32" t="s">
        <v>1225</v>
      </c>
      <c r="K195" s="32" t="s">
        <v>1225</v>
      </c>
      <c r="L195" s="32" t="s">
        <v>2528</v>
      </c>
      <c r="M195" s="32" t="s">
        <v>1951</v>
      </c>
      <c r="N195" s="32" t="s">
        <v>1225</v>
      </c>
      <c r="O195" s="32" t="s">
        <v>1225</v>
      </c>
      <c r="P195" s="32" t="s">
        <v>1225</v>
      </c>
      <c r="Q195" s="32" t="s">
        <v>1227</v>
      </c>
      <c r="R195" s="32" t="s">
        <v>1225</v>
      </c>
      <c r="S195" s="32" t="s">
        <v>1225</v>
      </c>
      <c r="T195" s="32" t="s">
        <v>1225</v>
      </c>
      <c r="U195" s="32" t="s">
        <v>1225</v>
      </c>
      <c r="V195" s="32" t="s">
        <v>1225</v>
      </c>
      <c r="W195" s="32" t="s">
        <v>2529</v>
      </c>
      <c r="X195" s="32" t="s">
        <v>1225</v>
      </c>
      <c r="Y195" s="32" t="s">
        <v>2530</v>
      </c>
      <c r="Z195" s="32" t="s">
        <v>1225</v>
      </c>
      <c r="AA195" s="32" t="s">
        <v>1225</v>
      </c>
      <c r="AB195" s="32" t="s">
        <v>1225</v>
      </c>
      <c r="AC195" s="32" t="s">
        <v>1225</v>
      </c>
      <c r="AD195" s="32" t="s">
        <v>1225</v>
      </c>
      <c r="AE195" s="32" t="s">
        <v>1225</v>
      </c>
      <c r="AF195" s="32" t="s">
        <v>1225</v>
      </c>
      <c r="AG195" s="32" t="s">
        <v>1225</v>
      </c>
      <c r="AH195" s="32" t="s">
        <v>1225</v>
      </c>
      <c r="AI195" s="32" t="s">
        <v>1225</v>
      </c>
      <c r="AJ195" s="32" t="s">
        <v>1225</v>
      </c>
      <c r="AK195" s="32" t="s">
        <v>1225</v>
      </c>
      <c r="AL195" s="32" t="s">
        <v>1225</v>
      </c>
      <c r="AM195" s="32" t="s">
        <v>1225</v>
      </c>
      <c r="AN195" s="32" t="s">
        <v>1225</v>
      </c>
      <c r="AO195" s="32" t="s">
        <v>1225</v>
      </c>
      <c r="AP195" s="32" t="s">
        <v>1225</v>
      </c>
      <c r="AQ195" s="32" t="s">
        <v>1225</v>
      </c>
      <c r="AR195" s="32" t="s">
        <v>1225</v>
      </c>
      <c r="AS195" s="32" t="s">
        <v>1225</v>
      </c>
      <c r="AT195" s="32" t="s">
        <v>1225</v>
      </c>
      <c r="AU195" s="32" t="s">
        <v>1225</v>
      </c>
      <c r="AV195" s="32" t="s">
        <v>1225</v>
      </c>
      <c r="AW195" s="32" t="s">
        <v>1272</v>
      </c>
      <c r="AX195" s="32">
        <v>2020</v>
      </c>
      <c r="AY195" s="32">
        <v>5</v>
      </c>
      <c r="AZ195" s="32">
        <v>1</v>
      </c>
      <c r="BA195" s="32" t="s">
        <v>1225</v>
      </c>
      <c r="BB195" s="32" t="s">
        <v>1225</v>
      </c>
      <c r="BC195" s="32" t="s">
        <v>1225</v>
      </c>
      <c r="BD195" s="32" t="s">
        <v>1225</v>
      </c>
      <c r="BE195" s="32">
        <v>149</v>
      </c>
      <c r="BF195" s="32">
        <v>164</v>
      </c>
      <c r="BG195" s="32" t="s">
        <v>1225</v>
      </c>
      <c r="BH195" s="32" t="s">
        <v>2531</v>
      </c>
      <c r="BI195" s="32" t="str">
        <f>HYPERLINK("http://dx.doi.org/10.1109/TIV.2019.2955374","http://dx.doi.org/10.1109/TIV.2019.2955374")</f>
        <v>http://dx.doi.org/10.1109/TIV.2019.2955374</v>
      </c>
      <c r="BJ195" s="32" t="s">
        <v>1225</v>
      </c>
      <c r="BK195" s="32" t="s">
        <v>1225</v>
      </c>
      <c r="BL195" s="32" t="s">
        <v>1225</v>
      </c>
      <c r="BM195" s="32" t="s">
        <v>1225</v>
      </c>
      <c r="BN195" s="32" t="s">
        <v>1225</v>
      </c>
      <c r="BO195" s="32" t="s">
        <v>1225</v>
      </c>
      <c r="BP195" s="32" t="s">
        <v>1225</v>
      </c>
      <c r="BQ195" s="32" t="s">
        <v>1225</v>
      </c>
      <c r="BR195" s="32" t="s">
        <v>1225</v>
      </c>
      <c r="BS195" s="32" t="s">
        <v>1225</v>
      </c>
      <c r="BT195" s="32" t="s">
        <v>1225</v>
      </c>
      <c r="BU195" s="32" t="s">
        <v>1225</v>
      </c>
      <c r="BV195" s="32" t="s">
        <v>1225</v>
      </c>
      <c r="BW195" s="32" t="str">
        <f t="shared" si="6"/>
        <v>View Full Record in Web of Science</v>
      </c>
      <c r="BY195" s="41" t="str">
        <f>IF(Deletion!J195=TRUE,"Yes","No")</f>
        <v>Yes</v>
      </c>
    </row>
    <row r="196" spans="1:77" x14ac:dyDescent="0.15">
      <c r="A196" s="32">
        <f t="shared" si="5"/>
        <v>195</v>
      </c>
      <c r="D196" s="32" t="s">
        <v>1223</v>
      </c>
      <c r="E196" s="32" t="s">
        <v>2532</v>
      </c>
      <c r="F196" s="32" t="s">
        <v>1225</v>
      </c>
      <c r="G196" s="32" t="s">
        <v>1225</v>
      </c>
      <c r="H196" s="32" t="s">
        <v>1225</v>
      </c>
      <c r="I196" s="32" t="s">
        <v>2533</v>
      </c>
      <c r="J196" s="32" t="s">
        <v>1225</v>
      </c>
      <c r="K196" s="32" t="s">
        <v>1225</v>
      </c>
      <c r="L196" s="32" t="s">
        <v>2534</v>
      </c>
      <c r="M196" s="32" t="s">
        <v>1936</v>
      </c>
      <c r="N196" s="32" t="s">
        <v>1225</v>
      </c>
      <c r="O196" s="32" t="s">
        <v>1225</v>
      </c>
      <c r="P196" s="32" t="s">
        <v>1225</v>
      </c>
      <c r="Q196" s="32" t="s">
        <v>1227</v>
      </c>
      <c r="R196" s="32" t="s">
        <v>1225</v>
      </c>
      <c r="S196" s="32" t="s">
        <v>1225</v>
      </c>
      <c r="T196" s="32" t="s">
        <v>1225</v>
      </c>
      <c r="U196" s="32" t="s">
        <v>1225</v>
      </c>
      <c r="V196" s="32" t="s">
        <v>1225</v>
      </c>
      <c r="W196" s="32" t="s">
        <v>2535</v>
      </c>
      <c r="X196" s="32" t="s">
        <v>2536</v>
      </c>
      <c r="Y196" s="32" t="s">
        <v>2537</v>
      </c>
      <c r="Z196" s="32" t="s">
        <v>1225</v>
      </c>
      <c r="AA196" s="32" t="s">
        <v>1225</v>
      </c>
      <c r="AB196" s="32" t="s">
        <v>1225</v>
      </c>
      <c r="AC196" s="32" t="s">
        <v>1225</v>
      </c>
      <c r="AD196" s="32" t="s">
        <v>1225</v>
      </c>
      <c r="AE196" s="32" t="s">
        <v>1225</v>
      </c>
      <c r="AF196" s="32" t="s">
        <v>1225</v>
      </c>
      <c r="AG196" s="32" t="s">
        <v>1225</v>
      </c>
      <c r="AH196" s="32" t="s">
        <v>1225</v>
      </c>
      <c r="AI196" s="32" t="s">
        <v>1225</v>
      </c>
      <c r="AJ196" s="32" t="s">
        <v>1225</v>
      </c>
      <c r="AK196" s="32" t="s">
        <v>1225</v>
      </c>
      <c r="AL196" s="32" t="s">
        <v>1225</v>
      </c>
      <c r="AM196" s="32" t="s">
        <v>1225</v>
      </c>
      <c r="AN196" s="32" t="s">
        <v>1225</v>
      </c>
      <c r="AO196" s="32" t="s">
        <v>1225</v>
      </c>
      <c r="AP196" s="32" t="s">
        <v>1225</v>
      </c>
      <c r="AQ196" s="32" t="s">
        <v>1225</v>
      </c>
      <c r="AR196" s="32" t="s">
        <v>1225</v>
      </c>
      <c r="AS196" s="32" t="s">
        <v>1225</v>
      </c>
      <c r="AT196" s="32" t="s">
        <v>1225</v>
      </c>
      <c r="AU196" s="32" t="s">
        <v>1225</v>
      </c>
      <c r="AV196" s="32" t="s">
        <v>1225</v>
      </c>
      <c r="AW196" s="32" t="s">
        <v>1298</v>
      </c>
      <c r="AX196" s="32">
        <v>2019</v>
      </c>
      <c r="AY196" s="32">
        <v>82</v>
      </c>
      <c r="AZ196" s="32" t="s">
        <v>1225</v>
      </c>
      <c r="BA196" s="32" t="s">
        <v>1225</v>
      </c>
      <c r="BB196" s="32" t="s">
        <v>1225</v>
      </c>
      <c r="BC196" s="32" t="s">
        <v>1225</v>
      </c>
      <c r="BD196" s="32" t="s">
        <v>1225</v>
      </c>
      <c r="BE196" s="32" t="s">
        <v>1225</v>
      </c>
      <c r="BF196" s="32" t="s">
        <v>1225</v>
      </c>
      <c r="BG196" s="32">
        <v>105573</v>
      </c>
      <c r="BH196" s="32" t="s">
        <v>2538</v>
      </c>
      <c r="BI196" s="32" t="str">
        <f>HYPERLINK("http://dx.doi.org/10.1016/j.asoc.2019.105573","http://dx.doi.org/10.1016/j.asoc.2019.105573")</f>
        <v>http://dx.doi.org/10.1016/j.asoc.2019.105573</v>
      </c>
      <c r="BJ196" s="32" t="s">
        <v>1225</v>
      </c>
      <c r="BK196" s="32" t="s">
        <v>1225</v>
      </c>
      <c r="BL196" s="32" t="s">
        <v>1225</v>
      </c>
      <c r="BM196" s="32" t="s">
        <v>1225</v>
      </c>
      <c r="BN196" s="32" t="s">
        <v>1225</v>
      </c>
      <c r="BO196" s="32" t="s">
        <v>1225</v>
      </c>
      <c r="BP196" s="32" t="s">
        <v>1225</v>
      </c>
      <c r="BQ196" s="32" t="s">
        <v>1225</v>
      </c>
      <c r="BR196" s="32" t="s">
        <v>1225</v>
      </c>
      <c r="BS196" s="32" t="s">
        <v>1225</v>
      </c>
      <c r="BT196" s="32" t="s">
        <v>1225</v>
      </c>
      <c r="BU196" s="32" t="s">
        <v>1225</v>
      </c>
      <c r="BV196" s="32" t="s">
        <v>1225</v>
      </c>
      <c r="BW196" s="32" t="str">
        <f t="shared" si="6"/>
        <v>View Full Record in Web of Science</v>
      </c>
      <c r="BY196" s="41" t="str">
        <f>IF(Deletion!J196=TRUE,"Yes","No")</f>
        <v>Yes</v>
      </c>
    </row>
    <row r="197" spans="1:77" x14ac:dyDescent="0.15">
      <c r="A197" s="32">
        <f t="shared" ref="A197:A260" si="7">A196+1</f>
        <v>196</v>
      </c>
      <c r="D197" s="32" t="s">
        <v>1223</v>
      </c>
      <c r="E197" s="32" t="s">
        <v>2539</v>
      </c>
      <c r="F197" s="32" t="s">
        <v>1225</v>
      </c>
      <c r="G197" s="32" t="s">
        <v>1225</v>
      </c>
      <c r="H197" s="32" t="s">
        <v>1225</v>
      </c>
      <c r="I197" s="32" t="s">
        <v>2540</v>
      </c>
      <c r="J197" s="32" t="s">
        <v>1225</v>
      </c>
      <c r="K197" s="32" t="s">
        <v>1225</v>
      </c>
      <c r="L197" s="32" t="s">
        <v>2541</v>
      </c>
      <c r="M197" s="32" t="s">
        <v>89</v>
      </c>
      <c r="N197" s="32" t="s">
        <v>1225</v>
      </c>
      <c r="O197" s="32" t="s">
        <v>1225</v>
      </c>
      <c r="P197" s="32" t="s">
        <v>1225</v>
      </c>
      <c r="Q197" s="32" t="s">
        <v>1227</v>
      </c>
      <c r="R197" s="32" t="s">
        <v>1225</v>
      </c>
      <c r="S197" s="32" t="s">
        <v>1225</v>
      </c>
      <c r="T197" s="32" t="s">
        <v>1225</v>
      </c>
      <c r="U197" s="32" t="s">
        <v>1225</v>
      </c>
      <c r="V197" s="32" t="s">
        <v>1225</v>
      </c>
      <c r="W197" s="32" t="s">
        <v>2542</v>
      </c>
      <c r="X197" s="32" t="s">
        <v>2543</v>
      </c>
      <c r="Y197" s="32" t="s">
        <v>2544</v>
      </c>
      <c r="Z197" s="32" t="s">
        <v>1225</v>
      </c>
      <c r="AA197" s="32" t="s">
        <v>1225</v>
      </c>
      <c r="AB197" s="32" t="s">
        <v>1225</v>
      </c>
      <c r="AC197" s="32" t="s">
        <v>1225</v>
      </c>
      <c r="AD197" s="32" t="s">
        <v>1225</v>
      </c>
      <c r="AE197" s="32" t="s">
        <v>1225</v>
      </c>
      <c r="AF197" s="32" t="s">
        <v>1225</v>
      </c>
      <c r="AG197" s="32" t="s">
        <v>1225</v>
      </c>
      <c r="AH197" s="32" t="s">
        <v>1225</v>
      </c>
      <c r="AI197" s="32" t="s">
        <v>1225</v>
      </c>
      <c r="AJ197" s="32" t="s">
        <v>1225</v>
      </c>
      <c r="AK197" s="32" t="s">
        <v>1225</v>
      </c>
      <c r="AL197" s="32" t="s">
        <v>1225</v>
      </c>
      <c r="AM197" s="32" t="s">
        <v>1225</v>
      </c>
      <c r="AN197" s="32" t="s">
        <v>1225</v>
      </c>
      <c r="AO197" s="32" t="s">
        <v>1225</v>
      </c>
      <c r="AP197" s="32" t="s">
        <v>1225</v>
      </c>
      <c r="AQ197" s="32" t="s">
        <v>1225</v>
      </c>
      <c r="AR197" s="32" t="s">
        <v>1225</v>
      </c>
      <c r="AS197" s="32" t="s">
        <v>1225</v>
      </c>
      <c r="AT197" s="32" t="s">
        <v>1225</v>
      </c>
      <c r="AU197" s="32" t="s">
        <v>1225</v>
      </c>
      <c r="AV197" s="32" t="s">
        <v>1225</v>
      </c>
      <c r="AW197" s="32" t="s">
        <v>1272</v>
      </c>
      <c r="AX197" s="32">
        <v>2021</v>
      </c>
      <c r="AY197" s="32">
        <v>192</v>
      </c>
      <c r="AZ197" s="32" t="s">
        <v>1225</v>
      </c>
      <c r="BA197" s="32" t="s">
        <v>1225</v>
      </c>
      <c r="BB197" s="32" t="s">
        <v>1225</v>
      </c>
      <c r="BC197" s="32" t="s">
        <v>1225</v>
      </c>
      <c r="BD197" s="32" t="s">
        <v>1225</v>
      </c>
      <c r="BE197" s="32" t="s">
        <v>1225</v>
      </c>
      <c r="BF197" s="32" t="s">
        <v>1225</v>
      </c>
      <c r="BG197" s="32">
        <v>106935</v>
      </c>
      <c r="BH197" s="32" t="s">
        <v>2545</v>
      </c>
      <c r="BI197" s="32" t="str">
        <f>HYPERLINK("http://dx.doi.org/10.1016/j.epsr.2020.106935","http://dx.doi.org/10.1016/j.epsr.2020.106935")</f>
        <v>http://dx.doi.org/10.1016/j.epsr.2020.106935</v>
      </c>
      <c r="BJ197" s="32" t="s">
        <v>1225</v>
      </c>
      <c r="BK197" s="32" t="s">
        <v>1679</v>
      </c>
      <c r="BL197" s="32" t="s">
        <v>1225</v>
      </c>
      <c r="BM197" s="32" t="s">
        <v>1225</v>
      </c>
      <c r="BN197" s="32" t="s">
        <v>1225</v>
      </c>
      <c r="BO197" s="32" t="s">
        <v>1225</v>
      </c>
      <c r="BP197" s="32" t="s">
        <v>1225</v>
      </c>
      <c r="BQ197" s="32" t="s">
        <v>1225</v>
      </c>
      <c r="BR197" s="32" t="s">
        <v>1225</v>
      </c>
      <c r="BS197" s="32" t="s">
        <v>1225</v>
      </c>
      <c r="BT197" s="32" t="s">
        <v>1225</v>
      </c>
      <c r="BU197" s="32" t="s">
        <v>1225</v>
      </c>
      <c r="BV197" s="32" t="s">
        <v>1225</v>
      </c>
      <c r="BW197" s="32" t="str">
        <f t="shared" si="6"/>
        <v>View Full Record in Web of Science</v>
      </c>
      <c r="BY197" s="41" t="str">
        <f>IF(Deletion!J197=TRUE,"Yes","No")</f>
        <v>Yes</v>
      </c>
    </row>
    <row r="198" spans="1:77" x14ac:dyDescent="0.15">
      <c r="A198" s="38">
        <f t="shared" si="7"/>
        <v>197</v>
      </c>
      <c r="B198" s="38" t="s">
        <v>1413</v>
      </c>
      <c r="C198" s="38" t="s">
        <v>1413</v>
      </c>
      <c r="D198" s="38" t="s">
        <v>1223</v>
      </c>
      <c r="E198" s="38" t="s">
        <v>2546</v>
      </c>
      <c r="F198" s="32" t="s">
        <v>1225</v>
      </c>
      <c r="G198" s="32" t="s">
        <v>1225</v>
      </c>
      <c r="H198" s="32" t="s">
        <v>1225</v>
      </c>
      <c r="I198" s="38" t="s">
        <v>2547</v>
      </c>
      <c r="J198" s="32" t="s">
        <v>1225</v>
      </c>
      <c r="K198" s="32" t="s">
        <v>1225</v>
      </c>
      <c r="L198" s="38" t="s">
        <v>2548</v>
      </c>
      <c r="M198" s="38" t="s">
        <v>2549</v>
      </c>
      <c r="N198" s="32" t="s">
        <v>1225</v>
      </c>
      <c r="O198" s="32" t="s">
        <v>1225</v>
      </c>
      <c r="P198" s="32" t="s">
        <v>1225</v>
      </c>
      <c r="Q198" s="38" t="s">
        <v>1417</v>
      </c>
      <c r="R198" s="32" t="s">
        <v>1225</v>
      </c>
      <c r="S198" s="32" t="s">
        <v>1225</v>
      </c>
      <c r="T198" s="32" t="s">
        <v>1225</v>
      </c>
      <c r="U198" s="32" t="s">
        <v>1225</v>
      </c>
      <c r="V198" s="32" t="s">
        <v>1225</v>
      </c>
      <c r="W198" s="38" t="s">
        <v>2550</v>
      </c>
      <c r="X198" s="38" t="s">
        <v>2551</v>
      </c>
      <c r="Y198" s="38" t="s">
        <v>2552</v>
      </c>
      <c r="Z198" s="32" t="s">
        <v>1225</v>
      </c>
      <c r="AA198" s="32" t="s">
        <v>1225</v>
      </c>
      <c r="AB198" s="32" t="s">
        <v>1225</v>
      </c>
      <c r="AC198" s="32" t="s">
        <v>1225</v>
      </c>
      <c r="AD198" s="32" t="s">
        <v>1225</v>
      </c>
      <c r="AE198" s="32" t="s">
        <v>1225</v>
      </c>
      <c r="AF198" s="32" t="s">
        <v>1225</v>
      </c>
      <c r="AG198" s="32" t="s">
        <v>1225</v>
      </c>
      <c r="AH198" s="32" t="s">
        <v>1225</v>
      </c>
      <c r="AI198" s="32" t="s">
        <v>1225</v>
      </c>
      <c r="AJ198" s="32" t="s">
        <v>1225</v>
      </c>
      <c r="AK198" s="32" t="s">
        <v>1225</v>
      </c>
      <c r="AL198" s="32" t="s">
        <v>1225</v>
      </c>
      <c r="AM198" s="32" t="s">
        <v>1225</v>
      </c>
      <c r="AN198" s="32" t="s">
        <v>1225</v>
      </c>
      <c r="AO198" s="32" t="s">
        <v>1225</v>
      </c>
      <c r="AP198" s="32" t="s">
        <v>1225</v>
      </c>
      <c r="AQ198" s="32" t="s">
        <v>1225</v>
      </c>
      <c r="AR198" s="32" t="s">
        <v>1225</v>
      </c>
      <c r="AS198" s="32" t="s">
        <v>1225</v>
      </c>
      <c r="AT198" s="32" t="s">
        <v>1225</v>
      </c>
      <c r="AU198" s="32" t="s">
        <v>1225</v>
      </c>
      <c r="AV198" s="32" t="s">
        <v>1225</v>
      </c>
      <c r="AW198" s="38" t="s">
        <v>1239</v>
      </c>
      <c r="AX198" s="38">
        <v>2017</v>
      </c>
      <c r="AY198" s="32">
        <v>36</v>
      </c>
      <c r="AZ198" s="32">
        <v>4</v>
      </c>
      <c r="BA198" s="32" t="s">
        <v>1225</v>
      </c>
      <c r="BB198" s="32" t="s">
        <v>1225</v>
      </c>
      <c r="BC198" s="32" t="s">
        <v>1225</v>
      </c>
      <c r="BD198" s="32" t="s">
        <v>1225</v>
      </c>
      <c r="BE198" s="32">
        <v>982</v>
      </c>
      <c r="BF198" s="32">
        <v>988</v>
      </c>
      <c r="BG198" s="32" t="s">
        <v>1225</v>
      </c>
      <c r="BH198" s="38" t="s">
        <v>2553</v>
      </c>
      <c r="BI198" s="38" t="str">
        <f>HYPERLINK("http://dx.doi.org/10.1002/ep.12665","http://dx.doi.org/10.1002/ep.12665")</f>
        <v>http://dx.doi.org/10.1002/ep.12665</v>
      </c>
      <c r="BJ198" s="32" t="s">
        <v>1225</v>
      </c>
      <c r="BK198" s="32" t="s">
        <v>1225</v>
      </c>
      <c r="BL198" s="32" t="s">
        <v>1225</v>
      </c>
      <c r="BM198" s="32" t="s">
        <v>1225</v>
      </c>
      <c r="BN198" s="32" t="s">
        <v>1225</v>
      </c>
      <c r="BO198" s="32" t="s">
        <v>1225</v>
      </c>
      <c r="BP198" s="32" t="s">
        <v>1225</v>
      </c>
      <c r="BQ198" s="32" t="s">
        <v>1225</v>
      </c>
      <c r="BR198" s="32" t="s">
        <v>1225</v>
      </c>
      <c r="BS198" s="32" t="s">
        <v>1225</v>
      </c>
      <c r="BT198" s="32" t="s">
        <v>1225</v>
      </c>
      <c r="BU198" s="32" t="s">
        <v>1225</v>
      </c>
      <c r="BV198" s="32" t="s">
        <v>1225</v>
      </c>
      <c r="BW198" s="32" t="str">
        <f t="shared" si="6"/>
        <v>View Full Record in Web of Science</v>
      </c>
      <c r="BY198" s="41" t="str">
        <f>IF(Deletion!J198=TRUE,"Yes","No")</f>
        <v>No</v>
      </c>
    </row>
    <row r="199" spans="1:77" x14ac:dyDescent="0.15">
      <c r="A199" s="32">
        <f t="shared" si="7"/>
        <v>198</v>
      </c>
      <c r="D199" s="32" t="s">
        <v>1223</v>
      </c>
      <c r="E199" s="32" t="s">
        <v>2554</v>
      </c>
      <c r="F199" s="32" t="s">
        <v>1225</v>
      </c>
      <c r="G199" s="32" t="s">
        <v>1225</v>
      </c>
      <c r="H199" s="32" t="s">
        <v>1225</v>
      </c>
      <c r="I199" s="32" t="s">
        <v>2555</v>
      </c>
      <c r="J199" s="32" t="s">
        <v>1225</v>
      </c>
      <c r="K199" s="32" t="s">
        <v>1225</v>
      </c>
      <c r="L199" s="32" t="s">
        <v>2556</v>
      </c>
      <c r="M199" s="32" t="s">
        <v>553</v>
      </c>
      <c r="N199" s="32" t="s">
        <v>1225</v>
      </c>
      <c r="O199" s="32" t="s">
        <v>1225</v>
      </c>
      <c r="P199" s="32" t="s">
        <v>1225</v>
      </c>
      <c r="Q199" s="32" t="s">
        <v>1227</v>
      </c>
      <c r="R199" s="32" t="s">
        <v>1225</v>
      </c>
      <c r="S199" s="32" t="s">
        <v>1225</v>
      </c>
      <c r="T199" s="32" t="s">
        <v>1225</v>
      </c>
      <c r="U199" s="32" t="s">
        <v>1225</v>
      </c>
      <c r="V199" s="32" t="s">
        <v>1225</v>
      </c>
      <c r="W199" s="32" t="s">
        <v>2557</v>
      </c>
      <c r="X199" s="32" t="s">
        <v>2558</v>
      </c>
      <c r="Y199" s="32" t="s">
        <v>2559</v>
      </c>
      <c r="Z199" s="32" t="s">
        <v>1225</v>
      </c>
      <c r="AA199" s="32" t="s">
        <v>1225</v>
      </c>
      <c r="AB199" s="32" t="s">
        <v>1225</v>
      </c>
      <c r="AC199" s="32" t="s">
        <v>1225</v>
      </c>
      <c r="AD199" s="32" t="s">
        <v>1225</v>
      </c>
      <c r="AE199" s="32" t="s">
        <v>1225</v>
      </c>
      <c r="AF199" s="32" t="s">
        <v>1225</v>
      </c>
      <c r="AG199" s="32" t="s">
        <v>1225</v>
      </c>
      <c r="AH199" s="32" t="s">
        <v>1225</v>
      </c>
      <c r="AI199" s="32" t="s">
        <v>1225</v>
      </c>
      <c r="AJ199" s="32" t="s">
        <v>1225</v>
      </c>
      <c r="AK199" s="32" t="s">
        <v>1225</v>
      </c>
      <c r="AL199" s="32" t="s">
        <v>1225</v>
      </c>
      <c r="AM199" s="32" t="s">
        <v>1225</v>
      </c>
      <c r="AN199" s="32" t="s">
        <v>1225</v>
      </c>
      <c r="AO199" s="32" t="s">
        <v>1225</v>
      </c>
      <c r="AP199" s="32" t="s">
        <v>1225</v>
      </c>
      <c r="AQ199" s="32" t="s">
        <v>1225</v>
      </c>
      <c r="AR199" s="32" t="s">
        <v>1225</v>
      </c>
      <c r="AS199" s="32" t="s">
        <v>1225</v>
      </c>
      <c r="AT199" s="32" t="s">
        <v>1225</v>
      </c>
      <c r="AU199" s="32" t="s">
        <v>1225</v>
      </c>
      <c r="AV199" s="32" t="s">
        <v>1225</v>
      </c>
      <c r="AW199" s="32" t="s">
        <v>1356</v>
      </c>
      <c r="AX199" s="32">
        <v>2021</v>
      </c>
      <c r="AY199" s="32">
        <v>97</v>
      </c>
      <c r="AZ199" s="32" t="s">
        <v>1225</v>
      </c>
      <c r="BA199" s="32" t="s">
        <v>1225</v>
      </c>
      <c r="BB199" s="32" t="s">
        <v>1225</v>
      </c>
      <c r="BC199" s="32" t="s">
        <v>1225</v>
      </c>
      <c r="BD199" s="32" t="s">
        <v>1225</v>
      </c>
      <c r="BE199" s="32" t="s">
        <v>1225</v>
      </c>
      <c r="BF199" s="32" t="s">
        <v>1225</v>
      </c>
      <c r="BG199" s="32">
        <v>102894</v>
      </c>
      <c r="BH199" s="32" t="s">
        <v>2560</v>
      </c>
      <c r="BI199" s="32" t="str">
        <f>HYPERLINK("http://dx.doi.org/10.1016/j.trd.2021.102894","http://dx.doi.org/10.1016/j.trd.2021.102894")</f>
        <v>http://dx.doi.org/10.1016/j.trd.2021.102894</v>
      </c>
      <c r="BJ199" s="32" t="s">
        <v>1225</v>
      </c>
      <c r="BK199" s="32" t="s">
        <v>1553</v>
      </c>
      <c r="BL199" s="32" t="s">
        <v>1225</v>
      </c>
      <c r="BM199" s="32" t="s">
        <v>1225</v>
      </c>
      <c r="BN199" s="32" t="s">
        <v>1225</v>
      </c>
      <c r="BO199" s="32" t="s">
        <v>1225</v>
      </c>
      <c r="BP199" s="32" t="s">
        <v>1225</v>
      </c>
      <c r="BQ199" s="32" t="s">
        <v>1225</v>
      </c>
      <c r="BR199" s="32" t="s">
        <v>1225</v>
      </c>
      <c r="BS199" s="32" t="s">
        <v>1225</v>
      </c>
      <c r="BT199" s="32" t="s">
        <v>1225</v>
      </c>
      <c r="BU199" s="32" t="s">
        <v>1225</v>
      </c>
      <c r="BV199" s="32" t="s">
        <v>1225</v>
      </c>
      <c r="BW199" s="32" t="str">
        <f t="shared" si="6"/>
        <v>View Full Record in Web of Science</v>
      </c>
      <c r="BY199" s="41" t="str">
        <f>IF(Deletion!J199=TRUE,"Yes","No")</f>
        <v>Yes</v>
      </c>
    </row>
    <row r="200" spans="1:77" x14ac:dyDescent="0.15">
      <c r="A200" s="32">
        <f t="shared" si="7"/>
        <v>199</v>
      </c>
      <c r="D200" s="32" t="s">
        <v>1223</v>
      </c>
      <c r="E200" s="32" t="s">
        <v>2526</v>
      </c>
      <c r="F200" s="32" t="s">
        <v>1225</v>
      </c>
      <c r="G200" s="32" t="s">
        <v>1225</v>
      </c>
      <c r="H200" s="32" t="s">
        <v>1225</v>
      </c>
      <c r="I200" s="32" t="s">
        <v>2527</v>
      </c>
      <c r="J200" s="32" t="s">
        <v>1225</v>
      </c>
      <c r="K200" s="32" t="s">
        <v>1225</v>
      </c>
      <c r="L200" s="32" t="s">
        <v>2561</v>
      </c>
      <c r="M200" s="32" t="s">
        <v>114</v>
      </c>
      <c r="N200" s="32" t="s">
        <v>1225</v>
      </c>
      <c r="O200" s="32" t="s">
        <v>1225</v>
      </c>
      <c r="P200" s="32" t="s">
        <v>1225</v>
      </c>
      <c r="Q200" s="32" t="s">
        <v>1227</v>
      </c>
      <c r="R200" s="32" t="s">
        <v>1225</v>
      </c>
      <c r="S200" s="32" t="s">
        <v>1225</v>
      </c>
      <c r="T200" s="32" t="s">
        <v>1225</v>
      </c>
      <c r="U200" s="32" t="s">
        <v>1225</v>
      </c>
      <c r="V200" s="32" t="s">
        <v>1225</v>
      </c>
      <c r="W200" s="32" t="s">
        <v>2562</v>
      </c>
      <c r="X200" s="32" t="s">
        <v>1225</v>
      </c>
      <c r="Y200" s="32" t="s">
        <v>2563</v>
      </c>
      <c r="Z200" s="32" t="s">
        <v>1225</v>
      </c>
      <c r="AA200" s="32" t="s">
        <v>1225</v>
      </c>
      <c r="AB200" s="32" t="s">
        <v>1225</v>
      </c>
      <c r="AC200" s="32" t="s">
        <v>1225</v>
      </c>
      <c r="AD200" s="32" t="s">
        <v>1225</v>
      </c>
      <c r="AE200" s="32" t="s">
        <v>1225</v>
      </c>
      <c r="AF200" s="32" t="s">
        <v>1225</v>
      </c>
      <c r="AG200" s="32" t="s">
        <v>1225</v>
      </c>
      <c r="AH200" s="32" t="s">
        <v>1225</v>
      </c>
      <c r="AI200" s="32" t="s">
        <v>1225</v>
      </c>
      <c r="AJ200" s="32" t="s">
        <v>1225</v>
      </c>
      <c r="AK200" s="32" t="s">
        <v>1225</v>
      </c>
      <c r="AL200" s="32" t="s">
        <v>1225</v>
      </c>
      <c r="AM200" s="32" t="s">
        <v>1225</v>
      </c>
      <c r="AN200" s="32" t="s">
        <v>1225</v>
      </c>
      <c r="AO200" s="32" t="s">
        <v>1225</v>
      </c>
      <c r="AP200" s="32" t="s">
        <v>1225</v>
      </c>
      <c r="AQ200" s="32" t="s">
        <v>1225</v>
      </c>
      <c r="AR200" s="32" t="s">
        <v>1225</v>
      </c>
      <c r="AS200" s="32" t="s">
        <v>1225</v>
      </c>
      <c r="AT200" s="32" t="s">
        <v>1225</v>
      </c>
      <c r="AU200" s="32" t="s">
        <v>1225</v>
      </c>
      <c r="AV200" s="32" t="s">
        <v>1225</v>
      </c>
      <c r="AW200" s="32" t="s">
        <v>1239</v>
      </c>
      <c r="AX200" s="32">
        <v>2019</v>
      </c>
      <c r="AY200" s="32">
        <v>20</v>
      </c>
      <c r="AZ200" s="32">
        <v>7</v>
      </c>
      <c r="BA200" s="32" t="s">
        <v>1225</v>
      </c>
      <c r="BB200" s="32" t="s">
        <v>1225</v>
      </c>
      <c r="BC200" s="32" t="s">
        <v>1225</v>
      </c>
      <c r="BD200" s="32" t="s">
        <v>1225</v>
      </c>
      <c r="BE200" s="32">
        <v>2510</v>
      </c>
      <c r="BF200" s="32">
        <v>2522</v>
      </c>
      <c r="BG200" s="32" t="s">
        <v>1225</v>
      </c>
      <c r="BH200" s="32" t="s">
        <v>2564</v>
      </c>
      <c r="BI200" s="32" t="str">
        <f>HYPERLINK("http://dx.doi.org/10.1109/TITS.2018.2867519","http://dx.doi.org/10.1109/TITS.2018.2867519")</f>
        <v>http://dx.doi.org/10.1109/TITS.2018.2867519</v>
      </c>
      <c r="BJ200" s="32" t="s">
        <v>1225</v>
      </c>
      <c r="BK200" s="32" t="s">
        <v>1225</v>
      </c>
      <c r="BL200" s="32" t="s">
        <v>1225</v>
      </c>
      <c r="BM200" s="32" t="s">
        <v>1225</v>
      </c>
      <c r="BN200" s="32" t="s">
        <v>1225</v>
      </c>
      <c r="BO200" s="32" t="s">
        <v>1225</v>
      </c>
      <c r="BP200" s="32" t="s">
        <v>1225</v>
      </c>
      <c r="BQ200" s="32" t="s">
        <v>1225</v>
      </c>
      <c r="BR200" s="32" t="s">
        <v>1225</v>
      </c>
      <c r="BS200" s="32" t="s">
        <v>1225</v>
      </c>
      <c r="BT200" s="32" t="s">
        <v>1225</v>
      </c>
      <c r="BU200" s="32" t="s">
        <v>1225</v>
      </c>
      <c r="BV200" s="32" t="s">
        <v>1225</v>
      </c>
      <c r="BW200" s="32" t="str">
        <f t="shared" si="6"/>
        <v>View Full Record in Web of Science</v>
      </c>
      <c r="BY200" s="41" t="str">
        <f>IF(Deletion!J200=TRUE,"Yes","No")</f>
        <v>Yes</v>
      </c>
    </row>
    <row r="201" spans="1:77" x14ac:dyDescent="0.15">
      <c r="A201" s="34">
        <f t="shared" si="7"/>
        <v>200</v>
      </c>
      <c r="B201" s="34" t="s">
        <v>4</v>
      </c>
      <c r="C201" s="34" t="s">
        <v>4</v>
      </c>
      <c r="D201" s="34" t="s">
        <v>1223</v>
      </c>
      <c r="E201" s="34" t="s">
        <v>2565</v>
      </c>
      <c r="F201" s="32" t="s">
        <v>1225</v>
      </c>
      <c r="G201" s="32" t="s">
        <v>1225</v>
      </c>
      <c r="H201" s="32" t="s">
        <v>1225</v>
      </c>
      <c r="I201" s="34" t="s">
        <v>2566</v>
      </c>
      <c r="J201" s="32" t="s">
        <v>1225</v>
      </c>
      <c r="K201" s="32" t="s">
        <v>1225</v>
      </c>
      <c r="L201" s="34" t="s">
        <v>2567</v>
      </c>
      <c r="M201" s="34" t="s">
        <v>2568</v>
      </c>
      <c r="N201" s="32" t="s">
        <v>1225</v>
      </c>
      <c r="O201" s="32" t="s">
        <v>1225</v>
      </c>
      <c r="P201" s="32" t="s">
        <v>1225</v>
      </c>
      <c r="Q201" s="34" t="s">
        <v>1227</v>
      </c>
      <c r="R201" s="32" t="s">
        <v>1225</v>
      </c>
      <c r="S201" s="32" t="s">
        <v>1225</v>
      </c>
      <c r="T201" s="32" t="s">
        <v>1225</v>
      </c>
      <c r="U201" s="32" t="s">
        <v>1225</v>
      </c>
      <c r="V201" s="32" t="s">
        <v>1225</v>
      </c>
      <c r="W201" s="34" t="s">
        <v>2569</v>
      </c>
      <c r="X201" s="34" t="s">
        <v>2570</v>
      </c>
      <c r="Y201" s="34" t="s">
        <v>2571</v>
      </c>
      <c r="Z201" s="32" t="s">
        <v>1225</v>
      </c>
      <c r="AA201" s="32" t="s">
        <v>1225</v>
      </c>
      <c r="AB201" s="32" t="s">
        <v>1225</v>
      </c>
      <c r="AC201" s="32" t="s">
        <v>1225</v>
      </c>
      <c r="AD201" s="32" t="s">
        <v>1225</v>
      </c>
      <c r="AE201" s="32" t="s">
        <v>1225</v>
      </c>
      <c r="AF201" s="32" t="s">
        <v>1225</v>
      </c>
      <c r="AG201" s="32" t="s">
        <v>1225</v>
      </c>
      <c r="AH201" s="32" t="s">
        <v>1225</v>
      </c>
      <c r="AI201" s="32" t="s">
        <v>1225</v>
      </c>
      <c r="AJ201" s="32" t="s">
        <v>1225</v>
      </c>
      <c r="AK201" s="32" t="s">
        <v>1225</v>
      </c>
      <c r="AL201" s="32" t="s">
        <v>1225</v>
      </c>
      <c r="AM201" s="32" t="s">
        <v>1225</v>
      </c>
      <c r="AN201" s="32" t="s">
        <v>1225</v>
      </c>
      <c r="AO201" s="32" t="s">
        <v>1225</v>
      </c>
      <c r="AP201" s="32" t="s">
        <v>1225</v>
      </c>
      <c r="AQ201" s="32" t="s">
        <v>1225</v>
      </c>
      <c r="AR201" s="32" t="s">
        <v>1225</v>
      </c>
      <c r="AS201" s="32" t="s">
        <v>1225</v>
      </c>
      <c r="AT201" s="32" t="s">
        <v>1225</v>
      </c>
      <c r="AU201" s="32" t="s">
        <v>1225</v>
      </c>
      <c r="AV201" s="32" t="s">
        <v>1225</v>
      </c>
      <c r="AW201" s="34" t="s">
        <v>2572</v>
      </c>
      <c r="AX201" s="34">
        <v>2013</v>
      </c>
      <c r="AY201" s="32">
        <v>10</v>
      </c>
      <c r="AZ201" s="32">
        <v>9</v>
      </c>
      <c r="BA201" s="32" t="s">
        <v>1225</v>
      </c>
      <c r="BB201" s="32" t="s">
        <v>1225</v>
      </c>
      <c r="BC201" s="32" t="s">
        <v>1225</v>
      </c>
      <c r="BD201" s="32" t="s">
        <v>1225</v>
      </c>
      <c r="BE201" s="32">
        <v>924</v>
      </c>
      <c r="BF201" s="32">
        <v>943</v>
      </c>
      <c r="BG201" s="32" t="s">
        <v>1225</v>
      </c>
      <c r="BH201" s="34" t="s">
        <v>2573</v>
      </c>
      <c r="BI201" s="34" t="str">
        <f>HYPERLINK("http://dx.doi.org/10.1080/15435075.2012.727364","http://dx.doi.org/10.1080/15435075.2012.727364")</f>
        <v>http://dx.doi.org/10.1080/15435075.2012.727364</v>
      </c>
      <c r="BJ201" s="32" t="s">
        <v>1225</v>
      </c>
      <c r="BK201" s="32" t="s">
        <v>1225</v>
      </c>
      <c r="BL201" s="32" t="s">
        <v>1225</v>
      </c>
      <c r="BM201" s="32" t="s">
        <v>1225</v>
      </c>
      <c r="BN201" s="32" t="s">
        <v>1225</v>
      </c>
      <c r="BO201" s="32" t="s">
        <v>1225</v>
      </c>
      <c r="BP201" s="32" t="s">
        <v>1225</v>
      </c>
      <c r="BQ201" s="32" t="s">
        <v>1225</v>
      </c>
      <c r="BR201" s="32" t="s">
        <v>1225</v>
      </c>
      <c r="BS201" s="32" t="s">
        <v>1225</v>
      </c>
      <c r="BT201" s="32" t="s">
        <v>1225</v>
      </c>
      <c r="BU201" s="32" t="s">
        <v>1225</v>
      </c>
      <c r="BV201" s="32" t="s">
        <v>1225</v>
      </c>
      <c r="BW201" s="32" t="str">
        <f t="shared" si="6"/>
        <v>View Full Record in Web of Science</v>
      </c>
      <c r="BY201" s="41" t="str">
        <f>IF(Deletion!J201=TRUE,"Yes","No")</f>
        <v>No</v>
      </c>
    </row>
    <row r="202" spans="1:77" x14ac:dyDescent="0.15">
      <c r="A202" s="32">
        <f t="shared" si="7"/>
        <v>201</v>
      </c>
      <c r="D202" s="32" t="s">
        <v>1223</v>
      </c>
      <c r="E202" s="32" t="s">
        <v>2574</v>
      </c>
      <c r="F202" s="32" t="s">
        <v>1225</v>
      </c>
      <c r="G202" s="32" t="s">
        <v>1225</v>
      </c>
      <c r="H202" s="32" t="s">
        <v>1225</v>
      </c>
      <c r="I202" s="32" t="s">
        <v>2575</v>
      </c>
      <c r="J202" s="32" t="s">
        <v>1225</v>
      </c>
      <c r="K202" s="32" t="s">
        <v>1225</v>
      </c>
      <c r="L202" s="32" t="s">
        <v>2576</v>
      </c>
      <c r="M202" s="32" t="s">
        <v>114</v>
      </c>
      <c r="N202" s="32" t="s">
        <v>1225</v>
      </c>
      <c r="O202" s="32" t="s">
        <v>1225</v>
      </c>
      <c r="P202" s="32" t="s">
        <v>1225</v>
      </c>
      <c r="Q202" s="32" t="s">
        <v>1227</v>
      </c>
      <c r="R202" s="32" t="s">
        <v>1225</v>
      </c>
      <c r="S202" s="32" t="s">
        <v>1225</v>
      </c>
      <c r="T202" s="32" t="s">
        <v>1225</v>
      </c>
      <c r="U202" s="32" t="s">
        <v>1225</v>
      </c>
      <c r="V202" s="32" t="s">
        <v>1225</v>
      </c>
      <c r="W202" s="32" t="s">
        <v>2577</v>
      </c>
      <c r="X202" s="32" t="s">
        <v>2578</v>
      </c>
      <c r="Y202" s="32" t="s">
        <v>2579</v>
      </c>
      <c r="Z202" s="32" t="s">
        <v>1225</v>
      </c>
      <c r="AA202" s="32" t="s">
        <v>1225</v>
      </c>
      <c r="AB202" s="32" t="s">
        <v>1225</v>
      </c>
      <c r="AC202" s="32" t="s">
        <v>1225</v>
      </c>
      <c r="AD202" s="32" t="s">
        <v>1225</v>
      </c>
      <c r="AE202" s="32" t="s">
        <v>1225</v>
      </c>
      <c r="AF202" s="32" t="s">
        <v>1225</v>
      </c>
      <c r="AG202" s="32" t="s">
        <v>1225</v>
      </c>
      <c r="AH202" s="32" t="s">
        <v>1225</v>
      </c>
      <c r="AI202" s="32" t="s">
        <v>1225</v>
      </c>
      <c r="AJ202" s="32" t="s">
        <v>1225</v>
      </c>
      <c r="AK202" s="32" t="s">
        <v>1225</v>
      </c>
      <c r="AL202" s="32" t="s">
        <v>1225</v>
      </c>
      <c r="AM202" s="32" t="s">
        <v>1225</v>
      </c>
      <c r="AN202" s="32" t="s">
        <v>1225</v>
      </c>
      <c r="AO202" s="32" t="s">
        <v>1225</v>
      </c>
      <c r="AP202" s="32" t="s">
        <v>1225</v>
      </c>
      <c r="AQ202" s="32" t="s">
        <v>1225</v>
      </c>
      <c r="AR202" s="32" t="s">
        <v>1225</v>
      </c>
      <c r="AS202" s="32" t="s">
        <v>1225</v>
      </c>
      <c r="AT202" s="32" t="s">
        <v>1225</v>
      </c>
      <c r="AU202" s="32" t="s">
        <v>1225</v>
      </c>
      <c r="AV202" s="32" t="s">
        <v>1225</v>
      </c>
      <c r="AW202" s="32" t="s">
        <v>1285</v>
      </c>
      <c r="AX202" s="32">
        <v>2020</v>
      </c>
      <c r="AY202" s="32">
        <v>21</v>
      </c>
      <c r="AZ202" s="32">
        <v>5</v>
      </c>
      <c r="BA202" s="32" t="s">
        <v>1225</v>
      </c>
      <c r="BB202" s="32" t="s">
        <v>1225</v>
      </c>
      <c r="BC202" s="32" t="s">
        <v>1225</v>
      </c>
      <c r="BD202" s="32" t="s">
        <v>1225</v>
      </c>
      <c r="BE202" s="32">
        <v>2128</v>
      </c>
      <c r="BF202" s="32">
        <v>2138</v>
      </c>
      <c r="BG202" s="32" t="s">
        <v>1225</v>
      </c>
      <c r="BH202" s="32" t="s">
        <v>2580</v>
      </c>
      <c r="BI202" s="32" t="str">
        <f>HYPERLINK("http://dx.doi.org/10.1109/TITS.2019.2914087","http://dx.doi.org/10.1109/TITS.2019.2914087")</f>
        <v>http://dx.doi.org/10.1109/TITS.2019.2914087</v>
      </c>
      <c r="BJ202" s="32" t="s">
        <v>1225</v>
      </c>
      <c r="BK202" s="32" t="s">
        <v>1225</v>
      </c>
      <c r="BL202" s="32" t="s">
        <v>1225</v>
      </c>
      <c r="BM202" s="32" t="s">
        <v>1225</v>
      </c>
      <c r="BN202" s="32" t="s">
        <v>1225</v>
      </c>
      <c r="BO202" s="32" t="s">
        <v>1225</v>
      </c>
      <c r="BP202" s="32" t="s">
        <v>1225</v>
      </c>
      <c r="BQ202" s="32" t="s">
        <v>1225</v>
      </c>
      <c r="BR202" s="32" t="s">
        <v>1225</v>
      </c>
      <c r="BS202" s="32" t="s">
        <v>1225</v>
      </c>
      <c r="BT202" s="32" t="s">
        <v>1225</v>
      </c>
      <c r="BU202" s="32" t="s">
        <v>1225</v>
      </c>
      <c r="BV202" s="32" t="s">
        <v>1225</v>
      </c>
      <c r="BW202" s="32" t="str">
        <f t="shared" si="6"/>
        <v>View Full Record in Web of Science</v>
      </c>
      <c r="BY202" s="41" t="str">
        <f>IF(Deletion!J202=TRUE,"Yes","No")</f>
        <v>Yes</v>
      </c>
    </row>
    <row r="203" spans="1:77" x14ac:dyDescent="0.15">
      <c r="A203" s="32">
        <f t="shared" si="7"/>
        <v>202</v>
      </c>
      <c r="D203" s="32" t="s">
        <v>1223</v>
      </c>
      <c r="E203" s="32" t="s">
        <v>2581</v>
      </c>
      <c r="F203" s="32" t="s">
        <v>1225</v>
      </c>
      <c r="G203" s="32" t="s">
        <v>1225</v>
      </c>
      <c r="H203" s="32" t="s">
        <v>1225</v>
      </c>
      <c r="I203" s="32" t="s">
        <v>2582</v>
      </c>
      <c r="J203" s="32" t="s">
        <v>1225</v>
      </c>
      <c r="K203" s="32" t="s">
        <v>1225</v>
      </c>
      <c r="L203" s="32" t="s">
        <v>2583</v>
      </c>
      <c r="M203" s="32" t="s">
        <v>422</v>
      </c>
      <c r="N203" s="32" t="s">
        <v>1225</v>
      </c>
      <c r="O203" s="32" t="s">
        <v>1225</v>
      </c>
      <c r="P203" s="32" t="s">
        <v>1225</v>
      </c>
      <c r="Q203" s="32" t="s">
        <v>1227</v>
      </c>
      <c r="R203" s="32" t="s">
        <v>1225</v>
      </c>
      <c r="S203" s="32" t="s">
        <v>1225</v>
      </c>
      <c r="T203" s="32" t="s">
        <v>1225</v>
      </c>
      <c r="U203" s="32" t="s">
        <v>1225</v>
      </c>
      <c r="V203" s="32" t="s">
        <v>1225</v>
      </c>
      <c r="W203" s="32" t="s">
        <v>2584</v>
      </c>
      <c r="X203" s="32" t="s">
        <v>2585</v>
      </c>
      <c r="Y203" s="32" t="s">
        <v>2586</v>
      </c>
      <c r="Z203" s="32" t="s">
        <v>1225</v>
      </c>
      <c r="AA203" s="32" t="s">
        <v>1225</v>
      </c>
      <c r="AB203" s="32" t="s">
        <v>1225</v>
      </c>
      <c r="AC203" s="32" t="s">
        <v>1225</v>
      </c>
      <c r="AD203" s="32" t="s">
        <v>1225</v>
      </c>
      <c r="AE203" s="32" t="s">
        <v>1225</v>
      </c>
      <c r="AF203" s="32" t="s">
        <v>1225</v>
      </c>
      <c r="AG203" s="32" t="s">
        <v>1225</v>
      </c>
      <c r="AH203" s="32" t="s">
        <v>1225</v>
      </c>
      <c r="AI203" s="32" t="s">
        <v>1225</v>
      </c>
      <c r="AJ203" s="32" t="s">
        <v>1225</v>
      </c>
      <c r="AK203" s="32" t="s">
        <v>1225</v>
      </c>
      <c r="AL203" s="32" t="s">
        <v>1225</v>
      </c>
      <c r="AM203" s="32" t="s">
        <v>1225</v>
      </c>
      <c r="AN203" s="32" t="s">
        <v>1225</v>
      </c>
      <c r="AO203" s="32" t="s">
        <v>1225</v>
      </c>
      <c r="AP203" s="32" t="s">
        <v>1225</v>
      </c>
      <c r="AQ203" s="32" t="s">
        <v>1225</v>
      </c>
      <c r="AR203" s="32" t="s">
        <v>1225</v>
      </c>
      <c r="AS203" s="32" t="s">
        <v>1225</v>
      </c>
      <c r="AT203" s="32" t="s">
        <v>1225</v>
      </c>
      <c r="AU203" s="32" t="s">
        <v>1225</v>
      </c>
      <c r="AV203" s="32" t="s">
        <v>1225</v>
      </c>
      <c r="AW203" s="32" t="s">
        <v>1239</v>
      </c>
      <c r="AX203" s="32">
        <v>2017</v>
      </c>
      <c r="AY203" s="32">
        <v>10</v>
      </c>
      <c r="AZ203" s="32">
        <v>7</v>
      </c>
      <c r="BA203" s="32" t="s">
        <v>1225</v>
      </c>
      <c r="BB203" s="32" t="s">
        <v>1225</v>
      </c>
      <c r="BC203" s="32" t="s">
        <v>1225</v>
      </c>
      <c r="BD203" s="32" t="s">
        <v>1225</v>
      </c>
      <c r="BE203" s="32" t="s">
        <v>1225</v>
      </c>
      <c r="BF203" s="32" t="s">
        <v>1225</v>
      </c>
      <c r="BG203" s="32">
        <v>1024</v>
      </c>
      <c r="BH203" s="32" t="s">
        <v>2587</v>
      </c>
      <c r="BI203" s="32" t="str">
        <f>HYPERLINK("http://dx.doi.org/10.3390/en10071024","http://dx.doi.org/10.3390/en10071024")</f>
        <v>http://dx.doi.org/10.3390/en10071024</v>
      </c>
      <c r="BJ203" s="32" t="s">
        <v>1225</v>
      </c>
      <c r="BK203" s="32" t="s">
        <v>1225</v>
      </c>
      <c r="BL203" s="32" t="s">
        <v>1225</v>
      </c>
      <c r="BM203" s="32" t="s">
        <v>1225</v>
      </c>
      <c r="BN203" s="32" t="s">
        <v>1225</v>
      </c>
      <c r="BO203" s="32" t="s">
        <v>1225</v>
      </c>
      <c r="BP203" s="32" t="s">
        <v>1225</v>
      </c>
      <c r="BQ203" s="32" t="s">
        <v>1225</v>
      </c>
      <c r="BR203" s="32" t="s">
        <v>1225</v>
      </c>
      <c r="BS203" s="32" t="s">
        <v>1225</v>
      </c>
      <c r="BT203" s="32" t="s">
        <v>1225</v>
      </c>
      <c r="BU203" s="32" t="s">
        <v>1225</v>
      </c>
      <c r="BV203" s="32" t="s">
        <v>1225</v>
      </c>
      <c r="BW203" s="32" t="str">
        <f t="shared" si="6"/>
        <v>View Full Record in Web of Science</v>
      </c>
      <c r="BY203" s="41" t="str">
        <f>IF(Deletion!J203=TRUE,"Yes","No")</f>
        <v>Yes</v>
      </c>
    </row>
    <row r="204" spans="1:77" x14ac:dyDescent="0.15">
      <c r="A204" s="34">
        <f t="shared" si="7"/>
        <v>203</v>
      </c>
      <c r="B204" s="34" t="s">
        <v>4</v>
      </c>
      <c r="C204" s="34" t="s">
        <v>4</v>
      </c>
      <c r="D204" s="34" t="s">
        <v>1223</v>
      </c>
      <c r="E204" s="34" t="s">
        <v>1439</v>
      </c>
      <c r="F204" s="32" t="s">
        <v>1225</v>
      </c>
      <c r="G204" s="32" t="s">
        <v>1225</v>
      </c>
      <c r="H204" s="32" t="s">
        <v>1225</v>
      </c>
      <c r="I204" s="34" t="s">
        <v>301</v>
      </c>
      <c r="J204" s="32" t="s">
        <v>1225</v>
      </c>
      <c r="K204" s="32" t="s">
        <v>1225</v>
      </c>
      <c r="L204" s="34" t="s">
        <v>2588</v>
      </c>
      <c r="M204" s="34" t="s">
        <v>2589</v>
      </c>
      <c r="N204" s="32" t="s">
        <v>1225</v>
      </c>
      <c r="O204" s="32" t="s">
        <v>1225</v>
      </c>
      <c r="P204" s="32" t="s">
        <v>1225</v>
      </c>
      <c r="Q204" s="34" t="s">
        <v>1227</v>
      </c>
      <c r="R204" s="32" t="s">
        <v>1225</v>
      </c>
      <c r="S204" s="32" t="s">
        <v>1225</v>
      </c>
      <c r="T204" s="32" t="s">
        <v>1225</v>
      </c>
      <c r="U204" s="32" t="s">
        <v>1225</v>
      </c>
      <c r="V204" s="32" t="s">
        <v>1225</v>
      </c>
      <c r="W204" s="34" t="s">
        <v>2590</v>
      </c>
      <c r="X204" s="34" t="s">
        <v>2591</v>
      </c>
      <c r="Y204" s="34" t="s">
        <v>2592</v>
      </c>
      <c r="Z204" s="32" t="s">
        <v>1225</v>
      </c>
      <c r="AA204" s="32" t="s">
        <v>1225</v>
      </c>
      <c r="AB204" s="32" t="s">
        <v>1225</v>
      </c>
      <c r="AC204" s="32" t="s">
        <v>1225</v>
      </c>
      <c r="AD204" s="32" t="s">
        <v>1225</v>
      </c>
      <c r="AE204" s="32" t="s">
        <v>1225</v>
      </c>
      <c r="AF204" s="32" t="s">
        <v>1225</v>
      </c>
      <c r="AG204" s="32" t="s">
        <v>1225</v>
      </c>
      <c r="AH204" s="32" t="s">
        <v>1225</v>
      </c>
      <c r="AI204" s="32" t="s">
        <v>1225</v>
      </c>
      <c r="AJ204" s="32" t="s">
        <v>1225</v>
      </c>
      <c r="AK204" s="32" t="s">
        <v>1225</v>
      </c>
      <c r="AL204" s="32" t="s">
        <v>1225</v>
      </c>
      <c r="AM204" s="32" t="s">
        <v>1225</v>
      </c>
      <c r="AN204" s="32" t="s">
        <v>1225</v>
      </c>
      <c r="AO204" s="32" t="s">
        <v>1225</v>
      </c>
      <c r="AP204" s="32" t="s">
        <v>1225</v>
      </c>
      <c r="AQ204" s="32" t="s">
        <v>1225</v>
      </c>
      <c r="AR204" s="32" t="s">
        <v>1225</v>
      </c>
      <c r="AS204" s="32" t="s">
        <v>1225</v>
      </c>
      <c r="AT204" s="32" t="s">
        <v>1225</v>
      </c>
      <c r="AU204" s="32" t="s">
        <v>1225</v>
      </c>
      <c r="AV204" s="32" t="s">
        <v>1225</v>
      </c>
      <c r="AW204" s="34" t="s">
        <v>1726</v>
      </c>
      <c r="AX204" s="34">
        <v>2017</v>
      </c>
      <c r="AY204" s="32">
        <v>4</v>
      </c>
      <c r="AZ204" s="32">
        <v>2</v>
      </c>
      <c r="BA204" s="32" t="s">
        <v>1225</v>
      </c>
      <c r="BB204" s="32" t="s">
        <v>1225</v>
      </c>
      <c r="BC204" s="32" t="s">
        <v>1225</v>
      </c>
      <c r="BD204" s="32" t="s">
        <v>1225</v>
      </c>
      <c r="BE204" s="32">
        <v>191</v>
      </c>
      <c r="BF204" s="32">
        <v>197</v>
      </c>
      <c r="BG204" s="32" t="s">
        <v>1225</v>
      </c>
      <c r="BH204" s="34" t="s">
        <v>2593</v>
      </c>
      <c r="BI204" s="34" t="str">
        <f>HYPERLINK("http://dx.doi.org/10.1007/s40684-017-0024-z","http://dx.doi.org/10.1007/s40684-017-0024-z")</f>
        <v>http://dx.doi.org/10.1007/s40684-017-0024-z</v>
      </c>
      <c r="BJ204" s="32" t="s">
        <v>1225</v>
      </c>
      <c r="BK204" s="32" t="s">
        <v>1225</v>
      </c>
      <c r="BL204" s="32" t="s">
        <v>1225</v>
      </c>
      <c r="BM204" s="32" t="s">
        <v>1225</v>
      </c>
      <c r="BN204" s="32" t="s">
        <v>1225</v>
      </c>
      <c r="BO204" s="32" t="s">
        <v>1225</v>
      </c>
      <c r="BP204" s="32" t="s">
        <v>1225</v>
      </c>
      <c r="BQ204" s="32" t="s">
        <v>1225</v>
      </c>
      <c r="BR204" s="32" t="s">
        <v>1225</v>
      </c>
      <c r="BS204" s="32" t="s">
        <v>1225</v>
      </c>
      <c r="BT204" s="32" t="s">
        <v>1225</v>
      </c>
      <c r="BU204" s="32" t="s">
        <v>1225</v>
      </c>
      <c r="BV204" s="32" t="s">
        <v>1225</v>
      </c>
      <c r="BW204" s="32" t="str">
        <f t="shared" si="6"/>
        <v>View Full Record in Web of Science</v>
      </c>
      <c r="BY204" s="41" t="str">
        <f>IF(Deletion!J204=TRUE,"Yes","No")</f>
        <v>No</v>
      </c>
    </row>
    <row r="205" spans="1:77" x14ac:dyDescent="0.15">
      <c r="A205" s="34">
        <f t="shared" si="7"/>
        <v>204</v>
      </c>
      <c r="B205" s="34" t="s">
        <v>4</v>
      </c>
      <c r="C205" s="34" t="s">
        <v>4</v>
      </c>
      <c r="D205" s="34" t="s">
        <v>1223</v>
      </c>
      <c r="E205" s="34" t="s">
        <v>2594</v>
      </c>
      <c r="F205" s="32" t="s">
        <v>1225</v>
      </c>
      <c r="G205" s="32" t="s">
        <v>1225</v>
      </c>
      <c r="H205" s="32" t="s">
        <v>1225</v>
      </c>
      <c r="I205" s="34" t="s">
        <v>2595</v>
      </c>
      <c r="J205" s="32" t="s">
        <v>1225</v>
      </c>
      <c r="K205" s="32" t="s">
        <v>1225</v>
      </c>
      <c r="L205" s="34" t="s">
        <v>2596</v>
      </c>
      <c r="M205" s="34" t="s">
        <v>2597</v>
      </c>
      <c r="N205" s="32" t="s">
        <v>1225</v>
      </c>
      <c r="O205" s="32" t="s">
        <v>1225</v>
      </c>
      <c r="P205" s="32" t="s">
        <v>1225</v>
      </c>
      <c r="Q205" s="34" t="s">
        <v>1227</v>
      </c>
      <c r="R205" s="32" t="s">
        <v>1225</v>
      </c>
      <c r="S205" s="32" t="s">
        <v>1225</v>
      </c>
      <c r="T205" s="32" t="s">
        <v>1225</v>
      </c>
      <c r="U205" s="32" t="s">
        <v>1225</v>
      </c>
      <c r="V205" s="32" t="s">
        <v>1225</v>
      </c>
      <c r="W205" s="34" t="s">
        <v>2598</v>
      </c>
      <c r="X205" s="34" t="s">
        <v>1225</v>
      </c>
      <c r="Y205" s="34" t="s">
        <v>2599</v>
      </c>
      <c r="Z205" s="32" t="s">
        <v>1225</v>
      </c>
      <c r="AA205" s="32" t="s">
        <v>1225</v>
      </c>
      <c r="AB205" s="32" t="s">
        <v>1225</v>
      </c>
      <c r="AC205" s="32" t="s">
        <v>1225</v>
      </c>
      <c r="AD205" s="32" t="s">
        <v>1225</v>
      </c>
      <c r="AE205" s="32" t="s">
        <v>1225</v>
      </c>
      <c r="AF205" s="32" t="s">
        <v>1225</v>
      </c>
      <c r="AG205" s="32" t="s">
        <v>1225</v>
      </c>
      <c r="AH205" s="32" t="s">
        <v>1225</v>
      </c>
      <c r="AI205" s="32" t="s">
        <v>1225</v>
      </c>
      <c r="AJ205" s="32" t="s">
        <v>1225</v>
      </c>
      <c r="AK205" s="32" t="s">
        <v>1225</v>
      </c>
      <c r="AL205" s="32" t="s">
        <v>1225</v>
      </c>
      <c r="AM205" s="32" t="s">
        <v>1225</v>
      </c>
      <c r="AN205" s="32" t="s">
        <v>1225</v>
      </c>
      <c r="AO205" s="32" t="s">
        <v>1225</v>
      </c>
      <c r="AP205" s="32" t="s">
        <v>1225</v>
      </c>
      <c r="AQ205" s="32" t="s">
        <v>1225</v>
      </c>
      <c r="AR205" s="32" t="s">
        <v>1225</v>
      </c>
      <c r="AS205" s="32" t="s">
        <v>1225</v>
      </c>
      <c r="AT205" s="32" t="s">
        <v>1225</v>
      </c>
      <c r="AU205" s="32" t="s">
        <v>1225</v>
      </c>
      <c r="AV205" s="32" t="s">
        <v>1225</v>
      </c>
      <c r="AW205" s="34" t="s">
        <v>1393</v>
      </c>
      <c r="AX205" s="34">
        <v>2014</v>
      </c>
      <c r="AY205" s="32">
        <v>5</v>
      </c>
      <c r="AZ205" s="32">
        <v>3</v>
      </c>
      <c r="BA205" s="32" t="s">
        <v>1225</v>
      </c>
      <c r="BB205" s="32" t="s">
        <v>1225</v>
      </c>
      <c r="BC205" s="32" t="s">
        <v>1225</v>
      </c>
      <c r="BD205" s="32" t="s">
        <v>1225</v>
      </c>
      <c r="BE205" s="32" t="s">
        <v>1225</v>
      </c>
      <c r="BF205" s="32" t="s">
        <v>1225</v>
      </c>
      <c r="BG205" s="32">
        <v>42</v>
      </c>
      <c r="BH205" s="34" t="s">
        <v>2600</v>
      </c>
      <c r="BI205" s="34" t="str">
        <f>HYPERLINK("http://dx.doi.org/10.1145/2513567","http://dx.doi.org/10.1145/2513567")</f>
        <v>http://dx.doi.org/10.1145/2513567</v>
      </c>
      <c r="BJ205" s="32" t="s">
        <v>1225</v>
      </c>
      <c r="BK205" s="32" t="s">
        <v>1225</v>
      </c>
      <c r="BL205" s="32" t="s">
        <v>1225</v>
      </c>
      <c r="BM205" s="32" t="s">
        <v>1225</v>
      </c>
      <c r="BN205" s="32" t="s">
        <v>1225</v>
      </c>
      <c r="BO205" s="32" t="s">
        <v>1225</v>
      </c>
      <c r="BP205" s="32" t="s">
        <v>1225</v>
      </c>
      <c r="BQ205" s="32" t="s">
        <v>1225</v>
      </c>
      <c r="BR205" s="32" t="s">
        <v>1225</v>
      </c>
      <c r="BS205" s="32" t="s">
        <v>1225</v>
      </c>
      <c r="BT205" s="32" t="s">
        <v>1225</v>
      </c>
      <c r="BU205" s="32" t="s">
        <v>1225</v>
      </c>
      <c r="BV205" s="32" t="s">
        <v>1225</v>
      </c>
      <c r="BW205" s="32" t="str">
        <f t="shared" si="6"/>
        <v>View Full Record in Web of Science</v>
      </c>
      <c r="BY205" s="41" t="str">
        <f>IF(Deletion!J205=TRUE,"Yes","No")</f>
        <v>No</v>
      </c>
    </row>
    <row r="206" spans="1:77" x14ac:dyDescent="0.15">
      <c r="A206" s="32">
        <f t="shared" si="7"/>
        <v>205</v>
      </c>
      <c r="D206" s="32" t="s">
        <v>1223</v>
      </c>
      <c r="E206" s="32" t="s">
        <v>2601</v>
      </c>
      <c r="F206" s="32" t="s">
        <v>1225</v>
      </c>
      <c r="G206" s="32" t="s">
        <v>1225</v>
      </c>
      <c r="H206" s="32" t="s">
        <v>1225</v>
      </c>
      <c r="I206" s="32" t="s">
        <v>2602</v>
      </c>
      <c r="J206" s="32" t="s">
        <v>1225</v>
      </c>
      <c r="K206" s="32" t="s">
        <v>1225</v>
      </c>
      <c r="L206" s="32" t="s">
        <v>2603</v>
      </c>
      <c r="M206" s="32" t="s">
        <v>1372</v>
      </c>
      <c r="N206" s="32" t="s">
        <v>1225</v>
      </c>
      <c r="O206" s="32" t="s">
        <v>1225</v>
      </c>
      <c r="P206" s="32" t="s">
        <v>1225</v>
      </c>
      <c r="Q206" s="32" t="s">
        <v>1227</v>
      </c>
      <c r="R206" s="32" t="s">
        <v>1225</v>
      </c>
      <c r="S206" s="32" t="s">
        <v>1225</v>
      </c>
      <c r="T206" s="32" t="s">
        <v>1225</v>
      </c>
      <c r="U206" s="32" t="s">
        <v>1225</v>
      </c>
      <c r="V206" s="32" t="s">
        <v>1225</v>
      </c>
      <c r="W206" s="32" t="s">
        <v>2604</v>
      </c>
      <c r="X206" s="32" t="s">
        <v>2605</v>
      </c>
      <c r="Y206" s="32" t="s">
        <v>2606</v>
      </c>
      <c r="Z206" s="32" t="s">
        <v>1225</v>
      </c>
      <c r="AA206" s="32" t="s">
        <v>1225</v>
      </c>
      <c r="AB206" s="32" t="s">
        <v>1225</v>
      </c>
      <c r="AC206" s="32" t="s">
        <v>1225</v>
      </c>
      <c r="AD206" s="32" t="s">
        <v>1225</v>
      </c>
      <c r="AE206" s="32" t="s">
        <v>1225</v>
      </c>
      <c r="AF206" s="32" t="s">
        <v>1225</v>
      </c>
      <c r="AG206" s="32" t="s">
        <v>1225</v>
      </c>
      <c r="AH206" s="32" t="s">
        <v>1225</v>
      </c>
      <c r="AI206" s="32" t="s">
        <v>1225</v>
      </c>
      <c r="AJ206" s="32" t="s">
        <v>1225</v>
      </c>
      <c r="AK206" s="32" t="s">
        <v>1225</v>
      </c>
      <c r="AL206" s="32" t="s">
        <v>1225</v>
      </c>
      <c r="AM206" s="32" t="s">
        <v>1225</v>
      </c>
      <c r="AN206" s="32" t="s">
        <v>1225</v>
      </c>
      <c r="AO206" s="32" t="s">
        <v>1225</v>
      </c>
      <c r="AP206" s="32" t="s">
        <v>1225</v>
      </c>
      <c r="AQ206" s="32" t="s">
        <v>1225</v>
      </c>
      <c r="AR206" s="32" t="s">
        <v>1225</v>
      </c>
      <c r="AS206" s="32" t="s">
        <v>1225</v>
      </c>
      <c r="AT206" s="32" t="s">
        <v>1225</v>
      </c>
      <c r="AU206" s="32" t="s">
        <v>1225</v>
      </c>
      <c r="AV206" s="32" t="s">
        <v>1225</v>
      </c>
      <c r="AW206" s="32" t="s">
        <v>1285</v>
      </c>
      <c r="AX206" s="32">
        <v>2020</v>
      </c>
      <c r="AY206" s="32">
        <v>9</v>
      </c>
      <c r="AZ206" s="32">
        <v>5</v>
      </c>
      <c r="BA206" s="32" t="s">
        <v>1225</v>
      </c>
      <c r="BB206" s="32" t="s">
        <v>1225</v>
      </c>
      <c r="BC206" s="32" t="s">
        <v>1225</v>
      </c>
      <c r="BD206" s="32" t="s">
        <v>1225</v>
      </c>
      <c r="BE206" s="32" t="s">
        <v>1225</v>
      </c>
      <c r="BF206" s="32" t="s">
        <v>1225</v>
      </c>
      <c r="BG206" s="32">
        <v>770</v>
      </c>
      <c r="BH206" s="32" t="s">
        <v>2607</v>
      </c>
      <c r="BI206" s="32" t="str">
        <f>HYPERLINK("http://dx.doi.org/10.3390/electronics9050770","http://dx.doi.org/10.3390/electronics9050770")</f>
        <v>http://dx.doi.org/10.3390/electronics9050770</v>
      </c>
      <c r="BJ206" s="32" t="s">
        <v>1225</v>
      </c>
      <c r="BK206" s="32" t="s">
        <v>1225</v>
      </c>
      <c r="BL206" s="32" t="s">
        <v>1225</v>
      </c>
      <c r="BM206" s="32" t="s">
        <v>1225</v>
      </c>
      <c r="BN206" s="32" t="s">
        <v>1225</v>
      </c>
      <c r="BO206" s="32" t="s">
        <v>1225</v>
      </c>
      <c r="BP206" s="32" t="s">
        <v>1225</v>
      </c>
      <c r="BQ206" s="32" t="s">
        <v>1225</v>
      </c>
      <c r="BR206" s="32" t="s">
        <v>1225</v>
      </c>
      <c r="BS206" s="32" t="s">
        <v>1225</v>
      </c>
      <c r="BT206" s="32" t="s">
        <v>1225</v>
      </c>
      <c r="BU206" s="32" t="s">
        <v>1225</v>
      </c>
      <c r="BV206" s="32" t="s">
        <v>1225</v>
      </c>
      <c r="BW206" s="32" t="str">
        <f t="shared" si="6"/>
        <v>View Full Record in Web of Science</v>
      </c>
      <c r="BY206" s="41" t="str">
        <f>IF(Deletion!J206=TRUE,"Yes","No")</f>
        <v>Yes</v>
      </c>
    </row>
    <row r="207" spans="1:77" x14ac:dyDescent="0.15">
      <c r="A207" s="32">
        <f t="shared" si="7"/>
        <v>206</v>
      </c>
      <c r="D207" s="32" t="s">
        <v>1223</v>
      </c>
      <c r="E207" s="32" t="s">
        <v>2608</v>
      </c>
      <c r="F207" s="32" t="s">
        <v>1225</v>
      </c>
      <c r="G207" s="32" t="s">
        <v>1225</v>
      </c>
      <c r="H207" s="32" t="s">
        <v>1225</v>
      </c>
      <c r="I207" s="32" t="s">
        <v>2609</v>
      </c>
      <c r="J207" s="32" t="s">
        <v>1225</v>
      </c>
      <c r="K207" s="32" t="s">
        <v>1225</v>
      </c>
      <c r="L207" s="32" t="s">
        <v>2610</v>
      </c>
      <c r="M207" s="32" t="s">
        <v>328</v>
      </c>
      <c r="N207" s="32" t="s">
        <v>1225</v>
      </c>
      <c r="O207" s="32" t="s">
        <v>1225</v>
      </c>
      <c r="P207" s="32" t="s">
        <v>1225</v>
      </c>
      <c r="Q207" s="32" t="s">
        <v>1227</v>
      </c>
      <c r="R207" s="32" t="s">
        <v>1225</v>
      </c>
      <c r="S207" s="32" t="s">
        <v>1225</v>
      </c>
      <c r="T207" s="32" t="s">
        <v>1225</v>
      </c>
      <c r="U207" s="32" t="s">
        <v>1225</v>
      </c>
      <c r="V207" s="32" t="s">
        <v>1225</v>
      </c>
      <c r="W207" s="32" t="s">
        <v>2611</v>
      </c>
      <c r="X207" s="32" t="s">
        <v>1225</v>
      </c>
      <c r="Y207" s="32" t="s">
        <v>2612</v>
      </c>
      <c r="Z207" s="32" t="s">
        <v>1225</v>
      </c>
      <c r="AA207" s="32" t="s">
        <v>1225</v>
      </c>
      <c r="AB207" s="32" t="s">
        <v>1225</v>
      </c>
      <c r="AC207" s="32" t="s">
        <v>1225</v>
      </c>
      <c r="AD207" s="32" t="s">
        <v>1225</v>
      </c>
      <c r="AE207" s="32" t="s">
        <v>1225</v>
      </c>
      <c r="AF207" s="32" t="s">
        <v>1225</v>
      </c>
      <c r="AG207" s="32" t="s">
        <v>1225</v>
      </c>
      <c r="AH207" s="32" t="s">
        <v>1225</v>
      </c>
      <c r="AI207" s="32" t="s">
        <v>1225</v>
      </c>
      <c r="AJ207" s="32" t="s">
        <v>1225</v>
      </c>
      <c r="AK207" s="32" t="s">
        <v>1225</v>
      </c>
      <c r="AL207" s="32" t="s">
        <v>1225</v>
      </c>
      <c r="AM207" s="32" t="s">
        <v>1225</v>
      </c>
      <c r="AN207" s="32" t="s">
        <v>1225</v>
      </c>
      <c r="AO207" s="32" t="s">
        <v>1225</v>
      </c>
      <c r="AP207" s="32" t="s">
        <v>1225</v>
      </c>
      <c r="AQ207" s="32" t="s">
        <v>1225</v>
      </c>
      <c r="AR207" s="32" t="s">
        <v>1225</v>
      </c>
      <c r="AS207" s="32" t="s">
        <v>1225</v>
      </c>
      <c r="AT207" s="32" t="s">
        <v>1225</v>
      </c>
      <c r="AU207" s="32" t="s">
        <v>1225</v>
      </c>
      <c r="AV207" s="32" t="s">
        <v>1225</v>
      </c>
      <c r="AW207" s="32" t="s">
        <v>1461</v>
      </c>
      <c r="AX207" s="32">
        <v>2017</v>
      </c>
      <c r="AY207" s="32" t="s">
        <v>1225</v>
      </c>
      <c r="AZ207" s="32" t="s">
        <v>1225</v>
      </c>
      <c r="BA207" s="32" t="s">
        <v>1225</v>
      </c>
      <c r="BB207" s="32" t="s">
        <v>1225</v>
      </c>
      <c r="BC207" s="32" t="s">
        <v>1225</v>
      </c>
      <c r="BD207" s="32" t="s">
        <v>1225</v>
      </c>
      <c r="BE207" s="32" t="s">
        <v>1225</v>
      </c>
      <c r="BF207" s="32" t="s">
        <v>1225</v>
      </c>
      <c r="BG207" s="32" t="s">
        <v>1225</v>
      </c>
      <c r="BH207" s="32" t="s">
        <v>1225</v>
      </c>
      <c r="BI207" s="32" t="s">
        <v>1225</v>
      </c>
      <c r="BJ207" s="32" t="s">
        <v>1225</v>
      </c>
      <c r="BK207" s="32" t="s">
        <v>1225</v>
      </c>
      <c r="BL207" s="32" t="s">
        <v>1225</v>
      </c>
      <c r="BM207" s="32" t="s">
        <v>1225</v>
      </c>
      <c r="BN207" s="32" t="s">
        <v>1225</v>
      </c>
      <c r="BO207" s="32" t="s">
        <v>1225</v>
      </c>
      <c r="BP207" s="32" t="s">
        <v>1225</v>
      </c>
      <c r="BQ207" s="32" t="s">
        <v>1225</v>
      </c>
      <c r="BR207" s="32" t="s">
        <v>1225</v>
      </c>
      <c r="BS207" s="32" t="s">
        <v>1225</v>
      </c>
      <c r="BT207" s="32" t="s">
        <v>1225</v>
      </c>
      <c r="BU207" s="32" t="s">
        <v>1225</v>
      </c>
      <c r="BV207" s="32" t="s">
        <v>1225</v>
      </c>
      <c r="BW207" s="32" t="str">
        <f t="shared" si="6"/>
        <v>View Full Record in Web of Science</v>
      </c>
      <c r="BY207" s="41" t="str">
        <f>IF(Deletion!J207=TRUE,"Yes","No")</f>
        <v>Yes</v>
      </c>
    </row>
    <row r="208" spans="1:77" x14ac:dyDescent="0.15">
      <c r="A208" s="32">
        <f t="shared" si="7"/>
        <v>207</v>
      </c>
      <c r="D208" s="32" t="s">
        <v>1223</v>
      </c>
      <c r="E208" s="32" t="s">
        <v>2613</v>
      </c>
      <c r="F208" s="32" t="s">
        <v>1225</v>
      </c>
      <c r="G208" s="32" t="s">
        <v>1225</v>
      </c>
      <c r="H208" s="32" t="s">
        <v>1225</v>
      </c>
      <c r="I208" s="32" t="s">
        <v>2614</v>
      </c>
      <c r="J208" s="32" t="s">
        <v>1225</v>
      </c>
      <c r="K208" s="32" t="s">
        <v>1225</v>
      </c>
      <c r="L208" s="32" t="s">
        <v>2615</v>
      </c>
      <c r="M208" s="32" t="s">
        <v>1430</v>
      </c>
      <c r="N208" s="32" t="s">
        <v>1225</v>
      </c>
      <c r="O208" s="32" t="s">
        <v>1225</v>
      </c>
      <c r="P208" s="32" t="s">
        <v>1225</v>
      </c>
      <c r="Q208" s="32" t="s">
        <v>1227</v>
      </c>
      <c r="R208" s="32" t="s">
        <v>1225</v>
      </c>
      <c r="S208" s="32" t="s">
        <v>1225</v>
      </c>
      <c r="T208" s="32" t="s">
        <v>1225</v>
      </c>
      <c r="U208" s="32" t="s">
        <v>1225</v>
      </c>
      <c r="V208" s="32" t="s">
        <v>1225</v>
      </c>
      <c r="W208" s="32" t="s">
        <v>2616</v>
      </c>
      <c r="X208" s="32" t="s">
        <v>2617</v>
      </c>
      <c r="Y208" s="32" t="s">
        <v>2618</v>
      </c>
      <c r="Z208" s="32" t="s">
        <v>1225</v>
      </c>
      <c r="AA208" s="32" t="s">
        <v>1225</v>
      </c>
      <c r="AB208" s="32" t="s">
        <v>1225</v>
      </c>
      <c r="AC208" s="32" t="s">
        <v>1225</v>
      </c>
      <c r="AD208" s="32" t="s">
        <v>1225</v>
      </c>
      <c r="AE208" s="32" t="s">
        <v>1225</v>
      </c>
      <c r="AF208" s="32" t="s">
        <v>1225</v>
      </c>
      <c r="AG208" s="32" t="s">
        <v>1225</v>
      </c>
      <c r="AH208" s="32" t="s">
        <v>1225</v>
      </c>
      <c r="AI208" s="32" t="s">
        <v>1225</v>
      </c>
      <c r="AJ208" s="32" t="s">
        <v>1225</v>
      </c>
      <c r="AK208" s="32" t="s">
        <v>1225</v>
      </c>
      <c r="AL208" s="32" t="s">
        <v>1225</v>
      </c>
      <c r="AM208" s="32" t="s">
        <v>1225</v>
      </c>
      <c r="AN208" s="32" t="s">
        <v>1225</v>
      </c>
      <c r="AO208" s="32" t="s">
        <v>1225</v>
      </c>
      <c r="AP208" s="32" t="s">
        <v>1225</v>
      </c>
      <c r="AQ208" s="32" t="s">
        <v>1225</v>
      </c>
      <c r="AR208" s="32" t="s">
        <v>1225</v>
      </c>
      <c r="AS208" s="32" t="s">
        <v>1225</v>
      </c>
      <c r="AT208" s="32" t="s">
        <v>1225</v>
      </c>
      <c r="AU208" s="32" t="s">
        <v>1225</v>
      </c>
      <c r="AV208" s="32" t="s">
        <v>1225</v>
      </c>
      <c r="AW208" s="32" t="s">
        <v>1285</v>
      </c>
      <c r="AX208" s="32">
        <v>2020</v>
      </c>
      <c r="AY208" s="32">
        <v>114</v>
      </c>
      <c r="AZ208" s="32" t="s">
        <v>1225</v>
      </c>
      <c r="BA208" s="32" t="s">
        <v>1225</v>
      </c>
      <c r="BB208" s="32" t="s">
        <v>1225</v>
      </c>
      <c r="BC208" s="32" t="s">
        <v>1225</v>
      </c>
      <c r="BD208" s="32" t="s">
        <v>1225</v>
      </c>
      <c r="BE208" s="32">
        <v>118</v>
      </c>
      <c r="BF208" s="32">
        <v>139</v>
      </c>
      <c r="BG208" s="32" t="s">
        <v>1225</v>
      </c>
      <c r="BH208" s="32" t="s">
        <v>2619</v>
      </c>
      <c r="BI208" s="32" t="str">
        <f>HYPERLINK("http://dx.doi.org/10.1016/j.trc.2020.02.009","http://dx.doi.org/10.1016/j.trc.2020.02.009")</f>
        <v>http://dx.doi.org/10.1016/j.trc.2020.02.009</v>
      </c>
      <c r="BJ208" s="32" t="s">
        <v>1225</v>
      </c>
      <c r="BK208" s="32" t="s">
        <v>1225</v>
      </c>
      <c r="BL208" s="32" t="s">
        <v>1225</v>
      </c>
      <c r="BM208" s="32" t="s">
        <v>1225</v>
      </c>
      <c r="BN208" s="32" t="s">
        <v>1225</v>
      </c>
      <c r="BO208" s="32" t="s">
        <v>1225</v>
      </c>
      <c r="BP208" s="32" t="s">
        <v>1225</v>
      </c>
      <c r="BQ208" s="32" t="s">
        <v>1225</v>
      </c>
      <c r="BR208" s="32" t="s">
        <v>1225</v>
      </c>
      <c r="BS208" s="32" t="s">
        <v>1225</v>
      </c>
      <c r="BT208" s="32" t="s">
        <v>1225</v>
      </c>
      <c r="BU208" s="32" t="s">
        <v>1225</v>
      </c>
      <c r="BV208" s="32" t="s">
        <v>1225</v>
      </c>
      <c r="BW208" s="32" t="str">
        <f t="shared" si="6"/>
        <v>View Full Record in Web of Science</v>
      </c>
      <c r="BY208" s="41" t="str">
        <f>IF(Deletion!J208=TRUE,"Yes","No")</f>
        <v>Yes</v>
      </c>
    </row>
    <row r="209" spans="1:77" x14ac:dyDescent="0.15">
      <c r="A209" s="32">
        <f t="shared" si="7"/>
        <v>208</v>
      </c>
      <c r="D209" s="32" t="s">
        <v>1223</v>
      </c>
      <c r="E209" s="32" t="s">
        <v>2620</v>
      </c>
      <c r="F209" s="32" t="s">
        <v>1225</v>
      </c>
      <c r="G209" s="32" t="s">
        <v>1225</v>
      </c>
      <c r="H209" s="32" t="s">
        <v>1225</v>
      </c>
      <c r="I209" s="32" t="s">
        <v>2621</v>
      </c>
      <c r="J209" s="32" t="s">
        <v>1225</v>
      </c>
      <c r="K209" s="32" t="s">
        <v>1225</v>
      </c>
      <c r="L209" s="32" t="s">
        <v>2622</v>
      </c>
      <c r="M209" s="32" t="s">
        <v>97</v>
      </c>
      <c r="N209" s="32" t="s">
        <v>1225</v>
      </c>
      <c r="O209" s="32" t="s">
        <v>1225</v>
      </c>
      <c r="P209" s="32" t="s">
        <v>1225</v>
      </c>
      <c r="Q209" s="32" t="s">
        <v>1227</v>
      </c>
      <c r="R209" s="32" t="s">
        <v>1225</v>
      </c>
      <c r="S209" s="32" t="s">
        <v>1225</v>
      </c>
      <c r="T209" s="32" t="s">
        <v>1225</v>
      </c>
      <c r="U209" s="32" t="s">
        <v>1225</v>
      </c>
      <c r="V209" s="32" t="s">
        <v>1225</v>
      </c>
      <c r="W209" s="32" t="s">
        <v>2623</v>
      </c>
      <c r="X209" s="32" t="s">
        <v>2624</v>
      </c>
      <c r="Y209" s="32" t="s">
        <v>2625</v>
      </c>
      <c r="Z209" s="32" t="s">
        <v>1225</v>
      </c>
      <c r="AA209" s="32" t="s">
        <v>1225</v>
      </c>
      <c r="AB209" s="32" t="s">
        <v>1225</v>
      </c>
      <c r="AC209" s="32" t="s">
        <v>1225</v>
      </c>
      <c r="AD209" s="32" t="s">
        <v>1225</v>
      </c>
      <c r="AE209" s="32" t="s">
        <v>1225</v>
      </c>
      <c r="AF209" s="32" t="s">
        <v>1225</v>
      </c>
      <c r="AG209" s="32" t="s">
        <v>1225</v>
      </c>
      <c r="AH209" s="32" t="s">
        <v>1225</v>
      </c>
      <c r="AI209" s="32" t="s">
        <v>1225</v>
      </c>
      <c r="AJ209" s="32" t="s">
        <v>1225</v>
      </c>
      <c r="AK209" s="32" t="s">
        <v>1225</v>
      </c>
      <c r="AL209" s="32" t="s">
        <v>1225</v>
      </c>
      <c r="AM209" s="32" t="s">
        <v>1225</v>
      </c>
      <c r="AN209" s="32" t="s">
        <v>1225</v>
      </c>
      <c r="AO209" s="32" t="s">
        <v>1225</v>
      </c>
      <c r="AP209" s="32" t="s">
        <v>1225</v>
      </c>
      <c r="AQ209" s="32" t="s">
        <v>1225</v>
      </c>
      <c r="AR209" s="32" t="s">
        <v>1225</v>
      </c>
      <c r="AS209" s="32" t="s">
        <v>1225</v>
      </c>
      <c r="AT209" s="32" t="s">
        <v>1225</v>
      </c>
      <c r="AU209" s="32" t="s">
        <v>1225</v>
      </c>
      <c r="AV209" s="32" t="s">
        <v>1225</v>
      </c>
      <c r="AW209" s="32" t="s">
        <v>2484</v>
      </c>
      <c r="AX209" s="32">
        <v>2021</v>
      </c>
      <c r="AY209" s="32">
        <v>290</v>
      </c>
      <c r="AZ209" s="32" t="s">
        <v>1225</v>
      </c>
      <c r="BA209" s="32" t="s">
        <v>1225</v>
      </c>
      <c r="BB209" s="32" t="s">
        <v>1225</v>
      </c>
      <c r="BC209" s="32" t="s">
        <v>1225</v>
      </c>
      <c r="BD209" s="32" t="s">
        <v>1225</v>
      </c>
      <c r="BE209" s="32" t="s">
        <v>1225</v>
      </c>
      <c r="BF209" s="32" t="s">
        <v>1225</v>
      </c>
      <c r="BG209" s="32">
        <v>116717</v>
      </c>
      <c r="BH209" s="32" t="s">
        <v>2626</v>
      </c>
      <c r="BI209" s="32" t="str">
        <f>HYPERLINK("http://dx.doi.org/10.1016/j.apenergy.2021.116717","http://dx.doi.org/10.1016/j.apenergy.2021.116717")</f>
        <v>http://dx.doi.org/10.1016/j.apenergy.2021.116717</v>
      </c>
      <c r="BJ209" s="32" t="s">
        <v>1225</v>
      </c>
      <c r="BK209" s="32" t="s">
        <v>2627</v>
      </c>
      <c r="BL209" s="32" t="s">
        <v>1225</v>
      </c>
      <c r="BM209" s="32" t="s">
        <v>1225</v>
      </c>
      <c r="BN209" s="32" t="s">
        <v>1225</v>
      </c>
      <c r="BO209" s="32" t="s">
        <v>1225</v>
      </c>
      <c r="BP209" s="32" t="s">
        <v>1225</v>
      </c>
      <c r="BQ209" s="32" t="s">
        <v>1225</v>
      </c>
      <c r="BR209" s="32" t="s">
        <v>1225</v>
      </c>
      <c r="BS209" s="32" t="s">
        <v>1225</v>
      </c>
      <c r="BT209" s="32" t="s">
        <v>1225</v>
      </c>
      <c r="BU209" s="32" t="s">
        <v>1225</v>
      </c>
      <c r="BV209" s="32" t="s">
        <v>1225</v>
      </c>
      <c r="BW209" s="32" t="str">
        <f t="shared" si="6"/>
        <v>View Full Record in Web of Science</v>
      </c>
      <c r="BY209" s="41" t="str">
        <f>IF(Deletion!J209=TRUE,"Yes","No")</f>
        <v>Yes</v>
      </c>
    </row>
    <row r="210" spans="1:77" x14ac:dyDescent="0.15">
      <c r="A210" s="32">
        <f t="shared" si="7"/>
        <v>209</v>
      </c>
      <c r="D210" s="32" t="s">
        <v>1223</v>
      </c>
      <c r="E210" s="32" t="s">
        <v>2628</v>
      </c>
      <c r="F210" s="32" t="s">
        <v>1225</v>
      </c>
      <c r="G210" s="32" t="s">
        <v>1225</v>
      </c>
      <c r="H210" s="32" t="s">
        <v>1225</v>
      </c>
      <c r="I210" s="32" t="s">
        <v>2629</v>
      </c>
      <c r="J210" s="32" t="s">
        <v>1225</v>
      </c>
      <c r="K210" s="32" t="s">
        <v>1225</v>
      </c>
      <c r="L210" s="32" t="s">
        <v>2630</v>
      </c>
      <c r="M210" s="32" t="s">
        <v>97</v>
      </c>
      <c r="N210" s="32" t="s">
        <v>1225</v>
      </c>
      <c r="O210" s="32" t="s">
        <v>1225</v>
      </c>
      <c r="P210" s="32" t="s">
        <v>1225</v>
      </c>
      <c r="Q210" s="32" t="s">
        <v>1227</v>
      </c>
      <c r="R210" s="32" t="s">
        <v>1225</v>
      </c>
      <c r="S210" s="32" t="s">
        <v>1225</v>
      </c>
      <c r="T210" s="32" t="s">
        <v>1225</v>
      </c>
      <c r="U210" s="32" t="s">
        <v>1225</v>
      </c>
      <c r="V210" s="32" t="s">
        <v>1225</v>
      </c>
      <c r="W210" s="32" t="s">
        <v>2631</v>
      </c>
      <c r="X210" s="32" t="s">
        <v>2632</v>
      </c>
      <c r="Y210" s="32" t="s">
        <v>2633</v>
      </c>
      <c r="Z210" s="32" t="s">
        <v>1225</v>
      </c>
      <c r="AA210" s="32" t="s">
        <v>1225</v>
      </c>
      <c r="AB210" s="32" t="s">
        <v>1225</v>
      </c>
      <c r="AC210" s="32" t="s">
        <v>1225</v>
      </c>
      <c r="AD210" s="32" t="s">
        <v>1225</v>
      </c>
      <c r="AE210" s="32" t="s">
        <v>1225</v>
      </c>
      <c r="AF210" s="32" t="s">
        <v>1225</v>
      </c>
      <c r="AG210" s="32" t="s">
        <v>1225</v>
      </c>
      <c r="AH210" s="32" t="s">
        <v>1225</v>
      </c>
      <c r="AI210" s="32" t="s">
        <v>1225</v>
      </c>
      <c r="AJ210" s="32" t="s">
        <v>1225</v>
      </c>
      <c r="AK210" s="32" t="s">
        <v>1225</v>
      </c>
      <c r="AL210" s="32" t="s">
        <v>1225</v>
      </c>
      <c r="AM210" s="32" t="s">
        <v>1225</v>
      </c>
      <c r="AN210" s="32" t="s">
        <v>1225</v>
      </c>
      <c r="AO210" s="32" t="s">
        <v>1225</v>
      </c>
      <c r="AP210" s="32" t="s">
        <v>1225</v>
      </c>
      <c r="AQ210" s="32" t="s">
        <v>1225</v>
      </c>
      <c r="AR210" s="32" t="s">
        <v>1225</v>
      </c>
      <c r="AS210" s="32" t="s">
        <v>1225</v>
      </c>
      <c r="AT210" s="32" t="s">
        <v>1225</v>
      </c>
      <c r="AU210" s="32" t="s">
        <v>1225</v>
      </c>
      <c r="AV210" s="32" t="s">
        <v>1225</v>
      </c>
      <c r="AW210" s="32" t="s">
        <v>2634</v>
      </c>
      <c r="AX210" s="32">
        <v>2022</v>
      </c>
      <c r="AY210" s="32">
        <v>307</v>
      </c>
      <c r="AZ210" s="32" t="s">
        <v>1225</v>
      </c>
      <c r="BA210" s="32" t="s">
        <v>1225</v>
      </c>
      <c r="BB210" s="32" t="s">
        <v>1225</v>
      </c>
      <c r="BC210" s="32" t="s">
        <v>1225</v>
      </c>
      <c r="BD210" s="32" t="s">
        <v>1225</v>
      </c>
      <c r="BE210" s="32" t="s">
        <v>1225</v>
      </c>
      <c r="BF210" s="32" t="s">
        <v>1225</v>
      </c>
      <c r="BG210" s="32">
        <v>118139</v>
      </c>
      <c r="BH210" s="32" t="s">
        <v>2635</v>
      </c>
      <c r="BI210" s="32" t="str">
        <f>HYPERLINK("http://dx.doi.org/10.1016/j.apenergy.2021.118139","http://dx.doi.org/10.1016/j.apenergy.2021.118139")</f>
        <v>http://dx.doi.org/10.1016/j.apenergy.2021.118139</v>
      </c>
      <c r="BJ210" s="32" t="s">
        <v>1225</v>
      </c>
      <c r="BK210" s="32" t="s">
        <v>1225</v>
      </c>
      <c r="BL210" s="32" t="s">
        <v>1225</v>
      </c>
      <c r="BM210" s="32" t="s">
        <v>1225</v>
      </c>
      <c r="BN210" s="32" t="s">
        <v>1225</v>
      </c>
      <c r="BO210" s="32" t="s">
        <v>1225</v>
      </c>
      <c r="BP210" s="32" t="s">
        <v>1225</v>
      </c>
      <c r="BQ210" s="32" t="s">
        <v>1225</v>
      </c>
      <c r="BR210" s="32" t="s">
        <v>1225</v>
      </c>
      <c r="BS210" s="32" t="s">
        <v>1225</v>
      </c>
      <c r="BT210" s="32" t="s">
        <v>1225</v>
      </c>
      <c r="BU210" s="32" t="s">
        <v>1225</v>
      </c>
      <c r="BV210" s="32" t="s">
        <v>1225</v>
      </c>
      <c r="BW210" s="32" t="str">
        <f t="shared" si="6"/>
        <v>View Full Record in Web of Science</v>
      </c>
      <c r="BY210" s="41" t="str">
        <f>IF(Deletion!J210=TRUE,"Yes","No")</f>
        <v>Yes</v>
      </c>
    </row>
    <row r="211" spans="1:77" x14ac:dyDescent="0.15">
      <c r="A211" s="32">
        <f t="shared" si="7"/>
        <v>210</v>
      </c>
      <c r="D211" s="32" t="s">
        <v>1223</v>
      </c>
      <c r="E211" s="32" t="s">
        <v>2636</v>
      </c>
      <c r="F211" s="32" t="s">
        <v>1225</v>
      </c>
      <c r="G211" s="32" t="s">
        <v>1225</v>
      </c>
      <c r="H211" s="32" t="s">
        <v>1225</v>
      </c>
      <c r="I211" s="32" t="s">
        <v>2637</v>
      </c>
      <c r="J211" s="32" t="s">
        <v>1225</v>
      </c>
      <c r="K211" s="32" t="s">
        <v>1225</v>
      </c>
      <c r="L211" s="32" t="s">
        <v>2638</v>
      </c>
      <c r="M211" s="32" t="s">
        <v>502</v>
      </c>
      <c r="N211" s="32" t="s">
        <v>1225</v>
      </c>
      <c r="O211" s="32" t="s">
        <v>1225</v>
      </c>
      <c r="P211" s="32" t="s">
        <v>1225</v>
      </c>
      <c r="Q211" s="32" t="s">
        <v>1227</v>
      </c>
      <c r="R211" s="32" t="s">
        <v>1225</v>
      </c>
      <c r="S211" s="32" t="s">
        <v>1225</v>
      </c>
      <c r="T211" s="32" t="s">
        <v>1225</v>
      </c>
      <c r="U211" s="32" t="s">
        <v>1225</v>
      </c>
      <c r="V211" s="32" t="s">
        <v>1225</v>
      </c>
      <c r="W211" s="32" t="s">
        <v>2639</v>
      </c>
      <c r="X211" s="32" t="s">
        <v>2640</v>
      </c>
      <c r="Y211" s="32" t="s">
        <v>2641</v>
      </c>
      <c r="Z211" s="32" t="s">
        <v>1225</v>
      </c>
      <c r="AA211" s="32" t="s">
        <v>1225</v>
      </c>
      <c r="AB211" s="32" t="s">
        <v>1225</v>
      </c>
      <c r="AC211" s="32" t="s">
        <v>1225</v>
      </c>
      <c r="AD211" s="32" t="s">
        <v>1225</v>
      </c>
      <c r="AE211" s="32" t="s">
        <v>1225</v>
      </c>
      <c r="AF211" s="32" t="s">
        <v>1225</v>
      </c>
      <c r="AG211" s="32" t="s">
        <v>1225</v>
      </c>
      <c r="AH211" s="32" t="s">
        <v>1225</v>
      </c>
      <c r="AI211" s="32" t="s">
        <v>1225</v>
      </c>
      <c r="AJ211" s="32" t="s">
        <v>1225</v>
      </c>
      <c r="AK211" s="32" t="s">
        <v>1225</v>
      </c>
      <c r="AL211" s="32" t="s">
        <v>1225</v>
      </c>
      <c r="AM211" s="32" t="s">
        <v>1225</v>
      </c>
      <c r="AN211" s="32" t="s">
        <v>1225</v>
      </c>
      <c r="AO211" s="32" t="s">
        <v>1225</v>
      </c>
      <c r="AP211" s="32" t="s">
        <v>1225</v>
      </c>
      <c r="AQ211" s="32" t="s">
        <v>1225</v>
      </c>
      <c r="AR211" s="32" t="s">
        <v>1225</v>
      </c>
      <c r="AS211" s="32" t="s">
        <v>1225</v>
      </c>
      <c r="AT211" s="32" t="s">
        <v>1225</v>
      </c>
      <c r="AU211" s="32" t="s">
        <v>1225</v>
      </c>
      <c r="AV211" s="32" t="s">
        <v>1225</v>
      </c>
      <c r="AW211" s="32" t="s">
        <v>2642</v>
      </c>
      <c r="AX211" s="32">
        <v>2022</v>
      </c>
      <c r="AY211" s="32">
        <v>254</v>
      </c>
      <c r="AZ211" s="32" t="s">
        <v>1225</v>
      </c>
      <c r="BA211" s="32" t="s">
        <v>2643</v>
      </c>
      <c r="BB211" s="32" t="s">
        <v>1225</v>
      </c>
      <c r="BC211" s="32" t="s">
        <v>1225</v>
      </c>
      <c r="BD211" s="32" t="s">
        <v>1225</v>
      </c>
      <c r="BE211" s="32" t="s">
        <v>1225</v>
      </c>
      <c r="BF211" s="32" t="s">
        <v>1225</v>
      </c>
      <c r="BG211" s="32">
        <v>124346</v>
      </c>
      <c r="BH211" s="32" t="s">
        <v>2644</v>
      </c>
      <c r="BI211" s="32" t="str">
        <f>HYPERLINK("http://dx.doi.org/10.1016/j.energy.2022.124346","http://dx.doi.org/10.1016/j.energy.2022.124346")</f>
        <v>http://dx.doi.org/10.1016/j.energy.2022.124346</v>
      </c>
      <c r="BJ211" s="32" t="s">
        <v>1225</v>
      </c>
      <c r="BK211" s="32" t="s">
        <v>1225</v>
      </c>
      <c r="BL211" s="32" t="s">
        <v>1225</v>
      </c>
      <c r="BM211" s="32" t="s">
        <v>1225</v>
      </c>
      <c r="BN211" s="32" t="s">
        <v>1225</v>
      </c>
      <c r="BO211" s="32" t="s">
        <v>1225</v>
      </c>
      <c r="BP211" s="32" t="s">
        <v>1225</v>
      </c>
      <c r="BQ211" s="32" t="s">
        <v>1225</v>
      </c>
      <c r="BR211" s="32" t="s">
        <v>1225</v>
      </c>
      <c r="BS211" s="32" t="s">
        <v>1225</v>
      </c>
      <c r="BT211" s="32" t="s">
        <v>1225</v>
      </c>
      <c r="BU211" s="32" t="s">
        <v>1225</v>
      </c>
      <c r="BV211" s="32" t="s">
        <v>1225</v>
      </c>
      <c r="BW211" s="32" t="str">
        <f t="shared" si="6"/>
        <v>View Full Record in Web of Science</v>
      </c>
      <c r="BY211" s="41" t="str">
        <f>IF(Deletion!J211=TRUE,"Yes","No")</f>
        <v>Yes</v>
      </c>
    </row>
    <row r="212" spans="1:77" x14ac:dyDescent="0.15">
      <c r="A212" s="34">
        <f t="shared" si="7"/>
        <v>211</v>
      </c>
      <c r="B212" s="34" t="s">
        <v>4</v>
      </c>
      <c r="C212" s="34" t="s">
        <v>4</v>
      </c>
      <c r="D212" s="34" t="s">
        <v>1223</v>
      </c>
      <c r="E212" s="34" t="s">
        <v>2645</v>
      </c>
      <c r="F212" s="32" t="s">
        <v>1225</v>
      </c>
      <c r="G212" s="32" t="s">
        <v>1225</v>
      </c>
      <c r="H212" s="32" t="s">
        <v>1225</v>
      </c>
      <c r="I212" s="34" t="s">
        <v>2646</v>
      </c>
      <c r="J212" s="32" t="s">
        <v>1225</v>
      </c>
      <c r="K212" s="32" t="s">
        <v>1225</v>
      </c>
      <c r="L212" s="34" t="s">
        <v>2647</v>
      </c>
      <c r="M212" s="34" t="s">
        <v>278</v>
      </c>
      <c r="N212" s="32" t="s">
        <v>1225</v>
      </c>
      <c r="O212" s="32" t="s">
        <v>1225</v>
      </c>
      <c r="P212" s="32" t="s">
        <v>1225</v>
      </c>
      <c r="Q212" s="34" t="s">
        <v>1227</v>
      </c>
      <c r="R212" s="32" t="s">
        <v>1225</v>
      </c>
      <c r="S212" s="32" t="s">
        <v>1225</v>
      </c>
      <c r="T212" s="32" t="s">
        <v>1225</v>
      </c>
      <c r="U212" s="32" t="s">
        <v>1225</v>
      </c>
      <c r="V212" s="32" t="s">
        <v>1225</v>
      </c>
      <c r="W212" s="34" t="s">
        <v>2648</v>
      </c>
      <c r="X212" s="34" t="s">
        <v>2649</v>
      </c>
      <c r="Y212" s="34" t="s">
        <v>2650</v>
      </c>
      <c r="Z212" s="32" t="s">
        <v>1225</v>
      </c>
      <c r="AA212" s="32" t="s">
        <v>1225</v>
      </c>
      <c r="AB212" s="32" t="s">
        <v>1225</v>
      </c>
      <c r="AC212" s="32" t="s">
        <v>1225</v>
      </c>
      <c r="AD212" s="32" t="s">
        <v>1225</v>
      </c>
      <c r="AE212" s="32" t="s">
        <v>1225</v>
      </c>
      <c r="AF212" s="32" t="s">
        <v>1225</v>
      </c>
      <c r="AG212" s="32" t="s">
        <v>1225</v>
      </c>
      <c r="AH212" s="32" t="s">
        <v>1225</v>
      </c>
      <c r="AI212" s="32" t="s">
        <v>1225</v>
      </c>
      <c r="AJ212" s="32" t="s">
        <v>1225</v>
      </c>
      <c r="AK212" s="32" t="s">
        <v>1225</v>
      </c>
      <c r="AL212" s="32" t="s">
        <v>1225</v>
      </c>
      <c r="AM212" s="32" t="s">
        <v>1225</v>
      </c>
      <c r="AN212" s="32" t="s">
        <v>1225</v>
      </c>
      <c r="AO212" s="32" t="s">
        <v>1225</v>
      </c>
      <c r="AP212" s="32" t="s">
        <v>1225</v>
      </c>
      <c r="AQ212" s="32" t="s">
        <v>1225</v>
      </c>
      <c r="AR212" s="32" t="s">
        <v>1225</v>
      </c>
      <c r="AS212" s="32" t="s">
        <v>1225</v>
      </c>
      <c r="AT212" s="32" t="s">
        <v>1225</v>
      </c>
      <c r="AU212" s="32" t="s">
        <v>1225</v>
      </c>
      <c r="AV212" s="32" t="s">
        <v>1225</v>
      </c>
      <c r="AW212" s="34" t="s">
        <v>1276</v>
      </c>
      <c r="AX212" s="34">
        <v>2021</v>
      </c>
      <c r="AY212" s="32">
        <v>73</v>
      </c>
      <c r="AZ212" s="32" t="s">
        <v>1225</v>
      </c>
      <c r="BA212" s="32" t="s">
        <v>1225</v>
      </c>
      <c r="BB212" s="32" t="s">
        <v>1225</v>
      </c>
      <c r="BC212" s="32" t="s">
        <v>1225</v>
      </c>
      <c r="BD212" s="32" t="s">
        <v>1225</v>
      </c>
      <c r="BE212" s="32" t="s">
        <v>1225</v>
      </c>
      <c r="BF212" s="32" t="s">
        <v>1225</v>
      </c>
      <c r="BG212" s="32">
        <v>103081</v>
      </c>
      <c r="BH212" s="34" t="s">
        <v>2651</v>
      </c>
      <c r="BI212" s="34" t="str">
        <f>HYPERLINK("http://dx.doi.org/10.1016/j.scs.2021.103081","http://dx.doi.org/10.1016/j.scs.2021.103081")</f>
        <v>http://dx.doi.org/10.1016/j.scs.2021.103081</v>
      </c>
      <c r="BJ212" s="32" t="s">
        <v>1225</v>
      </c>
      <c r="BK212" s="32" t="s">
        <v>1553</v>
      </c>
      <c r="BL212" s="32" t="s">
        <v>1225</v>
      </c>
      <c r="BM212" s="32" t="s">
        <v>1225</v>
      </c>
      <c r="BN212" s="32" t="s">
        <v>1225</v>
      </c>
      <c r="BO212" s="32" t="s">
        <v>1225</v>
      </c>
      <c r="BP212" s="32" t="s">
        <v>1225</v>
      </c>
      <c r="BQ212" s="32" t="s">
        <v>1225</v>
      </c>
      <c r="BR212" s="32" t="s">
        <v>1225</v>
      </c>
      <c r="BS212" s="32" t="s">
        <v>1225</v>
      </c>
      <c r="BT212" s="32" t="s">
        <v>1225</v>
      </c>
      <c r="BU212" s="32" t="s">
        <v>1225</v>
      </c>
      <c r="BV212" s="32" t="s">
        <v>1225</v>
      </c>
      <c r="BW212" s="32" t="str">
        <f t="shared" si="6"/>
        <v>View Full Record in Web of Science</v>
      </c>
      <c r="BY212" s="41" t="str">
        <f>IF(Deletion!J212=TRUE,"Yes","No")</f>
        <v>No</v>
      </c>
    </row>
    <row r="213" spans="1:77" x14ac:dyDescent="0.15">
      <c r="A213" s="32">
        <f t="shared" si="7"/>
        <v>212</v>
      </c>
      <c r="D213" s="32" t="s">
        <v>1223</v>
      </c>
      <c r="E213" s="32" t="s">
        <v>2652</v>
      </c>
      <c r="F213" s="32" t="s">
        <v>1225</v>
      </c>
      <c r="G213" s="32" t="s">
        <v>1225</v>
      </c>
      <c r="H213" s="32" t="s">
        <v>1225</v>
      </c>
      <c r="I213" s="32" t="s">
        <v>2653</v>
      </c>
      <c r="J213" s="32" t="s">
        <v>1225</v>
      </c>
      <c r="K213" s="32" t="s">
        <v>1225</v>
      </c>
      <c r="L213" s="32" t="s">
        <v>2654</v>
      </c>
      <c r="M213" s="32" t="s">
        <v>124</v>
      </c>
      <c r="N213" s="32" t="s">
        <v>1225</v>
      </c>
      <c r="O213" s="32" t="s">
        <v>1225</v>
      </c>
      <c r="P213" s="32" t="s">
        <v>1225</v>
      </c>
      <c r="Q213" s="32" t="s">
        <v>1227</v>
      </c>
      <c r="R213" s="32" t="s">
        <v>1225</v>
      </c>
      <c r="S213" s="32" t="s">
        <v>1225</v>
      </c>
      <c r="T213" s="32" t="s">
        <v>1225</v>
      </c>
      <c r="U213" s="32" t="s">
        <v>1225</v>
      </c>
      <c r="V213" s="32" t="s">
        <v>1225</v>
      </c>
      <c r="W213" s="32" t="s">
        <v>2655</v>
      </c>
      <c r="X213" s="32" t="s">
        <v>2656</v>
      </c>
      <c r="Y213" s="32" t="s">
        <v>2657</v>
      </c>
      <c r="Z213" s="32" t="s">
        <v>1225</v>
      </c>
      <c r="AA213" s="32" t="s">
        <v>1225</v>
      </c>
      <c r="AB213" s="32" t="s">
        <v>1225</v>
      </c>
      <c r="AC213" s="32" t="s">
        <v>1225</v>
      </c>
      <c r="AD213" s="32" t="s">
        <v>1225</v>
      </c>
      <c r="AE213" s="32" t="s">
        <v>1225</v>
      </c>
      <c r="AF213" s="32" t="s">
        <v>1225</v>
      </c>
      <c r="AG213" s="32" t="s">
        <v>1225</v>
      </c>
      <c r="AH213" s="32" t="s">
        <v>1225</v>
      </c>
      <c r="AI213" s="32" t="s">
        <v>1225</v>
      </c>
      <c r="AJ213" s="32" t="s">
        <v>1225</v>
      </c>
      <c r="AK213" s="32" t="s">
        <v>1225</v>
      </c>
      <c r="AL213" s="32" t="s">
        <v>1225</v>
      </c>
      <c r="AM213" s="32" t="s">
        <v>1225</v>
      </c>
      <c r="AN213" s="32" t="s">
        <v>1225</v>
      </c>
      <c r="AO213" s="32" t="s">
        <v>1225</v>
      </c>
      <c r="AP213" s="32" t="s">
        <v>1225</v>
      </c>
      <c r="AQ213" s="32" t="s">
        <v>1225</v>
      </c>
      <c r="AR213" s="32" t="s">
        <v>1225</v>
      </c>
      <c r="AS213" s="32" t="s">
        <v>1225</v>
      </c>
      <c r="AT213" s="32" t="s">
        <v>1225</v>
      </c>
      <c r="AU213" s="32" t="s">
        <v>1225</v>
      </c>
      <c r="AV213" s="32" t="s">
        <v>1225</v>
      </c>
      <c r="AW213" s="32" t="s">
        <v>1298</v>
      </c>
      <c r="AX213" s="32">
        <v>2021</v>
      </c>
      <c r="AY213" s="32">
        <v>12</v>
      </c>
      <c r="AZ213" s="32">
        <v>5</v>
      </c>
      <c r="BA213" s="32" t="s">
        <v>1225</v>
      </c>
      <c r="BB213" s="32" t="s">
        <v>1225</v>
      </c>
      <c r="BC213" s="32" t="s">
        <v>1225</v>
      </c>
      <c r="BD213" s="32" t="s">
        <v>1225</v>
      </c>
      <c r="BE213" s="32">
        <v>4068</v>
      </c>
      <c r="BF213" s="32">
        <v>4078</v>
      </c>
      <c r="BG213" s="32" t="s">
        <v>1225</v>
      </c>
      <c r="BH213" s="32" t="s">
        <v>2658</v>
      </c>
      <c r="BI213" s="32" t="str">
        <f>HYPERLINK("http://dx.doi.org/10.1109/TSG.2021.3080583","http://dx.doi.org/10.1109/TSG.2021.3080583")</f>
        <v>http://dx.doi.org/10.1109/TSG.2021.3080583</v>
      </c>
      <c r="BJ213" s="32" t="s">
        <v>1225</v>
      </c>
      <c r="BK213" s="32" t="s">
        <v>1225</v>
      </c>
      <c r="BL213" s="32" t="s">
        <v>1225</v>
      </c>
      <c r="BM213" s="32" t="s">
        <v>1225</v>
      </c>
      <c r="BN213" s="32" t="s">
        <v>1225</v>
      </c>
      <c r="BO213" s="32" t="s">
        <v>1225</v>
      </c>
      <c r="BP213" s="32" t="s">
        <v>1225</v>
      </c>
      <c r="BQ213" s="32" t="s">
        <v>1225</v>
      </c>
      <c r="BR213" s="32" t="s">
        <v>1225</v>
      </c>
      <c r="BS213" s="32" t="s">
        <v>1225</v>
      </c>
      <c r="BT213" s="32" t="s">
        <v>1225</v>
      </c>
      <c r="BU213" s="32" t="s">
        <v>1225</v>
      </c>
      <c r="BV213" s="32" t="s">
        <v>1225</v>
      </c>
      <c r="BW213" s="32" t="str">
        <f t="shared" si="6"/>
        <v>View Full Record in Web of Science</v>
      </c>
      <c r="BY213" s="41" t="str">
        <f>IF(Deletion!J213=TRUE,"Yes","No")</f>
        <v>Yes</v>
      </c>
    </row>
    <row r="214" spans="1:77" x14ac:dyDescent="0.15">
      <c r="A214" s="32">
        <f t="shared" si="7"/>
        <v>213</v>
      </c>
      <c r="D214" s="32" t="s">
        <v>1223</v>
      </c>
      <c r="E214" s="32" t="s">
        <v>2659</v>
      </c>
      <c r="F214" s="32" t="s">
        <v>1225</v>
      </c>
      <c r="G214" s="32" t="s">
        <v>1225</v>
      </c>
      <c r="H214" s="32" t="s">
        <v>1225</v>
      </c>
      <c r="I214" s="32" t="s">
        <v>2660</v>
      </c>
      <c r="J214" s="32" t="s">
        <v>1225</v>
      </c>
      <c r="K214" s="32" t="s">
        <v>1225</v>
      </c>
      <c r="L214" s="32" t="s">
        <v>2661</v>
      </c>
      <c r="M214" s="32" t="s">
        <v>124</v>
      </c>
      <c r="N214" s="32" t="s">
        <v>1225</v>
      </c>
      <c r="O214" s="32" t="s">
        <v>1225</v>
      </c>
      <c r="P214" s="32" t="s">
        <v>1225</v>
      </c>
      <c r="Q214" s="32" t="s">
        <v>1227</v>
      </c>
      <c r="R214" s="32" t="s">
        <v>1225</v>
      </c>
      <c r="S214" s="32" t="s">
        <v>1225</v>
      </c>
      <c r="T214" s="32" t="s">
        <v>1225</v>
      </c>
      <c r="U214" s="32" t="s">
        <v>1225</v>
      </c>
      <c r="V214" s="32" t="s">
        <v>1225</v>
      </c>
      <c r="W214" s="32" t="s">
        <v>2662</v>
      </c>
      <c r="X214" s="32" t="s">
        <v>2663</v>
      </c>
      <c r="Y214" s="32" t="s">
        <v>2664</v>
      </c>
      <c r="Z214" s="32" t="s">
        <v>1225</v>
      </c>
      <c r="AA214" s="32" t="s">
        <v>1225</v>
      </c>
      <c r="AB214" s="32" t="s">
        <v>1225</v>
      </c>
      <c r="AC214" s="32" t="s">
        <v>1225</v>
      </c>
      <c r="AD214" s="32" t="s">
        <v>1225</v>
      </c>
      <c r="AE214" s="32" t="s">
        <v>1225</v>
      </c>
      <c r="AF214" s="32" t="s">
        <v>1225</v>
      </c>
      <c r="AG214" s="32" t="s">
        <v>1225</v>
      </c>
      <c r="AH214" s="32" t="s">
        <v>1225</v>
      </c>
      <c r="AI214" s="32" t="s">
        <v>1225</v>
      </c>
      <c r="AJ214" s="32" t="s">
        <v>1225</v>
      </c>
      <c r="AK214" s="32" t="s">
        <v>1225</v>
      </c>
      <c r="AL214" s="32" t="s">
        <v>1225</v>
      </c>
      <c r="AM214" s="32" t="s">
        <v>1225</v>
      </c>
      <c r="AN214" s="32" t="s">
        <v>1225</v>
      </c>
      <c r="AO214" s="32" t="s">
        <v>1225</v>
      </c>
      <c r="AP214" s="32" t="s">
        <v>1225</v>
      </c>
      <c r="AQ214" s="32" t="s">
        <v>1225</v>
      </c>
      <c r="AR214" s="32" t="s">
        <v>1225</v>
      </c>
      <c r="AS214" s="32" t="s">
        <v>1225</v>
      </c>
      <c r="AT214" s="32" t="s">
        <v>1225</v>
      </c>
      <c r="AU214" s="32" t="s">
        <v>1225</v>
      </c>
      <c r="AV214" s="32" t="s">
        <v>1225</v>
      </c>
      <c r="AW214" s="32" t="s">
        <v>1285</v>
      </c>
      <c r="AX214" s="32">
        <v>2014</v>
      </c>
      <c r="AY214" s="32">
        <v>5</v>
      </c>
      <c r="AZ214" s="32">
        <v>3</v>
      </c>
      <c r="BA214" s="32" t="s">
        <v>1225</v>
      </c>
      <c r="BB214" s="32" t="s">
        <v>1225</v>
      </c>
      <c r="BC214" s="32" t="s">
        <v>1225</v>
      </c>
      <c r="BD214" s="32" t="s">
        <v>1225</v>
      </c>
      <c r="BE214" s="32">
        <v>1465</v>
      </c>
      <c r="BF214" s="32">
        <v>1474</v>
      </c>
      <c r="BG214" s="32" t="s">
        <v>1225</v>
      </c>
      <c r="BH214" s="32" t="s">
        <v>2665</v>
      </c>
      <c r="BI214" s="32" t="str">
        <f>HYPERLINK("http://dx.doi.org/10.1109/TSG.2014.2308217","http://dx.doi.org/10.1109/TSG.2014.2308217")</f>
        <v>http://dx.doi.org/10.1109/TSG.2014.2308217</v>
      </c>
      <c r="BJ214" s="32" t="s">
        <v>1225</v>
      </c>
      <c r="BK214" s="32" t="s">
        <v>1225</v>
      </c>
      <c r="BL214" s="32" t="s">
        <v>1225</v>
      </c>
      <c r="BM214" s="32" t="s">
        <v>1225</v>
      </c>
      <c r="BN214" s="32" t="s">
        <v>1225</v>
      </c>
      <c r="BO214" s="32" t="s">
        <v>1225</v>
      </c>
      <c r="BP214" s="32" t="s">
        <v>1225</v>
      </c>
      <c r="BQ214" s="32" t="s">
        <v>1225</v>
      </c>
      <c r="BR214" s="32" t="s">
        <v>1225</v>
      </c>
      <c r="BS214" s="32" t="s">
        <v>1225</v>
      </c>
      <c r="BT214" s="32" t="s">
        <v>1225</v>
      </c>
      <c r="BU214" s="32" t="s">
        <v>1225</v>
      </c>
      <c r="BV214" s="32" t="s">
        <v>1225</v>
      </c>
      <c r="BW214" s="32" t="str">
        <f t="shared" si="6"/>
        <v>View Full Record in Web of Science</v>
      </c>
      <c r="BY214" s="41" t="str">
        <f>IF(Deletion!J214=TRUE,"Yes","No")</f>
        <v>Yes</v>
      </c>
    </row>
    <row r="215" spans="1:77" x14ac:dyDescent="0.15">
      <c r="A215" s="34">
        <f t="shared" si="7"/>
        <v>214</v>
      </c>
      <c r="B215" s="34" t="s">
        <v>4</v>
      </c>
      <c r="C215" s="34" t="s">
        <v>4</v>
      </c>
      <c r="D215" s="34" t="s">
        <v>1223</v>
      </c>
      <c r="E215" s="34" t="s">
        <v>2666</v>
      </c>
      <c r="F215" s="32" t="s">
        <v>1225</v>
      </c>
      <c r="G215" s="32" t="s">
        <v>1225</v>
      </c>
      <c r="H215" s="32" t="s">
        <v>1225</v>
      </c>
      <c r="I215" s="34" t="s">
        <v>2667</v>
      </c>
      <c r="J215" s="32" t="s">
        <v>1225</v>
      </c>
      <c r="K215" s="32" t="s">
        <v>1225</v>
      </c>
      <c r="L215" s="34" t="s">
        <v>2668</v>
      </c>
      <c r="M215" s="34" t="s">
        <v>2669</v>
      </c>
      <c r="N215" s="32" t="s">
        <v>1225</v>
      </c>
      <c r="O215" s="32" t="s">
        <v>1225</v>
      </c>
      <c r="P215" s="32" t="s">
        <v>1225</v>
      </c>
      <c r="Q215" s="34" t="s">
        <v>1227</v>
      </c>
      <c r="R215" s="32" t="s">
        <v>1225</v>
      </c>
      <c r="S215" s="32" t="s">
        <v>1225</v>
      </c>
      <c r="T215" s="32" t="s">
        <v>1225</v>
      </c>
      <c r="U215" s="32" t="s">
        <v>1225</v>
      </c>
      <c r="V215" s="32" t="s">
        <v>1225</v>
      </c>
      <c r="W215" s="34" t="s">
        <v>2670</v>
      </c>
      <c r="X215" s="34" t="s">
        <v>2671</v>
      </c>
      <c r="Y215" s="34" t="s">
        <v>2672</v>
      </c>
      <c r="Z215" s="32" t="s">
        <v>1225</v>
      </c>
      <c r="AA215" s="32" t="s">
        <v>1225</v>
      </c>
      <c r="AB215" s="32" t="s">
        <v>1225</v>
      </c>
      <c r="AC215" s="32" t="s">
        <v>1225</v>
      </c>
      <c r="AD215" s="32" t="s">
        <v>1225</v>
      </c>
      <c r="AE215" s="32" t="s">
        <v>1225</v>
      </c>
      <c r="AF215" s="32" t="s">
        <v>1225</v>
      </c>
      <c r="AG215" s="32" t="s">
        <v>1225</v>
      </c>
      <c r="AH215" s="32" t="s">
        <v>1225</v>
      </c>
      <c r="AI215" s="32" t="s">
        <v>1225</v>
      </c>
      <c r="AJ215" s="32" t="s">
        <v>1225</v>
      </c>
      <c r="AK215" s="32" t="s">
        <v>1225</v>
      </c>
      <c r="AL215" s="32" t="s">
        <v>1225</v>
      </c>
      <c r="AM215" s="32" t="s">
        <v>1225</v>
      </c>
      <c r="AN215" s="32" t="s">
        <v>1225</v>
      </c>
      <c r="AO215" s="32" t="s">
        <v>1225</v>
      </c>
      <c r="AP215" s="32" t="s">
        <v>1225</v>
      </c>
      <c r="AQ215" s="32" t="s">
        <v>1225</v>
      </c>
      <c r="AR215" s="32" t="s">
        <v>1225</v>
      </c>
      <c r="AS215" s="32" t="s">
        <v>1225</v>
      </c>
      <c r="AT215" s="32" t="s">
        <v>1225</v>
      </c>
      <c r="AU215" s="32" t="s">
        <v>1225</v>
      </c>
      <c r="AV215" s="32" t="s">
        <v>1225</v>
      </c>
      <c r="AW215" s="34" t="s">
        <v>1276</v>
      </c>
      <c r="AX215" s="34">
        <v>2019</v>
      </c>
      <c r="AY215" s="32">
        <v>24</v>
      </c>
      <c r="AZ215" s="32">
        <v>5</v>
      </c>
      <c r="BA215" s="32" t="s">
        <v>1225</v>
      </c>
      <c r="BB215" s="32" t="s">
        <v>1225</v>
      </c>
      <c r="BC215" s="32" t="s">
        <v>1511</v>
      </c>
      <c r="BD215" s="32" t="s">
        <v>1225</v>
      </c>
      <c r="BE215" s="32">
        <v>1722</v>
      </c>
      <c r="BF215" s="32">
        <v>1731</v>
      </c>
      <c r="BG215" s="32" t="s">
        <v>1225</v>
      </c>
      <c r="BH215" s="34" t="s">
        <v>2673</v>
      </c>
      <c r="BI215" s="34" t="str">
        <f>HYPERLINK("http://dx.doi.org/10.1007/s11036-018-1049-4","http://dx.doi.org/10.1007/s11036-018-1049-4")</f>
        <v>http://dx.doi.org/10.1007/s11036-018-1049-4</v>
      </c>
      <c r="BJ215" s="32" t="s">
        <v>1225</v>
      </c>
      <c r="BK215" s="32" t="s">
        <v>1225</v>
      </c>
      <c r="BL215" s="32" t="s">
        <v>1225</v>
      </c>
      <c r="BM215" s="32" t="s">
        <v>1225</v>
      </c>
      <c r="BN215" s="32" t="s">
        <v>1225</v>
      </c>
      <c r="BO215" s="32" t="s">
        <v>1225</v>
      </c>
      <c r="BP215" s="32" t="s">
        <v>1225</v>
      </c>
      <c r="BQ215" s="32" t="s">
        <v>1225</v>
      </c>
      <c r="BR215" s="32" t="s">
        <v>1225</v>
      </c>
      <c r="BS215" s="32" t="s">
        <v>1225</v>
      </c>
      <c r="BT215" s="32" t="s">
        <v>1225</v>
      </c>
      <c r="BU215" s="32" t="s">
        <v>1225</v>
      </c>
      <c r="BV215" s="32" t="s">
        <v>1225</v>
      </c>
      <c r="BW215" s="32" t="str">
        <f t="shared" si="6"/>
        <v>View Full Record in Web of Science</v>
      </c>
      <c r="BY215" s="41" t="str">
        <f>IF(Deletion!J215=TRUE,"Yes","No")</f>
        <v>No</v>
      </c>
    </row>
    <row r="216" spans="1:77" x14ac:dyDescent="0.15">
      <c r="A216" s="32">
        <f t="shared" si="7"/>
        <v>215</v>
      </c>
      <c r="D216" s="32" t="s">
        <v>1223</v>
      </c>
      <c r="E216" s="32" t="s">
        <v>2674</v>
      </c>
      <c r="F216" s="32" t="s">
        <v>1225</v>
      </c>
      <c r="G216" s="32" t="s">
        <v>1225</v>
      </c>
      <c r="H216" s="32" t="s">
        <v>1225</v>
      </c>
      <c r="I216" s="32" t="s">
        <v>2675</v>
      </c>
      <c r="J216" s="32" t="s">
        <v>1225</v>
      </c>
      <c r="K216" s="32" t="s">
        <v>1225</v>
      </c>
      <c r="L216" s="32" t="s">
        <v>2676</v>
      </c>
      <c r="M216" s="32" t="s">
        <v>849</v>
      </c>
      <c r="N216" s="32" t="s">
        <v>1225</v>
      </c>
      <c r="O216" s="32" t="s">
        <v>1225</v>
      </c>
      <c r="P216" s="32" t="s">
        <v>1225</v>
      </c>
      <c r="Q216" s="32" t="s">
        <v>1227</v>
      </c>
      <c r="R216" s="32" t="s">
        <v>1225</v>
      </c>
      <c r="S216" s="32" t="s">
        <v>1225</v>
      </c>
      <c r="T216" s="32" t="s">
        <v>1225</v>
      </c>
      <c r="U216" s="32" t="s">
        <v>1225</v>
      </c>
      <c r="V216" s="32" t="s">
        <v>1225</v>
      </c>
      <c r="W216" s="32" t="s">
        <v>2677</v>
      </c>
      <c r="X216" s="32" t="s">
        <v>2678</v>
      </c>
      <c r="Y216" s="32" t="s">
        <v>2679</v>
      </c>
      <c r="Z216" s="32" t="s">
        <v>1225</v>
      </c>
      <c r="AA216" s="32" t="s">
        <v>1225</v>
      </c>
      <c r="AB216" s="32" t="s">
        <v>1225</v>
      </c>
      <c r="AC216" s="32" t="s">
        <v>1225</v>
      </c>
      <c r="AD216" s="32" t="s">
        <v>1225</v>
      </c>
      <c r="AE216" s="32" t="s">
        <v>1225</v>
      </c>
      <c r="AF216" s="32" t="s">
        <v>1225</v>
      </c>
      <c r="AG216" s="32" t="s">
        <v>1225</v>
      </c>
      <c r="AH216" s="32" t="s">
        <v>1225</v>
      </c>
      <c r="AI216" s="32" t="s">
        <v>1225</v>
      </c>
      <c r="AJ216" s="32" t="s">
        <v>1225</v>
      </c>
      <c r="AK216" s="32" t="s">
        <v>1225</v>
      </c>
      <c r="AL216" s="32" t="s">
        <v>1225</v>
      </c>
      <c r="AM216" s="32" t="s">
        <v>1225</v>
      </c>
      <c r="AN216" s="32" t="s">
        <v>1225</v>
      </c>
      <c r="AO216" s="32" t="s">
        <v>1225</v>
      </c>
      <c r="AP216" s="32" t="s">
        <v>1225</v>
      </c>
      <c r="AQ216" s="32" t="s">
        <v>1225</v>
      </c>
      <c r="AR216" s="32" t="s">
        <v>1225</v>
      </c>
      <c r="AS216" s="32" t="s">
        <v>1225</v>
      </c>
      <c r="AT216" s="32" t="s">
        <v>1225</v>
      </c>
      <c r="AU216" s="32" t="s">
        <v>1225</v>
      </c>
      <c r="AV216" s="32" t="s">
        <v>1225</v>
      </c>
      <c r="AW216" s="32" t="s">
        <v>1285</v>
      </c>
      <c r="AX216" s="32">
        <v>2013</v>
      </c>
      <c r="AY216" s="32">
        <v>28</v>
      </c>
      <c r="AZ216" s="32">
        <v>2</v>
      </c>
      <c r="BA216" s="32" t="s">
        <v>1225</v>
      </c>
      <c r="BB216" s="32" t="s">
        <v>1225</v>
      </c>
      <c r="BC216" s="32" t="s">
        <v>1225</v>
      </c>
      <c r="BD216" s="32" t="s">
        <v>1225</v>
      </c>
      <c r="BE216" s="32">
        <v>1113</v>
      </c>
      <c r="BF216" s="32">
        <v>1121</v>
      </c>
      <c r="BG216" s="32" t="s">
        <v>1225</v>
      </c>
      <c r="BH216" s="32" t="s">
        <v>2680</v>
      </c>
      <c r="BI216" s="32" t="str">
        <f>HYPERLINK("http://dx.doi.org/10.1109/TPWRS.2012.2211900","http://dx.doi.org/10.1109/TPWRS.2012.2211900")</f>
        <v>http://dx.doi.org/10.1109/TPWRS.2012.2211900</v>
      </c>
      <c r="BJ216" s="32" t="s">
        <v>1225</v>
      </c>
      <c r="BK216" s="32" t="s">
        <v>1225</v>
      </c>
      <c r="BL216" s="32" t="s">
        <v>1225</v>
      </c>
      <c r="BM216" s="32" t="s">
        <v>1225</v>
      </c>
      <c r="BN216" s="32" t="s">
        <v>1225</v>
      </c>
      <c r="BO216" s="32" t="s">
        <v>1225</v>
      </c>
      <c r="BP216" s="32" t="s">
        <v>1225</v>
      </c>
      <c r="BQ216" s="32" t="s">
        <v>1225</v>
      </c>
      <c r="BR216" s="32" t="s">
        <v>1225</v>
      </c>
      <c r="BS216" s="32" t="s">
        <v>1225</v>
      </c>
      <c r="BT216" s="32" t="s">
        <v>1225</v>
      </c>
      <c r="BU216" s="32" t="s">
        <v>1225</v>
      </c>
      <c r="BV216" s="32" t="s">
        <v>1225</v>
      </c>
      <c r="BW216" s="32" t="str">
        <f t="shared" si="6"/>
        <v>View Full Record in Web of Science</v>
      </c>
      <c r="BY216" s="41" t="str">
        <f>IF(Deletion!J216=TRUE,"Yes","No")</f>
        <v>Yes</v>
      </c>
    </row>
    <row r="217" spans="1:77" x14ac:dyDescent="0.15">
      <c r="A217" s="32">
        <f t="shared" si="7"/>
        <v>216</v>
      </c>
      <c r="D217" s="32" t="s">
        <v>1223</v>
      </c>
      <c r="E217" s="32" t="s">
        <v>2681</v>
      </c>
      <c r="F217" s="32" t="s">
        <v>1225</v>
      </c>
      <c r="G217" s="32" t="s">
        <v>1225</v>
      </c>
      <c r="H217" s="32" t="s">
        <v>1225</v>
      </c>
      <c r="I217" s="32" t="s">
        <v>2682</v>
      </c>
      <c r="J217" s="32" t="s">
        <v>1225</v>
      </c>
      <c r="K217" s="32" t="s">
        <v>1225</v>
      </c>
      <c r="L217" s="32" t="s">
        <v>2683</v>
      </c>
      <c r="M217" s="32" t="s">
        <v>2684</v>
      </c>
      <c r="N217" s="32" t="s">
        <v>1225</v>
      </c>
      <c r="O217" s="32" t="s">
        <v>1225</v>
      </c>
      <c r="P217" s="32" t="s">
        <v>1225</v>
      </c>
      <c r="Q217" s="32" t="s">
        <v>1227</v>
      </c>
      <c r="R217" s="32" t="s">
        <v>1225</v>
      </c>
      <c r="S217" s="32" t="s">
        <v>1225</v>
      </c>
      <c r="T217" s="32" t="s">
        <v>1225</v>
      </c>
      <c r="U217" s="32" t="s">
        <v>1225</v>
      </c>
      <c r="V217" s="32" t="s">
        <v>1225</v>
      </c>
      <c r="W217" s="32" t="s">
        <v>2685</v>
      </c>
      <c r="X217" s="32" t="s">
        <v>2686</v>
      </c>
      <c r="Y217" s="32" t="s">
        <v>2687</v>
      </c>
      <c r="Z217" s="32" t="s">
        <v>1225</v>
      </c>
      <c r="AA217" s="32" t="s">
        <v>1225</v>
      </c>
      <c r="AB217" s="32" t="s">
        <v>1225</v>
      </c>
      <c r="AC217" s="32" t="s">
        <v>1225</v>
      </c>
      <c r="AD217" s="32" t="s">
        <v>1225</v>
      </c>
      <c r="AE217" s="32" t="s">
        <v>1225</v>
      </c>
      <c r="AF217" s="32" t="s">
        <v>1225</v>
      </c>
      <c r="AG217" s="32" t="s">
        <v>1225</v>
      </c>
      <c r="AH217" s="32" t="s">
        <v>1225</v>
      </c>
      <c r="AI217" s="32" t="s">
        <v>1225</v>
      </c>
      <c r="AJ217" s="32" t="s">
        <v>1225</v>
      </c>
      <c r="AK217" s="32" t="s">
        <v>1225</v>
      </c>
      <c r="AL217" s="32" t="s">
        <v>1225</v>
      </c>
      <c r="AM217" s="32" t="s">
        <v>1225</v>
      </c>
      <c r="AN217" s="32" t="s">
        <v>1225</v>
      </c>
      <c r="AO217" s="32" t="s">
        <v>1225</v>
      </c>
      <c r="AP217" s="32" t="s">
        <v>1225</v>
      </c>
      <c r="AQ217" s="32" t="s">
        <v>1225</v>
      </c>
      <c r="AR217" s="32" t="s">
        <v>1225</v>
      </c>
      <c r="AS217" s="32" t="s">
        <v>1225</v>
      </c>
      <c r="AT217" s="32" t="s">
        <v>1225</v>
      </c>
      <c r="AU217" s="32" t="s">
        <v>1225</v>
      </c>
      <c r="AV217" s="32" t="s">
        <v>1225</v>
      </c>
      <c r="AW217" s="32" t="s">
        <v>1239</v>
      </c>
      <c r="AX217" s="32">
        <v>2018</v>
      </c>
      <c r="AY217" s="32">
        <v>121</v>
      </c>
      <c r="AZ217" s="32" t="s">
        <v>1225</v>
      </c>
      <c r="BA217" s="32" t="s">
        <v>1225</v>
      </c>
      <c r="BB217" s="32" t="s">
        <v>1225</v>
      </c>
      <c r="BC217" s="32" t="s">
        <v>1225</v>
      </c>
      <c r="BD217" s="32" t="s">
        <v>1225</v>
      </c>
      <c r="BE217" s="32">
        <v>51</v>
      </c>
      <c r="BF217" s="32">
        <v>61</v>
      </c>
      <c r="BG217" s="32" t="s">
        <v>1225</v>
      </c>
      <c r="BH217" s="32" t="s">
        <v>2688</v>
      </c>
      <c r="BI217" s="32" t="str">
        <f>HYPERLINK("http://dx.doi.org/10.1016/j.cie.2018.05.019","http://dx.doi.org/10.1016/j.cie.2018.05.019")</f>
        <v>http://dx.doi.org/10.1016/j.cie.2018.05.019</v>
      </c>
      <c r="BJ217" s="32" t="s">
        <v>1225</v>
      </c>
      <c r="BK217" s="32" t="s">
        <v>1225</v>
      </c>
      <c r="BL217" s="32" t="s">
        <v>1225</v>
      </c>
      <c r="BM217" s="32" t="s">
        <v>1225</v>
      </c>
      <c r="BN217" s="32" t="s">
        <v>1225</v>
      </c>
      <c r="BO217" s="32" t="s">
        <v>1225</v>
      </c>
      <c r="BP217" s="32" t="s">
        <v>1225</v>
      </c>
      <c r="BQ217" s="32" t="s">
        <v>1225</v>
      </c>
      <c r="BR217" s="32" t="s">
        <v>1225</v>
      </c>
      <c r="BS217" s="32" t="s">
        <v>1225</v>
      </c>
      <c r="BT217" s="32" t="s">
        <v>1225</v>
      </c>
      <c r="BU217" s="32" t="s">
        <v>1225</v>
      </c>
      <c r="BV217" s="32" t="s">
        <v>1225</v>
      </c>
      <c r="BW217" s="32" t="str">
        <f t="shared" si="6"/>
        <v>View Full Record in Web of Science</v>
      </c>
      <c r="BY217" s="41" t="str">
        <f>IF(Deletion!J217=TRUE,"Yes","No")</f>
        <v>Yes</v>
      </c>
    </row>
    <row r="218" spans="1:77" x14ac:dyDescent="0.15">
      <c r="A218" s="32">
        <f t="shared" si="7"/>
        <v>217</v>
      </c>
      <c r="D218" s="32" t="s">
        <v>1223</v>
      </c>
      <c r="E218" s="32" t="s">
        <v>2689</v>
      </c>
      <c r="F218" s="32" t="s">
        <v>1225</v>
      </c>
      <c r="G218" s="32" t="s">
        <v>1225</v>
      </c>
      <c r="H218" s="32" t="s">
        <v>1225</v>
      </c>
      <c r="I218" s="32" t="s">
        <v>2690</v>
      </c>
      <c r="J218" s="32" t="s">
        <v>1225</v>
      </c>
      <c r="K218" s="32" t="s">
        <v>1225</v>
      </c>
      <c r="L218" s="32" t="s">
        <v>2691</v>
      </c>
      <c r="M218" s="32" t="s">
        <v>422</v>
      </c>
      <c r="N218" s="32" t="s">
        <v>1225</v>
      </c>
      <c r="O218" s="32" t="s">
        <v>1225</v>
      </c>
      <c r="P218" s="32" t="s">
        <v>1225</v>
      </c>
      <c r="Q218" s="32" t="s">
        <v>1227</v>
      </c>
      <c r="R218" s="32" t="s">
        <v>1225</v>
      </c>
      <c r="S218" s="32" t="s">
        <v>1225</v>
      </c>
      <c r="T218" s="32" t="s">
        <v>1225</v>
      </c>
      <c r="U218" s="32" t="s">
        <v>1225</v>
      </c>
      <c r="V218" s="32" t="s">
        <v>1225</v>
      </c>
      <c r="W218" s="32" t="s">
        <v>2692</v>
      </c>
      <c r="X218" s="32" t="s">
        <v>2693</v>
      </c>
      <c r="Y218" s="32" t="s">
        <v>2694</v>
      </c>
      <c r="Z218" s="32" t="s">
        <v>1225</v>
      </c>
      <c r="AA218" s="32" t="s">
        <v>1225</v>
      </c>
      <c r="AB218" s="32" t="s">
        <v>1225</v>
      </c>
      <c r="AC218" s="32" t="s">
        <v>1225</v>
      </c>
      <c r="AD218" s="32" t="s">
        <v>1225</v>
      </c>
      <c r="AE218" s="32" t="s">
        <v>1225</v>
      </c>
      <c r="AF218" s="32" t="s">
        <v>1225</v>
      </c>
      <c r="AG218" s="32" t="s">
        <v>1225</v>
      </c>
      <c r="AH218" s="32" t="s">
        <v>1225</v>
      </c>
      <c r="AI218" s="32" t="s">
        <v>1225</v>
      </c>
      <c r="AJ218" s="32" t="s">
        <v>1225</v>
      </c>
      <c r="AK218" s="32" t="s">
        <v>1225</v>
      </c>
      <c r="AL218" s="32" t="s">
        <v>1225</v>
      </c>
      <c r="AM218" s="32" t="s">
        <v>1225</v>
      </c>
      <c r="AN218" s="32" t="s">
        <v>1225</v>
      </c>
      <c r="AO218" s="32" t="s">
        <v>1225</v>
      </c>
      <c r="AP218" s="32" t="s">
        <v>1225</v>
      </c>
      <c r="AQ218" s="32" t="s">
        <v>1225</v>
      </c>
      <c r="AR218" s="32" t="s">
        <v>1225</v>
      </c>
      <c r="AS218" s="32" t="s">
        <v>1225</v>
      </c>
      <c r="AT218" s="32" t="s">
        <v>1225</v>
      </c>
      <c r="AU218" s="32" t="s">
        <v>1225</v>
      </c>
      <c r="AV218" s="32" t="s">
        <v>1225</v>
      </c>
      <c r="AW218" s="32" t="s">
        <v>1276</v>
      </c>
      <c r="AX218" s="32">
        <v>2018</v>
      </c>
      <c r="AY218" s="32">
        <v>11</v>
      </c>
      <c r="AZ218" s="32">
        <v>10</v>
      </c>
      <c r="BA218" s="32" t="s">
        <v>1225</v>
      </c>
      <c r="BB218" s="32" t="s">
        <v>1225</v>
      </c>
      <c r="BC218" s="32" t="s">
        <v>1225</v>
      </c>
      <c r="BD218" s="32" t="s">
        <v>1225</v>
      </c>
      <c r="BE218" s="32" t="s">
        <v>1225</v>
      </c>
      <c r="BF218" s="32" t="s">
        <v>1225</v>
      </c>
      <c r="BG218" s="32">
        <v>2752</v>
      </c>
      <c r="BH218" s="32" t="s">
        <v>2695</v>
      </c>
      <c r="BI218" s="32" t="str">
        <f>HYPERLINK("http://dx.doi.org/10.3390/en11102752","http://dx.doi.org/10.3390/en11102752")</f>
        <v>http://dx.doi.org/10.3390/en11102752</v>
      </c>
      <c r="BJ218" s="32" t="s">
        <v>1225</v>
      </c>
      <c r="BK218" s="32" t="s">
        <v>1225</v>
      </c>
      <c r="BL218" s="32" t="s">
        <v>1225</v>
      </c>
      <c r="BM218" s="32" t="s">
        <v>1225</v>
      </c>
      <c r="BN218" s="32" t="s">
        <v>1225</v>
      </c>
      <c r="BO218" s="32" t="s">
        <v>1225</v>
      </c>
      <c r="BP218" s="32" t="s">
        <v>1225</v>
      </c>
      <c r="BQ218" s="32" t="s">
        <v>1225</v>
      </c>
      <c r="BR218" s="32" t="s">
        <v>1225</v>
      </c>
      <c r="BS218" s="32" t="s">
        <v>1225</v>
      </c>
      <c r="BT218" s="32" t="s">
        <v>1225</v>
      </c>
      <c r="BU218" s="32" t="s">
        <v>1225</v>
      </c>
      <c r="BV218" s="32" t="s">
        <v>1225</v>
      </c>
      <c r="BW218" s="32" t="str">
        <f t="shared" si="6"/>
        <v>View Full Record in Web of Science</v>
      </c>
      <c r="BY218" s="41" t="str">
        <f>IF(Deletion!J218=TRUE,"Yes","No")</f>
        <v>Yes</v>
      </c>
    </row>
    <row r="219" spans="1:77" x14ac:dyDescent="0.15">
      <c r="A219" s="32">
        <f t="shared" si="7"/>
        <v>218</v>
      </c>
      <c r="D219" s="32" t="s">
        <v>1223</v>
      </c>
      <c r="E219" s="32" t="s">
        <v>2696</v>
      </c>
      <c r="F219" s="32" t="s">
        <v>1225</v>
      </c>
      <c r="G219" s="32" t="s">
        <v>1225</v>
      </c>
      <c r="H219" s="32" t="s">
        <v>1225</v>
      </c>
      <c r="I219" s="32" t="s">
        <v>2697</v>
      </c>
      <c r="J219" s="32" t="s">
        <v>1225</v>
      </c>
      <c r="K219" s="32" t="s">
        <v>1225</v>
      </c>
      <c r="L219" s="32" t="s">
        <v>2698</v>
      </c>
      <c r="M219" s="32" t="s">
        <v>124</v>
      </c>
      <c r="N219" s="32" t="s">
        <v>1225</v>
      </c>
      <c r="O219" s="32" t="s">
        <v>1225</v>
      </c>
      <c r="P219" s="32" t="s">
        <v>1225</v>
      </c>
      <c r="Q219" s="32" t="s">
        <v>1227</v>
      </c>
      <c r="R219" s="32" t="s">
        <v>1225</v>
      </c>
      <c r="S219" s="32" t="s">
        <v>1225</v>
      </c>
      <c r="T219" s="32" t="s">
        <v>1225</v>
      </c>
      <c r="U219" s="32" t="s">
        <v>1225</v>
      </c>
      <c r="V219" s="32" t="s">
        <v>1225</v>
      </c>
      <c r="W219" s="32" t="s">
        <v>2699</v>
      </c>
      <c r="X219" s="32" t="s">
        <v>2700</v>
      </c>
      <c r="Y219" s="32" t="s">
        <v>2701</v>
      </c>
      <c r="Z219" s="32" t="s">
        <v>1225</v>
      </c>
      <c r="AA219" s="32" t="s">
        <v>1225</v>
      </c>
      <c r="AB219" s="32" t="s">
        <v>1225</v>
      </c>
      <c r="AC219" s="32" t="s">
        <v>1225</v>
      </c>
      <c r="AD219" s="32" t="s">
        <v>1225</v>
      </c>
      <c r="AE219" s="32" t="s">
        <v>1225</v>
      </c>
      <c r="AF219" s="32" t="s">
        <v>1225</v>
      </c>
      <c r="AG219" s="32" t="s">
        <v>1225</v>
      </c>
      <c r="AH219" s="32" t="s">
        <v>1225</v>
      </c>
      <c r="AI219" s="32" t="s">
        <v>1225</v>
      </c>
      <c r="AJ219" s="32" t="s">
        <v>1225</v>
      </c>
      <c r="AK219" s="32" t="s">
        <v>1225</v>
      </c>
      <c r="AL219" s="32" t="s">
        <v>1225</v>
      </c>
      <c r="AM219" s="32" t="s">
        <v>1225</v>
      </c>
      <c r="AN219" s="32" t="s">
        <v>1225</v>
      </c>
      <c r="AO219" s="32" t="s">
        <v>1225</v>
      </c>
      <c r="AP219" s="32" t="s">
        <v>1225</v>
      </c>
      <c r="AQ219" s="32" t="s">
        <v>1225</v>
      </c>
      <c r="AR219" s="32" t="s">
        <v>1225</v>
      </c>
      <c r="AS219" s="32" t="s">
        <v>1225</v>
      </c>
      <c r="AT219" s="32" t="s">
        <v>1225</v>
      </c>
      <c r="AU219" s="32" t="s">
        <v>1225</v>
      </c>
      <c r="AV219" s="32" t="s">
        <v>1225</v>
      </c>
      <c r="AW219" s="32" t="s">
        <v>1317</v>
      </c>
      <c r="AX219" s="32">
        <v>2017</v>
      </c>
      <c r="AY219" s="32">
        <v>8</v>
      </c>
      <c r="AZ219" s="32">
        <v>1</v>
      </c>
      <c r="BA219" s="32" t="s">
        <v>1225</v>
      </c>
      <c r="BB219" s="32" t="s">
        <v>1225</v>
      </c>
      <c r="BC219" s="32" t="s">
        <v>1225</v>
      </c>
      <c r="BD219" s="32" t="s">
        <v>1225</v>
      </c>
      <c r="BE219" s="32">
        <v>331</v>
      </c>
      <c r="BF219" s="32">
        <v>341</v>
      </c>
      <c r="BG219" s="32" t="s">
        <v>1225</v>
      </c>
      <c r="BH219" s="32" t="s">
        <v>2702</v>
      </c>
      <c r="BI219" s="32" t="str">
        <f>HYPERLINK("http://dx.doi.org/10.1109/TSG.2016.2515849","http://dx.doi.org/10.1109/TSG.2016.2515849")</f>
        <v>http://dx.doi.org/10.1109/TSG.2016.2515849</v>
      </c>
      <c r="BJ219" s="32" t="s">
        <v>1225</v>
      </c>
      <c r="BK219" s="32" t="s">
        <v>1225</v>
      </c>
      <c r="BL219" s="32" t="s">
        <v>1225</v>
      </c>
      <c r="BM219" s="32" t="s">
        <v>1225</v>
      </c>
      <c r="BN219" s="32" t="s">
        <v>1225</v>
      </c>
      <c r="BO219" s="32" t="s">
        <v>1225</v>
      </c>
      <c r="BP219" s="32" t="s">
        <v>1225</v>
      </c>
      <c r="BQ219" s="32" t="s">
        <v>1225</v>
      </c>
      <c r="BR219" s="32" t="s">
        <v>1225</v>
      </c>
      <c r="BS219" s="32" t="s">
        <v>1225</v>
      </c>
      <c r="BT219" s="32" t="s">
        <v>1225</v>
      </c>
      <c r="BU219" s="32" t="s">
        <v>1225</v>
      </c>
      <c r="BV219" s="32" t="s">
        <v>1225</v>
      </c>
      <c r="BW219" s="32" t="str">
        <f t="shared" si="6"/>
        <v>View Full Record in Web of Science</v>
      </c>
      <c r="BY219" s="41" t="str">
        <f>IF(Deletion!J219=TRUE,"Yes","No")</f>
        <v>Yes</v>
      </c>
    </row>
    <row r="220" spans="1:77" x14ac:dyDescent="0.15">
      <c r="A220" s="32">
        <f t="shared" si="7"/>
        <v>219</v>
      </c>
      <c r="D220" s="32" t="s">
        <v>1223</v>
      </c>
      <c r="E220" s="32" t="s">
        <v>2703</v>
      </c>
      <c r="F220" s="32" t="s">
        <v>1225</v>
      </c>
      <c r="G220" s="32" t="s">
        <v>1225</v>
      </c>
      <c r="H220" s="32" t="s">
        <v>1225</v>
      </c>
      <c r="I220" s="32" t="s">
        <v>2704</v>
      </c>
      <c r="J220" s="32" t="s">
        <v>1225</v>
      </c>
      <c r="K220" s="32" t="s">
        <v>1225</v>
      </c>
      <c r="L220" s="32" t="s">
        <v>2705</v>
      </c>
      <c r="M220" s="32" t="s">
        <v>114</v>
      </c>
      <c r="N220" s="32" t="s">
        <v>1225</v>
      </c>
      <c r="O220" s="32" t="s">
        <v>1225</v>
      </c>
      <c r="P220" s="32" t="s">
        <v>1225</v>
      </c>
      <c r="Q220" s="32" t="s">
        <v>1688</v>
      </c>
      <c r="R220" s="32" t="s">
        <v>1225</v>
      </c>
      <c r="S220" s="32" t="s">
        <v>1225</v>
      </c>
      <c r="T220" s="32" t="s">
        <v>1225</v>
      </c>
      <c r="U220" s="32" t="s">
        <v>1225</v>
      </c>
      <c r="V220" s="32" t="s">
        <v>1225</v>
      </c>
      <c r="W220" s="32" t="s">
        <v>2706</v>
      </c>
      <c r="X220" s="32" t="s">
        <v>2707</v>
      </c>
      <c r="Y220" s="32" t="s">
        <v>2708</v>
      </c>
      <c r="Z220" s="32" t="s">
        <v>1225</v>
      </c>
      <c r="AA220" s="32" t="s">
        <v>1225</v>
      </c>
      <c r="AB220" s="32" t="s">
        <v>1225</v>
      </c>
      <c r="AC220" s="32" t="s">
        <v>1225</v>
      </c>
      <c r="AD220" s="32" t="s">
        <v>1225</v>
      </c>
      <c r="AE220" s="32" t="s">
        <v>1225</v>
      </c>
      <c r="AF220" s="32" t="s">
        <v>1225</v>
      </c>
      <c r="AG220" s="32" t="s">
        <v>1225</v>
      </c>
      <c r="AH220" s="32" t="s">
        <v>1225</v>
      </c>
      <c r="AI220" s="32" t="s">
        <v>1225</v>
      </c>
      <c r="AJ220" s="32" t="s">
        <v>1225</v>
      </c>
      <c r="AK220" s="32" t="s">
        <v>1225</v>
      </c>
      <c r="AL220" s="32" t="s">
        <v>1225</v>
      </c>
      <c r="AM220" s="32" t="s">
        <v>1225</v>
      </c>
      <c r="AN220" s="32" t="s">
        <v>1225</v>
      </c>
      <c r="AO220" s="32" t="s">
        <v>1225</v>
      </c>
      <c r="AP220" s="32" t="s">
        <v>1225</v>
      </c>
      <c r="AQ220" s="32" t="s">
        <v>1225</v>
      </c>
      <c r="AR220" s="32" t="s">
        <v>1225</v>
      </c>
      <c r="AS220" s="32" t="s">
        <v>1225</v>
      </c>
      <c r="AT220" s="32" t="s">
        <v>1225</v>
      </c>
      <c r="AU220" s="32" t="s">
        <v>1225</v>
      </c>
      <c r="AV220" s="32" t="s">
        <v>1225</v>
      </c>
      <c r="AW220" s="32" t="s">
        <v>1225</v>
      </c>
      <c r="AX220" s="32" t="s">
        <v>1225</v>
      </c>
      <c r="AY220" s="32" t="s">
        <v>1225</v>
      </c>
      <c r="AZ220" s="32" t="s">
        <v>1225</v>
      </c>
      <c r="BA220" s="32" t="s">
        <v>1225</v>
      </c>
      <c r="BB220" s="32" t="s">
        <v>1225</v>
      </c>
      <c r="BC220" s="32" t="s">
        <v>1225</v>
      </c>
      <c r="BD220" s="32" t="s">
        <v>1225</v>
      </c>
      <c r="BE220" s="32" t="s">
        <v>1225</v>
      </c>
      <c r="BF220" s="32" t="s">
        <v>1225</v>
      </c>
      <c r="BG220" s="32" t="s">
        <v>1225</v>
      </c>
      <c r="BH220" s="32" t="s">
        <v>2709</v>
      </c>
      <c r="BI220" s="32" t="str">
        <f>HYPERLINK("http://dx.doi.org/10.1109/TITS.2022.3170000","http://dx.doi.org/10.1109/TITS.2022.3170000")</f>
        <v>http://dx.doi.org/10.1109/TITS.2022.3170000</v>
      </c>
      <c r="BJ220" s="32" t="s">
        <v>1225</v>
      </c>
      <c r="BK220" s="32" t="s">
        <v>2710</v>
      </c>
      <c r="BL220" s="32" t="s">
        <v>1225</v>
      </c>
      <c r="BM220" s="32" t="s">
        <v>1225</v>
      </c>
      <c r="BN220" s="32" t="s">
        <v>1225</v>
      </c>
      <c r="BO220" s="32" t="s">
        <v>1225</v>
      </c>
      <c r="BP220" s="32" t="s">
        <v>1225</v>
      </c>
      <c r="BQ220" s="32" t="s">
        <v>1225</v>
      </c>
      <c r="BR220" s="32" t="s">
        <v>1225</v>
      </c>
      <c r="BS220" s="32" t="s">
        <v>1225</v>
      </c>
      <c r="BT220" s="32" t="s">
        <v>1225</v>
      </c>
      <c r="BU220" s="32" t="s">
        <v>1225</v>
      </c>
      <c r="BV220" s="32" t="s">
        <v>1225</v>
      </c>
      <c r="BW220" s="32" t="str">
        <f t="shared" si="6"/>
        <v>View Full Record in Web of Science</v>
      </c>
      <c r="BY220" s="41" t="str">
        <f>IF(Deletion!J220=TRUE,"Yes","No")</f>
        <v>Yes</v>
      </c>
    </row>
    <row r="221" spans="1:77" x14ac:dyDescent="0.15">
      <c r="A221" s="32">
        <f t="shared" si="7"/>
        <v>220</v>
      </c>
      <c r="D221" s="32" t="s">
        <v>1223</v>
      </c>
      <c r="E221" s="32" t="s">
        <v>2711</v>
      </c>
      <c r="F221" s="32" t="s">
        <v>1225</v>
      </c>
      <c r="G221" s="32" t="s">
        <v>1225</v>
      </c>
      <c r="H221" s="32" t="s">
        <v>1225</v>
      </c>
      <c r="I221" s="32" t="s">
        <v>2712</v>
      </c>
      <c r="J221" s="32" t="s">
        <v>1225</v>
      </c>
      <c r="K221" s="32" t="s">
        <v>1225</v>
      </c>
      <c r="L221" s="32" t="s">
        <v>2713</v>
      </c>
      <c r="M221" s="32" t="s">
        <v>97</v>
      </c>
      <c r="N221" s="32" t="s">
        <v>1225</v>
      </c>
      <c r="O221" s="32" t="s">
        <v>1225</v>
      </c>
      <c r="P221" s="32" t="s">
        <v>1225</v>
      </c>
      <c r="Q221" s="32" t="s">
        <v>1227</v>
      </c>
      <c r="R221" s="32" t="s">
        <v>1225</v>
      </c>
      <c r="S221" s="32" t="s">
        <v>1225</v>
      </c>
      <c r="T221" s="32" t="s">
        <v>1225</v>
      </c>
      <c r="U221" s="32" t="s">
        <v>1225</v>
      </c>
      <c r="V221" s="32" t="s">
        <v>1225</v>
      </c>
      <c r="W221" s="32" t="s">
        <v>2714</v>
      </c>
      <c r="X221" s="32" t="s">
        <v>1784</v>
      </c>
      <c r="Y221" s="32" t="s">
        <v>2715</v>
      </c>
      <c r="Z221" s="32" t="s">
        <v>1225</v>
      </c>
      <c r="AA221" s="32" t="s">
        <v>1225</v>
      </c>
      <c r="AB221" s="32" t="s">
        <v>1225</v>
      </c>
      <c r="AC221" s="32" t="s">
        <v>1225</v>
      </c>
      <c r="AD221" s="32" t="s">
        <v>1225</v>
      </c>
      <c r="AE221" s="32" t="s">
        <v>1225</v>
      </c>
      <c r="AF221" s="32" t="s">
        <v>1225</v>
      </c>
      <c r="AG221" s="32" t="s">
        <v>1225</v>
      </c>
      <c r="AH221" s="32" t="s">
        <v>1225</v>
      </c>
      <c r="AI221" s="32" t="s">
        <v>1225</v>
      </c>
      <c r="AJ221" s="32" t="s">
        <v>1225</v>
      </c>
      <c r="AK221" s="32" t="s">
        <v>1225</v>
      </c>
      <c r="AL221" s="32" t="s">
        <v>1225</v>
      </c>
      <c r="AM221" s="32" t="s">
        <v>1225</v>
      </c>
      <c r="AN221" s="32" t="s">
        <v>1225</v>
      </c>
      <c r="AO221" s="32" t="s">
        <v>1225</v>
      </c>
      <c r="AP221" s="32" t="s">
        <v>1225</v>
      </c>
      <c r="AQ221" s="32" t="s">
        <v>1225</v>
      </c>
      <c r="AR221" s="32" t="s">
        <v>1225</v>
      </c>
      <c r="AS221" s="32" t="s">
        <v>1225</v>
      </c>
      <c r="AT221" s="32" t="s">
        <v>1225</v>
      </c>
      <c r="AU221" s="32" t="s">
        <v>1225</v>
      </c>
      <c r="AV221" s="32" t="s">
        <v>1225</v>
      </c>
      <c r="AW221" s="32" t="s">
        <v>2716</v>
      </c>
      <c r="AX221" s="32">
        <v>2015</v>
      </c>
      <c r="AY221" s="32">
        <v>151</v>
      </c>
      <c r="AZ221" s="32" t="s">
        <v>1225</v>
      </c>
      <c r="BA221" s="32" t="s">
        <v>1225</v>
      </c>
      <c r="BB221" s="32" t="s">
        <v>1225</v>
      </c>
      <c r="BC221" s="32" t="s">
        <v>1225</v>
      </c>
      <c r="BD221" s="32" t="s">
        <v>1225</v>
      </c>
      <c r="BE221" s="32">
        <v>335</v>
      </c>
      <c r="BF221" s="32">
        <v>344</v>
      </c>
      <c r="BG221" s="32" t="s">
        <v>1225</v>
      </c>
      <c r="BH221" s="32" t="s">
        <v>2717</v>
      </c>
      <c r="BI221" s="32" t="str">
        <f>HYPERLINK("http://dx.doi.org/10.1016/j.apenergy.2015.04.004","http://dx.doi.org/10.1016/j.apenergy.2015.04.004")</f>
        <v>http://dx.doi.org/10.1016/j.apenergy.2015.04.004</v>
      </c>
      <c r="BJ221" s="32" t="s">
        <v>1225</v>
      </c>
      <c r="BK221" s="32" t="s">
        <v>1225</v>
      </c>
      <c r="BL221" s="32" t="s">
        <v>1225</v>
      </c>
      <c r="BM221" s="32" t="s">
        <v>1225</v>
      </c>
      <c r="BN221" s="32" t="s">
        <v>1225</v>
      </c>
      <c r="BO221" s="32" t="s">
        <v>1225</v>
      </c>
      <c r="BP221" s="32" t="s">
        <v>1225</v>
      </c>
      <c r="BQ221" s="32" t="s">
        <v>1225</v>
      </c>
      <c r="BR221" s="32" t="s">
        <v>1225</v>
      </c>
      <c r="BS221" s="32" t="s">
        <v>1225</v>
      </c>
      <c r="BT221" s="32" t="s">
        <v>1225</v>
      </c>
      <c r="BU221" s="32" t="s">
        <v>1225</v>
      </c>
      <c r="BV221" s="32" t="s">
        <v>1225</v>
      </c>
      <c r="BW221" s="32" t="str">
        <f t="shared" si="6"/>
        <v>View Full Record in Web of Science</v>
      </c>
      <c r="BY221" s="41" t="str">
        <f>IF(Deletion!J221=TRUE,"Yes","No")</f>
        <v>Yes</v>
      </c>
    </row>
    <row r="222" spans="1:77" x14ac:dyDescent="0.15">
      <c r="A222" s="34">
        <f t="shared" si="7"/>
        <v>221</v>
      </c>
      <c r="B222" s="34" t="s">
        <v>4</v>
      </c>
      <c r="C222" s="34" t="s">
        <v>4</v>
      </c>
      <c r="D222" s="34" t="s">
        <v>1223</v>
      </c>
      <c r="E222" s="34" t="s">
        <v>2718</v>
      </c>
      <c r="F222" s="32" t="s">
        <v>1225</v>
      </c>
      <c r="G222" s="32" t="s">
        <v>1225</v>
      </c>
      <c r="H222" s="32" t="s">
        <v>1225</v>
      </c>
      <c r="I222" s="34" t="s">
        <v>2719</v>
      </c>
      <c r="J222" s="32" t="s">
        <v>1225</v>
      </c>
      <c r="K222" s="32" t="s">
        <v>1225</v>
      </c>
      <c r="L222" s="34" t="s">
        <v>2720</v>
      </c>
      <c r="M222" s="34" t="s">
        <v>2721</v>
      </c>
      <c r="N222" s="32" t="s">
        <v>1225</v>
      </c>
      <c r="O222" s="32" t="s">
        <v>1225</v>
      </c>
      <c r="P222" s="32" t="s">
        <v>1225</v>
      </c>
      <c r="Q222" s="34" t="s">
        <v>1227</v>
      </c>
      <c r="R222" s="32" t="s">
        <v>1225</v>
      </c>
      <c r="S222" s="32" t="s">
        <v>1225</v>
      </c>
      <c r="T222" s="32" t="s">
        <v>1225</v>
      </c>
      <c r="U222" s="32" t="s">
        <v>1225</v>
      </c>
      <c r="V222" s="32" t="s">
        <v>1225</v>
      </c>
      <c r="W222" s="34" t="s">
        <v>2722</v>
      </c>
      <c r="X222" s="34" t="s">
        <v>2723</v>
      </c>
      <c r="Y222" s="34" t="s">
        <v>2724</v>
      </c>
      <c r="Z222" s="32" t="s">
        <v>1225</v>
      </c>
      <c r="AA222" s="32" t="s">
        <v>1225</v>
      </c>
      <c r="AB222" s="32" t="s">
        <v>1225</v>
      </c>
      <c r="AC222" s="32" t="s">
        <v>1225</v>
      </c>
      <c r="AD222" s="32" t="s">
        <v>1225</v>
      </c>
      <c r="AE222" s="32" t="s">
        <v>1225</v>
      </c>
      <c r="AF222" s="32" t="s">
        <v>1225</v>
      </c>
      <c r="AG222" s="32" t="s">
        <v>1225</v>
      </c>
      <c r="AH222" s="32" t="s">
        <v>1225</v>
      </c>
      <c r="AI222" s="32" t="s">
        <v>1225</v>
      </c>
      <c r="AJ222" s="32" t="s">
        <v>1225</v>
      </c>
      <c r="AK222" s="32" t="s">
        <v>1225</v>
      </c>
      <c r="AL222" s="32" t="s">
        <v>1225</v>
      </c>
      <c r="AM222" s="32" t="s">
        <v>1225</v>
      </c>
      <c r="AN222" s="32" t="s">
        <v>1225</v>
      </c>
      <c r="AO222" s="32" t="s">
        <v>1225</v>
      </c>
      <c r="AP222" s="32" t="s">
        <v>1225</v>
      </c>
      <c r="AQ222" s="32" t="s">
        <v>1225</v>
      </c>
      <c r="AR222" s="32" t="s">
        <v>1225</v>
      </c>
      <c r="AS222" s="32" t="s">
        <v>1225</v>
      </c>
      <c r="AT222" s="32" t="s">
        <v>1225</v>
      </c>
      <c r="AU222" s="32" t="s">
        <v>1225</v>
      </c>
      <c r="AV222" s="32" t="s">
        <v>1225</v>
      </c>
      <c r="AW222" s="34" t="s">
        <v>1272</v>
      </c>
      <c r="AX222" s="34">
        <v>2019</v>
      </c>
      <c r="AY222" s="32">
        <v>14</v>
      </c>
      <c r="AZ222" s="32">
        <v>1</v>
      </c>
      <c r="BA222" s="32" t="s">
        <v>1225</v>
      </c>
      <c r="BB222" s="32" t="s">
        <v>1225</v>
      </c>
      <c r="BC222" s="32" t="s">
        <v>1225</v>
      </c>
      <c r="BD222" s="32" t="s">
        <v>1225</v>
      </c>
      <c r="BE222" s="32">
        <v>65</v>
      </c>
      <c r="BF222" s="32">
        <v>79</v>
      </c>
      <c r="BG222" s="32" t="s">
        <v>1225</v>
      </c>
      <c r="BH222" s="34" t="s">
        <v>2725</v>
      </c>
      <c r="BI222" s="34" t="str">
        <f>HYPERLINK("http://dx.doi.org/10.14743/apem2019.1.312","http://dx.doi.org/10.14743/apem2019.1.312")</f>
        <v>http://dx.doi.org/10.14743/apem2019.1.312</v>
      </c>
      <c r="BJ222" s="32" t="s">
        <v>1225</v>
      </c>
      <c r="BK222" s="32" t="s">
        <v>1225</v>
      </c>
      <c r="BL222" s="32" t="s">
        <v>1225</v>
      </c>
      <c r="BM222" s="32" t="s">
        <v>1225</v>
      </c>
      <c r="BN222" s="32" t="s">
        <v>1225</v>
      </c>
      <c r="BO222" s="32" t="s">
        <v>1225</v>
      </c>
      <c r="BP222" s="32" t="s">
        <v>1225</v>
      </c>
      <c r="BQ222" s="32" t="s">
        <v>1225</v>
      </c>
      <c r="BR222" s="32" t="s">
        <v>1225</v>
      </c>
      <c r="BS222" s="32" t="s">
        <v>1225</v>
      </c>
      <c r="BT222" s="32" t="s">
        <v>1225</v>
      </c>
      <c r="BU222" s="32" t="s">
        <v>1225</v>
      </c>
      <c r="BV222" s="32" t="s">
        <v>1225</v>
      </c>
      <c r="BW222" s="32" t="str">
        <f t="shared" si="6"/>
        <v>View Full Record in Web of Science</v>
      </c>
      <c r="BY222" s="41" t="str">
        <f>IF(Deletion!J222=TRUE,"Yes","No")</f>
        <v>No</v>
      </c>
    </row>
    <row r="223" spans="1:77" x14ac:dyDescent="0.15">
      <c r="A223" s="34">
        <f t="shared" si="7"/>
        <v>222</v>
      </c>
      <c r="B223" s="34" t="s">
        <v>4</v>
      </c>
      <c r="C223" s="34" t="s">
        <v>4</v>
      </c>
      <c r="D223" s="34" t="s">
        <v>1223</v>
      </c>
      <c r="E223" s="34" t="s">
        <v>2726</v>
      </c>
      <c r="F223" s="32" t="s">
        <v>1225</v>
      </c>
      <c r="G223" s="32" t="s">
        <v>1225</v>
      </c>
      <c r="H223" s="32" t="s">
        <v>1225</v>
      </c>
      <c r="I223" s="34" t="s">
        <v>2727</v>
      </c>
      <c r="J223" s="32" t="s">
        <v>1225</v>
      </c>
      <c r="K223" s="32" t="s">
        <v>1225</v>
      </c>
      <c r="L223" s="34" t="s">
        <v>2728</v>
      </c>
      <c r="M223" s="34" t="s">
        <v>2729</v>
      </c>
      <c r="N223" s="32" t="s">
        <v>1225</v>
      </c>
      <c r="O223" s="32" t="s">
        <v>1225</v>
      </c>
      <c r="P223" s="32" t="s">
        <v>1225</v>
      </c>
      <c r="Q223" s="34" t="s">
        <v>1227</v>
      </c>
      <c r="R223" s="32" t="s">
        <v>1225</v>
      </c>
      <c r="S223" s="32" t="s">
        <v>1225</v>
      </c>
      <c r="T223" s="32" t="s">
        <v>1225</v>
      </c>
      <c r="U223" s="32" t="s">
        <v>1225</v>
      </c>
      <c r="V223" s="32" t="s">
        <v>1225</v>
      </c>
      <c r="W223" s="34" t="s">
        <v>2730</v>
      </c>
      <c r="X223" s="34" t="s">
        <v>2731</v>
      </c>
      <c r="Y223" s="34" t="s">
        <v>2732</v>
      </c>
      <c r="Z223" s="32" t="s">
        <v>1225</v>
      </c>
      <c r="AA223" s="32" t="s">
        <v>1225</v>
      </c>
      <c r="AB223" s="32" t="s">
        <v>1225</v>
      </c>
      <c r="AC223" s="32" t="s">
        <v>1225</v>
      </c>
      <c r="AD223" s="32" t="s">
        <v>1225</v>
      </c>
      <c r="AE223" s="32" t="s">
        <v>1225</v>
      </c>
      <c r="AF223" s="32" t="s">
        <v>1225</v>
      </c>
      <c r="AG223" s="32" t="s">
        <v>1225</v>
      </c>
      <c r="AH223" s="32" t="s">
        <v>1225</v>
      </c>
      <c r="AI223" s="32" t="s">
        <v>1225</v>
      </c>
      <c r="AJ223" s="32" t="s">
        <v>1225</v>
      </c>
      <c r="AK223" s="32" t="s">
        <v>1225</v>
      </c>
      <c r="AL223" s="32" t="s">
        <v>1225</v>
      </c>
      <c r="AM223" s="32" t="s">
        <v>1225</v>
      </c>
      <c r="AN223" s="32" t="s">
        <v>1225</v>
      </c>
      <c r="AO223" s="32" t="s">
        <v>1225</v>
      </c>
      <c r="AP223" s="32" t="s">
        <v>1225</v>
      </c>
      <c r="AQ223" s="32" t="s">
        <v>1225</v>
      </c>
      <c r="AR223" s="32" t="s">
        <v>1225</v>
      </c>
      <c r="AS223" s="32" t="s">
        <v>1225</v>
      </c>
      <c r="AT223" s="32" t="s">
        <v>1225</v>
      </c>
      <c r="AU223" s="32" t="s">
        <v>1225</v>
      </c>
      <c r="AV223" s="32" t="s">
        <v>1225</v>
      </c>
      <c r="AW223" s="34" t="s">
        <v>1225</v>
      </c>
      <c r="AX223" s="34">
        <v>2021</v>
      </c>
      <c r="AY223" s="32">
        <v>14</v>
      </c>
      <c r="AZ223" s="32">
        <v>1</v>
      </c>
      <c r="BA223" s="32" t="s">
        <v>1225</v>
      </c>
      <c r="BB223" s="32" t="s">
        <v>1225</v>
      </c>
      <c r="BC223" s="32" t="s">
        <v>1225</v>
      </c>
      <c r="BD223" s="32" t="s">
        <v>1225</v>
      </c>
      <c r="BE223" s="32">
        <v>36</v>
      </c>
      <c r="BF223" s="32">
        <v>44</v>
      </c>
      <c r="BG223" s="32" t="s">
        <v>1225</v>
      </c>
      <c r="BH223" s="34" t="s">
        <v>2733</v>
      </c>
      <c r="BI223" s="34" t="str">
        <f>HYPERLINK("http://dx.doi.org/10.1504/IJES.2021.111972","http://dx.doi.org/10.1504/IJES.2021.111972")</f>
        <v>http://dx.doi.org/10.1504/IJES.2021.111972</v>
      </c>
      <c r="BJ223" s="32" t="s">
        <v>1225</v>
      </c>
      <c r="BK223" s="32" t="s">
        <v>1225</v>
      </c>
      <c r="BL223" s="32" t="s">
        <v>1225</v>
      </c>
      <c r="BM223" s="32" t="s">
        <v>1225</v>
      </c>
      <c r="BN223" s="32" t="s">
        <v>1225</v>
      </c>
      <c r="BO223" s="32" t="s">
        <v>1225</v>
      </c>
      <c r="BP223" s="32" t="s">
        <v>1225</v>
      </c>
      <c r="BQ223" s="32" t="s">
        <v>1225</v>
      </c>
      <c r="BR223" s="32" t="s">
        <v>1225</v>
      </c>
      <c r="BS223" s="32" t="s">
        <v>1225</v>
      </c>
      <c r="BT223" s="32" t="s">
        <v>1225</v>
      </c>
      <c r="BU223" s="32" t="s">
        <v>1225</v>
      </c>
      <c r="BV223" s="32" t="s">
        <v>1225</v>
      </c>
      <c r="BW223" s="32" t="str">
        <f t="shared" si="6"/>
        <v>View Full Record in Web of Science</v>
      </c>
      <c r="BY223" s="41" t="str">
        <f>IF(Deletion!J223=TRUE,"Yes","No")</f>
        <v>No</v>
      </c>
    </row>
    <row r="224" spans="1:77" x14ac:dyDescent="0.15">
      <c r="A224" s="32">
        <f t="shared" si="7"/>
        <v>223</v>
      </c>
      <c r="D224" s="32" t="s">
        <v>1223</v>
      </c>
      <c r="E224" s="32" t="s">
        <v>2734</v>
      </c>
      <c r="F224" s="32" t="s">
        <v>1225</v>
      </c>
      <c r="G224" s="32" t="s">
        <v>1225</v>
      </c>
      <c r="H224" s="32" t="s">
        <v>1225</v>
      </c>
      <c r="I224" s="32" t="s">
        <v>2735</v>
      </c>
      <c r="J224" s="32" t="s">
        <v>1225</v>
      </c>
      <c r="K224" s="32" t="s">
        <v>1225</v>
      </c>
      <c r="L224" s="32" t="s">
        <v>2736</v>
      </c>
      <c r="M224" s="32" t="s">
        <v>553</v>
      </c>
      <c r="N224" s="32" t="s">
        <v>1225</v>
      </c>
      <c r="O224" s="32" t="s">
        <v>1225</v>
      </c>
      <c r="P224" s="32" t="s">
        <v>1225</v>
      </c>
      <c r="Q224" s="32" t="s">
        <v>1227</v>
      </c>
      <c r="R224" s="32" t="s">
        <v>1225</v>
      </c>
      <c r="S224" s="32" t="s">
        <v>1225</v>
      </c>
      <c r="T224" s="32" t="s">
        <v>1225</v>
      </c>
      <c r="U224" s="32" t="s">
        <v>1225</v>
      </c>
      <c r="V224" s="32" t="s">
        <v>1225</v>
      </c>
      <c r="W224" s="32" t="s">
        <v>2737</v>
      </c>
      <c r="X224" s="32" t="s">
        <v>2738</v>
      </c>
      <c r="Y224" s="32" t="s">
        <v>2739</v>
      </c>
      <c r="Z224" s="32" t="s">
        <v>1225</v>
      </c>
      <c r="AA224" s="32" t="s">
        <v>1225</v>
      </c>
      <c r="AB224" s="32" t="s">
        <v>1225</v>
      </c>
      <c r="AC224" s="32" t="s">
        <v>1225</v>
      </c>
      <c r="AD224" s="32" t="s">
        <v>1225</v>
      </c>
      <c r="AE224" s="32" t="s">
        <v>1225</v>
      </c>
      <c r="AF224" s="32" t="s">
        <v>1225</v>
      </c>
      <c r="AG224" s="32" t="s">
        <v>1225</v>
      </c>
      <c r="AH224" s="32" t="s">
        <v>1225</v>
      </c>
      <c r="AI224" s="32" t="s">
        <v>1225</v>
      </c>
      <c r="AJ224" s="32" t="s">
        <v>1225</v>
      </c>
      <c r="AK224" s="32" t="s">
        <v>1225</v>
      </c>
      <c r="AL224" s="32" t="s">
        <v>1225</v>
      </c>
      <c r="AM224" s="32" t="s">
        <v>1225</v>
      </c>
      <c r="AN224" s="32" t="s">
        <v>1225</v>
      </c>
      <c r="AO224" s="32" t="s">
        <v>1225</v>
      </c>
      <c r="AP224" s="32" t="s">
        <v>1225</v>
      </c>
      <c r="AQ224" s="32" t="s">
        <v>1225</v>
      </c>
      <c r="AR224" s="32" t="s">
        <v>1225</v>
      </c>
      <c r="AS224" s="32" t="s">
        <v>1225</v>
      </c>
      <c r="AT224" s="32" t="s">
        <v>1225</v>
      </c>
      <c r="AU224" s="32" t="s">
        <v>1225</v>
      </c>
      <c r="AV224" s="32" t="s">
        <v>1225</v>
      </c>
      <c r="AW224" s="32" t="s">
        <v>1393</v>
      </c>
      <c r="AX224" s="32">
        <v>2022</v>
      </c>
      <c r="AY224" s="32">
        <v>107</v>
      </c>
      <c r="AZ224" s="32" t="s">
        <v>1225</v>
      </c>
      <c r="BA224" s="32" t="s">
        <v>1225</v>
      </c>
      <c r="BB224" s="32" t="s">
        <v>1225</v>
      </c>
      <c r="BC224" s="32" t="s">
        <v>1225</v>
      </c>
      <c r="BD224" s="32" t="s">
        <v>1225</v>
      </c>
      <c r="BE224" s="32" t="s">
        <v>1225</v>
      </c>
      <c r="BF224" s="32" t="s">
        <v>1225</v>
      </c>
      <c r="BG224" s="32">
        <v>103292</v>
      </c>
      <c r="BH224" s="32" t="s">
        <v>2740</v>
      </c>
      <c r="BI224" s="32" t="str">
        <f>HYPERLINK("http://dx.doi.org/10.1016/j.trd.2022.103292","http://dx.doi.org/10.1016/j.trd.2022.103292")</f>
        <v>http://dx.doi.org/10.1016/j.trd.2022.103292</v>
      </c>
      <c r="BJ224" s="32" t="s">
        <v>1225</v>
      </c>
      <c r="BK224" s="32" t="s">
        <v>1225</v>
      </c>
      <c r="BL224" s="32" t="s">
        <v>1225</v>
      </c>
      <c r="BM224" s="32" t="s">
        <v>1225</v>
      </c>
      <c r="BN224" s="32" t="s">
        <v>1225</v>
      </c>
      <c r="BO224" s="32" t="s">
        <v>1225</v>
      </c>
      <c r="BP224" s="32" t="s">
        <v>1225</v>
      </c>
      <c r="BQ224" s="32" t="s">
        <v>1225</v>
      </c>
      <c r="BR224" s="32" t="s">
        <v>1225</v>
      </c>
      <c r="BS224" s="32" t="s">
        <v>1225</v>
      </c>
      <c r="BT224" s="32" t="s">
        <v>1225</v>
      </c>
      <c r="BU224" s="32" t="s">
        <v>1225</v>
      </c>
      <c r="BV224" s="32" t="s">
        <v>1225</v>
      </c>
      <c r="BW224" s="32" t="str">
        <f t="shared" si="6"/>
        <v>View Full Record in Web of Science</v>
      </c>
      <c r="BY224" s="41" t="str">
        <f>IF(Deletion!J224=TRUE,"Yes","No")</f>
        <v>Yes</v>
      </c>
    </row>
    <row r="225" spans="1:77" x14ac:dyDescent="0.15">
      <c r="A225" s="32">
        <f t="shared" si="7"/>
        <v>224</v>
      </c>
      <c r="D225" s="32" t="s">
        <v>1223</v>
      </c>
      <c r="E225" s="32" t="s">
        <v>2741</v>
      </c>
      <c r="F225" s="32" t="s">
        <v>1225</v>
      </c>
      <c r="G225" s="32" t="s">
        <v>1225</v>
      </c>
      <c r="H225" s="32" t="s">
        <v>1225</v>
      </c>
      <c r="I225" s="32" t="s">
        <v>2742</v>
      </c>
      <c r="J225" s="32" t="s">
        <v>1225</v>
      </c>
      <c r="K225" s="32" t="s">
        <v>1225</v>
      </c>
      <c r="L225" s="32" t="s">
        <v>2743</v>
      </c>
      <c r="M225" s="32" t="s">
        <v>313</v>
      </c>
      <c r="N225" s="32" t="s">
        <v>1225</v>
      </c>
      <c r="O225" s="32" t="s">
        <v>1225</v>
      </c>
      <c r="P225" s="32" t="s">
        <v>1225</v>
      </c>
      <c r="Q225" s="32" t="s">
        <v>1227</v>
      </c>
      <c r="R225" s="32" t="s">
        <v>1225</v>
      </c>
      <c r="S225" s="32" t="s">
        <v>1225</v>
      </c>
      <c r="T225" s="32" t="s">
        <v>1225</v>
      </c>
      <c r="U225" s="32" t="s">
        <v>1225</v>
      </c>
      <c r="V225" s="32" t="s">
        <v>1225</v>
      </c>
      <c r="W225" s="32" t="s">
        <v>2744</v>
      </c>
      <c r="X225" s="32" t="s">
        <v>2745</v>
      </c>
      <c r="Y225" s="32" t="s">
        <v>2746</v>
      </c>
      <c r="Z225" s="32" t="s">
        <v>1225</v>
      </c>
      <c r="AA225" s="32" t="s">
        <v>1225</v>
      </c>
      <c r="AB225" s="32" t="s">
        <v>1225</v>
      </c>
      <c r="AC225" s="32" t="s">
        <v>1225</v>
      </c>
      <c r="AD225" s="32" t="s">
        <v>1225</v>
      </c>
      <c r="AE225" s="32" t="s">
        <v>1225</v>
      </c>
      <c r="AF225" s="32" t="s">
        <v>1225</v>
      </c>
      <c r="AG225" s="32" t="s">
        <v>1225</v>
      </c>
      <c r="AH225" s="32" t="s">
        <v>1225</v>
      </c>
      <c r="AI225" s="32" t="s">
        <v>1225</v>
      </c>
      <c r="AJ225" s="32" t="s">
        <v>1225</v>
      </c>
      <c r="AK225" s="32" t="s">
        <v>1225</v>
      </c>
      <c r="AL225" s="32" t="s">
        <v>1225</v>
      </c>
      <c r="AM225" s="32" t="s">
        <v>1225</v>
      </c>
      <c r="AN225" s="32" t="s">
        <v>1225</v>
      </c>
      <c r="AO225" s="32" t="s">
        <v>1225</v>
      </c>
      <c r="AP225" s="32" t="s">
        <v>1225</v>
      </c>
      <c r="AQ225" s="32" t="s">
        <v>1225</v>
      </c>
      <c r="AR225" s="32" t="s">
        <v>1225</v>
      </c>
      <c r="AS225" s="32" t="s">
        <v>1225</v>
      </c>
      <c r="AT225" s="32" t="s">
        <v>1225</v>
      </c>
      <c r="AU225" s="32" t="s">
        <v>1225</v>
      </c>
      <c r="AV225" s="32" t="s">
        <v>1225</v>
      </c>
      <c r="AW225" s="32" t="s">
        <v>1256</v>
      </c>
      <c r="AX225" s="32">
        <v>2015</v>
      </c>
      <c r="AY225" s="32">
        <v>73</v>
      </c>
      <c r="AZ225" s="32" t="s">
        <v>1225</v>
      </c>
      <c r="BA225" s="32" t="s">
        <v>1225</v>
      </c>
      <c r="BB225" s="32" t="s">
        <v>1225</v>
      </c>
      <c r="BC225" s="32" t="s">
        <v>1225</v>
      </c>
      <c r="BD225" s="32" t="s">
        <v>1225</v>
      </c>
      <c r="BE225" s="32">
        <v>644</v>
      </c>
      <c r="BF225" s="32">
        <v>652</v>
      </c>
      <c r="BG225" s="32" t="s">
        <v>1225</v>
      </c>
      <c r="BH225" s="32" t="s">
        <v>2747</v>
      </c>
      <c r="BI225" s="32" t="str">
        <f>HYPERLINK("http://dx.doi.org/10.1016/j.ijepes.2015.06.001","http://dx.doi.org/10.1016/j.ijepes.2015.06.001")</f>
        <v>http://dx.doi.org/10.1016/j.ijepes.2015.06.001</v>
      </c>
      <c r="BJ225" s="32" t="s">
        <v>1225</v>
      </c>
      <c r="BK225" s="32" t="s">
        <v>1225</v>
      </c>
      <c r="BL225" s="32" t="s">
        <v>1225</v>
      </c>
      <c r="BM225" s="32" t="s">
        <v>1225</v>
      </c>
      <c r="BN225" s="32" t="s">
        <v>1225</v>
      </c>
      <c r="BO225" s="32" t="s">
        <v>1225</v>
      </c>
      <c r="BP225" s="32" t="s">
        <v>1225</v>
      </c>
      <c r="BQ225" s="32" t="s">
        <v>1225</v>
      </c>
      <c r="BR225" s="32" t="s">
        <v>1225</v>
      </c>
      <c r="BS225" s="32" t="s">
        <v>1225</v>
      </c>
      <c r="BT225" s="32" t="s">
        <v>1225</v>
      </c>
      <c r="BU225" s="32" t="s">
        <v>1225</v>
      </c>
      <c r="BV225" s="32" t="s">
        <v>1225</v>
      </c>
      <c r="BW225" s="32" t="str">
        <f t="shared" si="6"/>
        <v>View Full Record in Web of Science</v>
      </c>
      <c r="BY225" s="41" t="str">
        <f>IF(Deletion!J225=TRUE,"Yes","No")</f>
        <v>Yes</v>
      </c>
    </row>
    <row r="226" spans="1:77" x14ac:dyDescent="0.15">
      <c r="A226" s="32">
        <f t="shared" si="7"/>
        <v>225</v>
      </c>
      <c r="D226" s="32" t="s">
        <v>1223</v>
      </c>
      <c r="E226" s="32" t="s">
        <v>2748</v>
      </c>
      <c r="F226" s="32" t="s">
        <v>1225</v>
      </c>
      <c r="G226" s="32" t="s">
        <v>1225</v>
      </c>
      <c r="H226" s="32" t="s">
        <v>1225</v>
      </c>
      <c r="I226" s="32" t="s">
        <v>2749</v>
      </c>
      <c r="J226" s="32" t="s">
        <v>1225</v>
      </c>
      <c r="K226" s="32" t="s">
        <v>1225</v>
      </c>
      <c r="L226" s="32" t="s">
        <v>2750</v>
      </c>
      <c r="M226" s="32" t="s">
        <v>97</v>
      </c>
      <c r="N226" s="32" t="s">
        <v>1225</v>
      </c>
      <c r="O226" s="32" t="s">
        <v>1225</v>
      </c>
      <c r="P226" s="32" t="s">
        <v>1225</v>
      </c>
      <c r="Q226" s="32" t="s">
        <v>1227</v>
      </c>
      <c r="R226" s="32" t="s">
        <v>1225</v>
      </c>
      <c r="S226" s="32" t="s">
        <v>1225</v>
      </c>
      <c r="T226" s="32" t="s">
        <v>1225</v>
      </c>
      <c r="U226" s="32" t="s">
        <v>1225</v>
      </c>
      <c r="V226" s="32" t="s">
        <v>1225</v>
      </c>
      <c r="W226" s="32" t="s">
        <v>2751</v>
      </c>
      <c r="X226" s="32" t="s">
        <v>2752</v>
      </c>
      <c r="Y226" s="32" t="s">
        <v>2753</v>
      </c>
      <c r="Z226" s="32" t="s">
        <v>1225</v>
      </c>
      <c r="AA226" s="32" t="s">
        <v>1225</v>
      </c>
      <c r="AB226" s="32" t="s">
        <v>1225</v>
      </c>
      <c r="AC226" s="32" t="s">
        <v>1225</v>
      </c>
      <c r="AD226" s="32" t="s">
        <v>1225</v>
      </c>
      <c r="AE226" s="32" t="s">
        <v>1225</v>
      </c>
      <c r="AF226" s="32" t="s">
        <v>1225</v>
      </c>
      <c r="AG226" s="32" t="s">
        <v>1225</v>
      </c>
      <c r="AH226" s="32" t="s">
        <v>1225</v>
      </c>
      <c r="AI226" s="32" t="s">
        <v>1225</v>
      </c>
      <c r="AJ226" s="32" t="s">
        <v>1225</v>
      </c>
      <c r="AK226" s="32" t="s">
        <v>1225</v>
      </c>
      <c r="AL226" s="32" t="s">
        <v>1225</v>
      </c>
      <c r="AM226" s="32" t="s">
        <v>1225</v>
      </c>
      <c r="AN226" s="32" t="s">
        <v>1225</v>
      </c>
      <c r="AO226" s="32" t="s">
        <v>1225</v>
      </c>
      <c r="AP226" s="32" t="s">
        <v>1225</v>
      </c>
      <c r="AQ226" s="32" t="s">
        <v>1225</v>
      </c>
      <c r="AR226" s="32" t="s">
        <v>1225</v>
      </c>
      <c r="AS226" s="32" t="s">
        <v>1225</v>
      </c>
      <c r="AT226" s="32" t="s">
        <v>1225</v>
      </c>
      <c r="AU226" s="32" t="s">
        <v>1225</v>
      </c>
      <c r="AV226" s="32" t="s">
        <v>1225</v>
      </c>
      <c r="AW226" s="32" t="s">
        <v>1461</v>
      </c>
      <c r="AX226" s="32">
        <v>2018</v>
      </c>
      <c r="AY226" s="32">
        <v>230</v>
      </c>
      <c r="AZ226" s="32" t="s">
        <v>1225</v>
      </c>
      <c r="BA226" s="32" t="s">
        <v>1225</v>
      </c>
      <c r="BB226" s="32" t="s">
        <v>1225</v>
      </c>
      <c r="BC226" s="32" t="s">
        <v>1225</v>
      </c>
      <c r="BD226" s="32" t="s">
        <v>1225</v>
      </c>
      <c r="BE226" s="32">
        <v>1435</v>
      </c>
      <c r="BF226" s="32">
        <v>1446</v>
      </c>
      <c r="BG226" s="32" t="s">
        <v>1225</v>
      </c>
      <c r="BH226" s="32" t="s">
        <v>2754</v>
      </c>
      <c r="BI226" s="32" t="str">
        <f>HYPERLINK("http://dx.doi.org/10.1016/j.apenergy.2018.09.045","http://dx.doi.org/10.1016/j.apenergy.2018.09.045")</f>
        <v>http://dx.doi.org/10.1016/j.apenergy.2018.09.045</v>
      </c>
      <c r="BJ226" s="32" t="s">
        <v>1225</v>
      </c>
      <c r="BK226" s="32" t="s">
        <v>1225</v>
      </c>
      <c r="BL226" s="32" t="s">
        <v>1225</v>
      </c>
      <c r="BM226" s="32" t="s">
        <v>1225</v>
      </c>
      <c r="BN226" s="32" t="s">
        <v>1225</v>
      </c>
      <c r="BO226" s="32" t="s">
        <v>1225</v>
      </c>
      <c r="BP226" s="32" t="s">
        <v>1225</v>
      </c>
      <c r="BQ226" s="32" t="s">
        <v>1225</v>
      </c>
      <c r="BR226" s="32" t="s">
        <v>1225</v>
      </c>
      <c r="BS226" s="32" t="s">
        <v>1225</v>
      </c>
      <c r="BT226" s="32" t="s">
        <v>1225</v>
      </c>
      <c r="BU226" s="32" t="s">
        <v>1225</v>
      </c>
      <c r="BV226" s="32" t="s">
        <v>1225</v>
      </c>
      <c r="BW226" s="32" t="str">
        <f t="shared" si="6"/>
        <v>View Full Record in Web of Science</v>
      </c>
      <c r="BY226" s="41" t="str">
        <f>IF(Deletion!J226=TRUE,"Yes","No")</f>
        <v>Yes</v>
      </c>
    </row>
    <row r="227" spans="1:77" x14ac:dyDescent="0.15">
      <c r="A227" s="34">
        <f t="shared" si="7"/>
        <v>226</v>
      </c>
      <c r="B227" s="34" t="s">
        <v>4</v>
      </c>
      <c r="C227" s="34" t="s">
        <v>4</v>
      </c>
      <c r="D227" s="34" t="s">
        <v>1223</v>
      </c>
      <c r="E227" s="34" t="s">
        <v>2755</v>
      </c>
      <c r="F227" s="32" t="s">
        <v>1225</v>
      </c>
      <c r="G227" s="32" t="s">
        <v>1225</v>
      </c>
      <c r="H227" s="32" t="s">
        <v>1225</v>
      </c>
      <c r="I227" s="34" t="s">
        <v>2756</v>
      </c>
      <c r="J227" s="32" t="s">
        <v>1225</v>
      </c>
      <c r="K227" s="32" t="s">
        <v>1225</v>
      </c>
      <c r="L227" s="34" t="s">
        <v>2757</v>
      </c>
      <c r="M227" s="34" t="s">
        <v>2758</v>
      </c>
      <c r="N227" s="32" t="s">
        <v>1225</v>
      </c>
      <c r="O227" s="32" t="s">
        <v>1225</v>
      </c>
      <c r="P227" s="32" t="s">
        <v>1225</v>
      </c>
      <c r="Q227" s="34" t="s">
        <v>1227</v>
      </c>
      <c r="R227" s="32" t="s">
        <v>1225</v>
      </c>
      <c r="S227" s="32" t="s">
        <v>1225</v>
      </c>
      <c r="T227" s="32" t="s">
        <v>1225</v>
      </c>
      <c r="U227" s="32" t="s">
        <v>1225</v>
      </c>
      <c r="V227" s="32" t="s">
        <v>1225</v>
      </c>
      <c r="W227" s="34" t="s">
        <v>2759</v>
      </c>
      <c r="X227" s="34" t="s">
        <v>2760</v>
      </c>
      <c r="Y227" s="34" t="s">
        <v>2761</v>
      </c>
      <c r="Z227" s="32" t="s">
        <v>1225</v>
      </c>
      <c r="AA227" s="32" t="s">
        <v>1225</v>
      </c>
      <c r="AB227" s="32" t="s">
        <v>1225</v>
      </c>
      <c r="AC227" s="32" t="s">
        <v>1225</v>
      </c>
      <c r="AD227" s="32" t="s">
        <v>1225</v>
      </c>
      <c r="AE227" s="32" t="s">
        <v>1225</v>
      </c>
      <c r="AF227" s="32" t="s">
        <v>1225</v>
      </c>
      <c r="AG227" s="32" t="s">
        <v>1225</v>
      </c>
      <c r="AH227" s="32" t="s">
        <v>1225</v>
      </c>
      <c r="AI227" s="32" t="s">
        <v>1225</v>
      </c>
      <c r="AJ227" s="32" t="s">
        <v>1225</v>
      </c>
      <c r="AK227" s="32" t="s">
        <v>1225</v>
      </c>
      <c r="AL227" s="32" t="s">
        <v>1225</v>
      </c>
      <c r="AM227" s="32" t="s">
        <v>1225</v>
      </c>
      <c r="AN227" s="32" t="s">
        <v>1225</v>
      </c>
      <c r="AO227" s="32" t="s">
        <v>1225</v>
      </c>
      <c r="AP227" s="32" t="s">
        <v>1225</v>
      </c>
      <c r="AQ227" s="32" t="s">
        <v>1225</v>
      </c>
      <c r="AR227" s="32" t="s">
        <v>1225</v>
      </c>
      <c r="AS227" s="32" t="s">
        <v>1225</v>
      </c>
      <c r="AT227" s="32" t="s">
        <v>1225</v>
      </c>
      <c r="AU227" s="32" t="s">
        <v>1225</v>
      </c>
      <c r="AV227" s="32" t="s">
        <v>1225</v>
      </c>
      <c r="AW227" s="34" t="s">
        <v>1225</v>
      </c>
      <c r="AX227" s="34">
        <v>2020</v>
      </c>
      <c r="AY227" s="32">
        <v>13</v>
      </c>
      <c r="AZ227" s="32">
        <v>7</v>
      </c>
      <c r="BA227" s="32" t="s">
        <v>1225</v>
      </c>
      <c r="BB227" s="32" t="s">
        <v>1225</v>
      </c>
      <c r="BC227" s="32" t="s">
        <v>1225</v>
      </c>
      <c r="BD227" s="32" t="s">
        <v>1225</v>
      </c>
      <c r="BE227" s="32">
        <v>1051</v>
      </c>
      <c r="BF227" s="32">
        <v>1058</v>
      </c>
      <c r="BG227" s="32" t="s">
        <v>1225</v>
      </c>
      <c r="BH227" s="34" t="s">
        <v>2762</v>
      </c>
      <c r="BI227" s="34" t="str">
        <f>HYPERLINK("http://dx.doi.org/10.2174/2352096513666200309105139","http://dx.doi.org/10.2174/2352096513666200309105139")</f>
        <v>http://dx.doi.org/10.2174/2352096513666200309105139</v>
      </c>
      <c r="BJ227" s="32" t="s">
        <v>1225</v>
      </c>
      <c r="BK227" s="32" t="s">
        <v>1225</v>
      </c>
      <c r="BL227" s="32" t="s">
        <v>1225</v>
      </c>
      <c r="BM227" s="32" t="s">
        <v>1225</v>
      </c>
      <c r="BN227" s="32" t="s">
        <v>1225</v>
      </c>
      <c r="BO227" s="32" t="s">
        <v>1225</v>
      </c>
      <c r="BP227" s="32" t="s">
        <v>1225</v>
      </c>
      <c r="BQ227" s="32" t="s">
        <v>1225</v>
      </c>
      <c r="BR227" s="32" t="s">
        <v>1225</v>
      </c>
      <c r="BS227" s="32" t="s">
        <v>1225</v>
      </c>
      <c r="BT227" s="32" t="s">
        <v>1225</v>
      </c>
      <c r="BU227" s="32" t="s">
        <v>1225</v>
      </c>
      <c r="BV227" s="32" t="s">
        <v>1225</v>
      </c>
      <c r="BW227" s="32" t="str">
        <f t="shared" si="6"/>
        <v>View Full Record in Web of Science</v>
      </c>
      <c r="BY227" s="41" t="str">
        <f>IF(Deletion!J227=TRUE,"Yes","No")</f>
        <v>No</v>
      </c>
    </row>
    <row r="228" spans="1:77" x14ac:dyDescent="0.15">
      <c r="A228" s="32">
        <f t="shared" si="7"/>
        <v>227</v>
      </c>
      <c r="D228" s="32" t="s">
        <v>1223</v>
      </c>
      <c r="E228" s="32" t="s">
        <v>2763</v>
      </c>
      <c r="F228" s="32" t="s">
        <v>1225</v>
      </c>
      <c r="G228" s="32" t="s">
        <v>1225</v>
      </c>
      <c r="H228" s="32" t="s">
        <v>1225</v>
      </c>
      <c r="I228" s="32" t="s">
        <v>2764</v>
      </c>
      <c r="J228" s="32" t="s">
        <v>1225</v>
      </c>
      <c r="K228" s="32" t="s">
        <v>1225</v>
      </c>
      <c r="L228" s="32" t="s">
        <v>2765</v>
      </c>
      <c r="M228" s="32" t="s">
        <v>346</v>
      </c>
      <c r="N228" s="32" t="s">
        <v>1225</v>
      </c>
      <c r="O228" s="32" t="s">
        <v>1225</v>
      </c>
      <c r="P228" s="32" t="s">
        <v>1225</v>
      </c>
      <c r="Q228" s="32" t="s">
        <v>1227</v>
      </c>
      <c r="R228" s="32" t="s">
        <v>1225</v>
      </c>
      <c r="S228" s="32" t="s">
        <v>1225</v>
      </c>
      <c r="T228" s="32" t="s">
        <v>1225</v>
      </c>
      <c r="U228" s="32" t="s">
        <v>1225</v>
      </c>
      <c r="V228" s="32" t="s">
        <v>1225</v>
      </c>
      <c r="W228" s="32" t="s">
        <v>2766</v>
      </c>
      <c r="X228" s="32" t="s">
        <v>2767</v>
      </c>
      <c r="Y228" s="32" t="s">
        <v>2768</v>
      </c>
      <c r="Z228" s="32" t="s">
        <v>1225</v>
      </c>
      <c r="AA228" s="32" t="s">
        <v>1225</v>
      </c>
      <c r="AB228" s="32" t="s">
        <v>1225</v>
      </c>
      <c r="AC228" s="32" t="s">
        <v>1225</v>
      </c>
      <c r="AD228" s="32" t="s">
        <v>1225</v>
      </c>
      <c r="AE228" s="32" t="s">
        <v>1225</v>
      </c>
      <c r="AF228" s="32" t="s">
        <v>1225</v>
      </c>
      <c r="AG228" s="32" t="s">
        <v>1225</v>
      </c>
      <c r="AH228" s="32" t="s">
        <v>1225</v>
      </c>
      <c r="AI228" s="32" t="s">
        <v>1225</v>
      </c>
      <c r="AJ228" s="32" t="s">
        <v>1225</v>
      </c>
      <c r="AK228" s="32" t="s">
        <v>1225</v>
      </c>
      <c r="AL228" s="32" t="s">
        <v>1225</v>
      </c>
      <c r="AM228" s="32" t="s">
        <v>1225</v>
      </c>
      <c r="AN228" s="32" t="s">
        <v>1225</v>
      </c>
      <c r="AO228" s="32" t="s">
        <v>1225</v>
      </c>
      <c r="AP228" s="32" t="s">
        <v>1225</v>
      </c>
      <c r="AQ228" s="32" t="s">
        <v>1225</v>
      </c>
      <c r="AR228" s="32" t="s">
        <v>1225</v>
      </c>
      <c r="AS228" s="32" t="s">
        <v>1225</v>
      </c>
      <c r="AT228" s="32" t="s">
        <v>1225</v>
      </c>
      <c r="AU228" s="32" t="s">
        <v>1225</v>
      </c>
      <c r="AV228" s="32" t="s">
        <v>1225</v>
      </c>
      <c r="AW228" s="32" t="s">
        <v>1298</v>
      </c>
      <c r="AX228" s="32">
        <v>2018</v>
      </c>
      <c r="AY228" s="32">
        <v>87</v>
      </c>
      <c r="AZ228" s="32" t="s">
        <v>1225</v>
      </c>
      <c r="BA228" s="32" t="s">
        <v>1225</v>
      </c>
      <c r="BB228" s="32" t="s">
        <v>1225</v>
      </c>
      <c r="BC228" s="32" t="s">
        <v>1225</v>
      </c>
      <c r="BD228" s="32" t="s">
        <v>1225</v>
      </c>
      <c r="BE228" s="32">
        <v>99</v>
      </c>
      <c r="BF228" s="32">
        <v>119</v>
      </c>
      <c r="BG228" s="32" t="s">
        <v>1225</v>
      </c>
      <c r="BH228" s="32" t="s">
        <v>2769</v>
      </c>
      <c r="BI228" s="32" t="str">
        <f>HYPERLINK("http://dx.doi.org/10.1016/j.simpat.2018.06.007","http://dx.doi.org/10.1016/j.simpat.2018.06.007")</f>
        <v>http://dx.doi.org/10.1016/j.simpat.2018.06.007</v>
      </c>
      <c r="BJ228" s="32" t="s">
        <v>1225</v>
      </c>
      <c r="BK228" s="32" t="s">
        <v>1225</v>
      </c>
      <c r="BL228" s="32" t="s">
        <v>1225</v>
      </c>
      <c r="BM228" s="32" t="s">
        <v>1225</v>
      </c>
      <c r="BN228" s="32" t="s">
        <v>1225</v>
      </c>
      <c r="BO228" s="32" t="s">
        <v>1225</v>
      </c>
      <c r="BP228" s="32" t="s">
        <v>1225</v>
      </c>
      <c r="BQ228" s="32" t="s">
        <v>1225</v>
      </c>
      <c r="BR228" s="32" t="s">
        <v>1225</v>
      </c>
      <c r="BS228" s="32" t="s">
        <v>1225</v>
      </c>
      <c r="BT228" s="32" t="s">
        <v>1225</v>
      </c>
      <c r="BU228" s="32" t="s">
        <v>1225</v>
      </c>
      <c r="BV228" s="32" t="s">
        <v>1225</v>
      </c>
      <c r="BW228" s="32" t="str">
        <f t="shared" si="6"/>
        <v>View Full Record in Web of Science</v>
      </c>
      <c r="BY228" s="41" t="str">
        <f>IF(Deletion!J228=TRUE,"Yes","No")</f>
        <v>Yes</v>
      </c>
    </row>
    <row r="229" spans="1:77" x14ac:dyDescent="0.15">
      <c r="A229" s="32">
        <f t="shared" si="7"/>
        <v>228</v>
      </c>
      <c r="D229" s="32" t="s">
        <v>1223</v>
      </c>
      <c r="E229" s="32" t="s">
        <v>2770</v>
      </c>
      <c r="F229" s="32" t="s">
        <v>1225</v>
      </c>
      <c r="G229" s="32" t="s">
        <v>1225</v>
      </c>
      <c r="H229" s="32" t="s">
        <v>1225</v>
      </c>
      <c r="I229" s="32" t="s">
        <v>2771</v>
      </c>
      <c r="J229" s="32" t="s">
        <v>1225</v>
      </c>
      <c r="K229" s="32" t="s">
        <v>1225</v>
      </c>
      <c r="L229" s="32" t="s">
        <v>2772</v>
      </c>
      <c r="M229" s="32" t="s">
        <v>114</v>
      </c>
      <c r="N229" s="32" t="s">
        <v>1225</v>
      </c>
      <c r="O229" s="32" t="s">
        <v>1225</v>
      </c>
      <c r="P229" s="32" t="s">
        <v>1225</v>
      </c>
      <c r="Q229" s="32" t="s">
        <v>1227</v>
      </c>
      <c r="R229" s="32" t="s">
        <v>1225</v>
      </c>
      <c r="S229" s="32" t="s">
        <v>1225</v>
      </c>
      <c r="T229" s="32" t="s">
        <v>1225</v>
      </c>
      <c r="U229" s="32" t="s">
        <v>1225</v>
      </c>
      <c r="V229" s="32" t="s">
        <v>1225</v>
      </c>
      <c r="W229" s="32" t="s">
        <v>2773</v>
      </c>
      <c r="X229" s="32" t="s">
        <v>2774</v>
      </c>
      <c r="Y229" s="32" t="s">
        <v>2775</v>
      </c>
      <c r="Z229" s="32" t="s">
        <v>1225</v>
      </c>
      <c r="AA229" s="32" t="s">
        <v>1225</v>
      </c>
      <c r="AB229" s="32" t="s">
        <v>1225</v>
      </c>
      <c r="AC229" s="32" t="s">
        <v>1225</v>
      </c>
      <c r="AD229" s="32" t="s">
        <v>1225</v>
      </c>
      <c r="AE229" s="32" t="s">
        <v>1225</v>
      </c>
      <c r="AF229" s="32" t="s">
        <v>1225</v>
      </c>
      <c r="AG229" s="32" t="s">
        <v>1225</v>
      </c>
      <c r="AH229" s="32" t="s">
        <v>1225</v>
      </c>
      <c r="AI229" s="32" t="s">
        <v>1225</v>
      </c>
      <c r="AJ229" s="32" t="s">
        <v>1225</v>
      </c>
      <c r="AK229" s="32" t="s">
        <v>1225</v>
      </c>
      <c r="AL229" s="32" t="s">
        <v>1225</v>
      </c>
      <c r="AM229" s="32" t="s">
        <v>1225</v>
      </c>
      <c r="AN229" s="32" t="s">
        <v>1225</v>
      </c>
      <c r="AO229" s="32" t="s">
        <v>1225</v>
      </c>
      <c r="AP229" s="32" t="s">
        <v>1225</v>
      </c>
      <c r="AQ229" s="32" t="s">
        <v>1225</v>
      </c>
      <c r="AR229" s="32" t="s">
        <v>1225</v>
      </c>
      <c r="AS229" s="32" t="s">
        <v>1225</v>
      </c>
      <c r="AT229" s="32" t="s">
        <v>1225</v>
      </c>
      <c r="AU229" s="32" t="s">
        <v>1225</v>
      </c>
      <c r="AV229" s="32" t="s">
        <v>1225</v>
      </c>
      <c r="AW229" s="32" t="s">
        <v>1272</v>
      </c>
      <c r="AX229" s="32">
        <v>2021</v>
      </c>
      <c r="AY229" s="32">
        <v>22</v>
      </c>
      <c r="AZ229" s="32">
        <v>3</v>
      </c>
      <c r="BA229" s="32" t="s">
        <v>1225</v>
      </c>
      <c r="BB229" s="32" t="s">
        <v>1225</v>
      </c>
      <c r="BC229" s="32" t="s">
        <v>1225</v>
      </c>
      <c r="BD229" s="32" t="s">
        <v>1225</v>
      </c>
      <c r="BE229" s="32">
        <v>1827</v>
      </c>
      <c r="BF229" s="32">
        <v>1839</v>
      </c>
      <c r="BG229" s="32" t="s">
        <v>1225</v>
      </c>
      <c r="BH229" s="32" t="s">
        <v>2776</v>
      </c>
      <c r="BI229" s="32" t="str">
        <f>HYPERLINK("http://dx.doi.org/10.1109/TITS.2020.3023695","http://dx.doi.org/10.1109/TITS.2020.3023695")</f>
        <v>http://dx.doi.org/10.1109/TITS.2020.3023695</v>
      </c>
      <c r="BJ229" s="32" t="s">
        <v>1225</v>
      </c>
      <c r="BK229" s="32" t="s">
        <v>1225</v>
      </c>
      <c r="BL229" s="32" t="s">
        <v>1225</v>
      </c>
      <c r="BM229" s="32" t="s">
        <v>1225</v>
      </c>
      <c r="BN229" s="32" t="s">
        <v>1225</v>
      </c>
      <c r="BO229" s="32" t="s">
        <v>1225</v>
      </c>
      <c r="BP229" s="32" t="s">
        <v>1225</v>
      </c>
      <c r="BQ229" s="32" t="s">
        <v>1225</v>
      </c>
      <c r="BR229" s="32" t="s">
        <v>1225</v>
      </c>
      <c r="BS229" s="32" t="s">
        <v>1225</v>
      </c>
      <c r="BT229" s="32" t="s">
        <v>1225</v>
      </c>
      <c r="BU229" s="32" t="s">
        <v>1225</v>
      </c>
      <c r="BV229" s="32" t="s">
        <v>1225</v>
      </c>
      <c r="BW229" s="32" t="str">
        <f t="shared" si="6"/>
        <v>View Full Record in Web of Science</v>
      </c>
      <c r="BY229" s="41" t="str">
        <f>IF(Deletion!J229=TRUE,"Yes","No")</f>
        <v>Yes</v>
      </c>
    </row>
    <row r="230" spans="1:77" x14ac:dyDescent="0.15">
      <c r="A230" s="32">
        <f t="shared" si="7"/>
        <v>229</v>
      </c>
      <c r="D230" s="32" t="s">
        <v>1223</v>
      </c>
      <c r="E230" s="32" t="s">
        <v>2777</v>
      </c>
      <c r="F230" s="32" t="s">
        <v>1225</v>
      </c>
      <c r="G230" s="32" t="s">
        <v>1225</v>
      </c>
      <c r="H230" s="32" t="s">
        <v>1225</v>
      </c>
      <c r="I230" s="32" t="s">
        <v>2778</v>
      </c>
      <c r="J230" s="32" t="s">
        <v>1225</v>
      </c>
      <c r="K230" s="32" t="s">
        <v>1225</v>
      </c>
      <c r="L230" s="32" t="s">
        <v>2779</v>
      </c>
      <c r="M230" s="32" t="s">
        <v>97</v>
      </c>
      <c r="N230" s="32" t="s">
        <v>1225</v>
      </c>
      <c r="O230" s="32" t="s">
        <v>1225</v>
      </c>
      <c r="P230" s="32" t="s">
        <v>1225</v>
      </c>
      <c r="Q230" s="32" t="s">
        <v>1227</v>
      </c>
      <c r="R230" s="32" t="s">
        <v>1225</v>
      </c>
      <c r="S230" s="32" t="s">
        <v>1225</v>
      </c>
      <c r="T230" s="32" t="s">
        <v>1225</v>
      </c>
      <c r="U230" s="32" t="s">
        <v>1225</v>
      </c>
      <c r="V230" s="32" t="s">
        <v>1225</v>
      </c>
      <c r="W230" s="32" t="s">
        <v>2780</v>
      </c>
      <c r="X230" s="32" t="s">
        <v>2781</v>
      </c>
      <c r="Y230" s="32" t="s">
        <v>2782</v>
      </c>
      <c r="Z230" s="32" t="s">
        <v>1225</v>
      </c>
      <c r="AA230" s="32" t="s">
        <v>1225</v>
      </c>
      <c r="AB230" s="32" t="s">
        <v>1225</v>
      </c>
      <c r="AC230" s="32" t="s">
        <v>1225</v>
      </c>
      <c r="AD230" s="32" t="s">
        <v>1225</v>
      </c>
      <c r="AE230" s="32" t="s">
        <v>1225</v>
      </c>
      <c r="AF230" s="32" t="s">
        <v>1225</v>
      </c>
      <c r="AG230" s="32" t="s">
        <v>1225</v>
      </c>
      <c r="AH230" s="32" t="s">
        <v>1225</v>
      </c>
      <c r="AI230" s="32" t="s">
        <v>1225</v>
      </c>
      <c r="AJ230" s="32" t="s">
        <v>1225</v>
      </c>
      <c r="AK230" s="32" t="s">
        <v>1225</v>
      </c>
      <c r="AL230" s="32" t="s">
        <v>1225</v>
      </c>
      <c r="AM230" s="32" t="s">
        <v>1225</v>
      </c>
      <c r="AN230" s="32" t="s">
        <v>1225</v>
      </c>
      <c r="AO230" s="32" t="s">
        <v>1225</v>
      </c>
      <c r="AP230" s="32" t="s">
        <v>1225</v>
      </c>
      <c r="AQ230" s="32" t="s">
        <v>1225</v>
      </c>
      <c r="AR230" s="32" t="s">
        <v>1225</v>
      </c>
      <c r="AS230" s="32" t="s">
        <v>1225</v>
      </c>
      <c r="AT230" s="32" t="s">
        <v>1225</v>
      </c>
      <c r="AU230" s="32" t="s">
        <v>1225</v>
      </c>
      <c r="AV230" s="32" t="s">
        <v>1225</v>
      </c>
      <c r="AW230" s="32" t="s">
        <v>2205</v>
      </c>
      <c r="AX230" s="32">
        <v>2020</v>
      </c>
      <c r="AY230" s="32">
        <v>272</v>
      </c>
      <c r="AZ230" s="32" t="s">
        <v>1225</v>
      </c>
      <c r="BA230" s="32" t="s">
        <v>1225</v>
      </c>
      <c r="BB230" s="32" t="s">
        <v>1225</v>
      </c>
      <c r="BC230" s="32" t="s">
        <v>1225</v>
      </c>
      <c r="BD230" s="32" t="s">
        <v>1225</v>
      </c>
      <c r="BE230" s="32" t="s">
        <v>1225</v>
      </c>
      <c r="BF230" s="32" t="s">
        <v>1225</v>
      </c>
      <c r="BG230" s="32">
        <v>115187</v>
      </c>
      <c r="BH230" s="32" t="s">
        <v>2783</v>
      </c>
      <c r="BI230" s="32" t="str">
        <f>HYPERLINK("http://dx.doi.org/10.1016/j.apenergy.2020.115187","http://dx.doi.org/10.1016/j.apenergy.2020.115187")</f>
        <v>http://dx.doi.org/10.1016/j.apenergy.2020.115187</v>
      </c>
      <c r="BJ230" s="32" t="s">
        <v>1225</v>
      </c>
      <c r="BK230" s="32" t="s">
        <v>1225</v>
      </c>
      <c r="BL230" s="32" t="s">
        <v>1225</v>
      </c>
      <c r="BM230" s="32" t="s">
        <v>1225</v>
      </c>
      <c r="BN230" s="32" t="s">
        <v>1225</v>
      </c>
      <c r="BO230" s="32" t="s">
        <v>1225</v>
      </c>
      <c r="BP230" s="32" t="s">
        <v>1225</v>
      </c>
      <c r="BQ230" s="32" t="s">
        <v>1225</v>
      </c>
      <c r="BR230" s="32" t="s">
        <v>1225</v>
      </c>
      <c r="BS230" s="32" t="s">
        <v>1225</v>
      </c>
      <c r="BT230" s="32" t="s">
        <v>1225</v>
      </c>
      <c r="BU230" s="32" t="s">
        <v>1225</v>
      </c>
      <c r="BV230" s="32" t="s">
        <v>1225</v>
      </c>
      <c r="BW230" s="32" t="str">
        <f t="shared" si="6"/>
        <v>View Full Record in Web of Science</v>
      </c>
      <c r="BY230" s="41" t="str">
        <f>IF(Deletion!J230=TRUE,"Yes","No")</f>
        <v>Yes</v>
      </c>
    </row>
    <row r="231" spans="1:77" x14ac:dyDescent="0.15">
      <c r="A231" s="32">
        <f t="shared" si="7"/>
        <v>230</v>
      </c>
      <c r="D231" s="32" t="s">
        <v>1223</v>
      </c>
      <c r="E231" s="32" t="s">
        <v>2784</v>
      </c>
      <c r="F231" s="32" t="s">
        <v>1225</v>
      </c>
      <c r="G231" s="32" t="s">
        <v>1225</v>
      </c>
      <c r="H231" s="32" t="s">
        <v>1225</v>
      </c>
      <c r="I231" s="32" t="s">
        <v>2785</v>
      </c>
      <c r="J231" s="32" t="s">
        <v>1225</v>
      </c>
      <c r="K231" s="32" t="s">
        <v>1225</v>
      </c>
      <c r="L231" s="32" t="s">
        <v>2786</v>
      </c>
      <c r="M231" s="32" t="s">
        <v>422</v>
      </c>
      <c r="N231" s="32" t="s">
        <v>1225</v>
      </c>
      <c r="O231" s="32" t="s">
        <v>1225</v>
      </c>
      <c r="P231" s="32" t="s">
        <v>1225</v>
      </c>
      <c r="Q231" s="32" t="s">
        <v>1227</v>
      </c>
      <c r="R231" s="32" t="s">
        <v>1225</v>
      </c>
      <c r="S231" s="32" t="s">
        <v>1225</v>
      </c>
      <c r="T231" s="32" t="s">
        <v>1225</v>
      </c>
      <c r="U231" s="32" t="s">
        <v>1225</v>
      </c>
      <c r="V231" s="32" t="s">
        <v>1225</v>
      </c>
      <c r="W231" s="32" t="s">
        <v>2787</v>
      </c>
      <c r="X231" s="32" t="s">
        <v>2788</v>
      </c>
      <c r="Y231" s="32" t="s">
        <v>2789</v>
      </c>
      <c r="Z231" s="32" t="s">
        <v>1225</v>
      </c>
      <c r="AA231" s="32" t="s">
        <v>1225</v>
      </c>
      <c r="AB231" s="32" t="s">
        <v>1225</v>
      </c>
      <c r="AC231" s="32" t="s">
        <v>1225</v>
      </c>
      <c r="AD231" s="32" t="s">
        <v>1225</v>
      </c>
      <c r="AE231" s="32" t="s">
        <v>1225</v>
      </c>
      <c r="AF231" s="32" t="s">
        <v>1225</v>
      </c>
      <c r="AG231" s="32" t="s">
        <v>1225</v>
      </c>
      <c r="AH231" s="32" t="s">
        <v>1225</v>
      </c>
      <c r="AI231" s="32" t="s">
        <v>1225</v>
      </c>
      <c r="AJ231" s="32" t="s">
        <v>1225</v>
      </c>
      <c r="AK231" s="32" t="s">
        <v>1225</v>
      </c>
      <c r="AL231" s="32" t="s">
        <v>1225</v>
      </c>
      <c r="AM231" s="32" t="s">
        <v>1225</v>
      </c>
      <c r="AN231" s="32" t="s">
        <v>1225</v>
      </c>
      <c r="AO231" s="32" t="s">
        <v>1225</v>
      </c>
      <c r="AP231" s="32" t="s">
        <v>1225</v>
      </c>
      <c r="AQ231" s="32" t="s">
        <v>1225</v>
      </c>
      <c r="AR231" s="32" t="s">
        <v>1225</v>
      </c>
      <c r="AS231" s="32" t="s">
        <v>1225</v>
      </c>
      <c r="AT231" s="32" t="s">
        <v>1225</v>
      </c>
      <c r="AU231" s="32" t="s">
        <v>1225</v>
      </c>
      <c r="AV231" s="32" t="s">
        <v>1225</v>
      </c>
      <c r="AW231" s="32" t="s">
        <v>1256</v>
      </c>
      <c r="AX231" s="32">
        <v>2018</v>
      </c>
      <c r="AY231" s="32">
        <v>11</v>
      </c>
      <c r="AZ231" s="32">
        <v>12</v>
      </c>
      <c r="BA231" s="32" t="s">
        <v>1225</v>
      </c>
      <c r="BB231" s="32" t="s">
        <v>1225</v>
      </c>
      <c r="BC231" s="32" t="s">
        <v>1225</v>
      </c>
      <c r="BD231" s="32" t="s">
        <v>1225</v>
      </c>
      <c r="BE231" s="32" t="s">
        <v>1225</v>
      </c>
      <c r="BF231" s="32" t="s">
        <v>1225</v>
      </c>
      <c r="BG231" s="32">
        <v>3362</v>
      </c>
      <c r="BH231" s="32" t="s">
        <v>2790</v>
      </c>
      <c r="BI231" s="32" t="str">
        <f>HYPERLINK("http://dx.doi.org/10.3390/en11123362","http://dx.doi.org/10.3390/en11123362")</f>
        <v>http://dx.doi.org/10.3390/en11123362</v>
      </c>
      <c r="BJ231" s="32" t="s">
        <v>1225</v>
      </c>
      <c r="BK231" s="32" t="s">
        <v>1225</v>
      </c>
      <c r="BL231" s="32" t="s">
        <v>1225</v>
      </c>
      <c r="BM231" s="32" t="s">
        <v>1225</v>
      </c>
      <c r="BN231" s="32" t="s">
        <v>1225</v>
      </c>
      <c r="BO231" s="32" t="s">
        <v>1225</v>
      </c>
      <c r="BP231" s="32" t="s">
        <v>1225</v>
      </c>
      <c r="BQ231" s="32" t="s">
        <v>1225</v>
      </c>
      <c r="BR231" s="32" t="s">
        <v>1225</v>
      </c>
      <c r="BS231" s="32" t="s">
        <v>1225</v>
      </c>
      <c r="BT231" s="32" t="s">
        <v>1225</v>
      </c>
      <c r="BU231" s="32" t="s">
        <v>1225</v>
      </c>
      <c r="BV231" s="32" t="s">
        <v>1225</v>
      </c>
      <c r="BW231" s="32" t="str">
        <f t="shared" si="6"/>
        <v>View Full Record in Web of Science</v>
      </c>
      <c r="BY231" s="41" t="str">
        <f>IF(Deletion!J231=TRUE,"Yes","No")</f>
        <v>Yes</v>
      </c>
    </row>
    <row r="232" spans="1:77" x14ac:dyDescent="0.15">
      <c r="A232" s="32">
        <f t="shared" si="7"/>
        <v>231</v>
      </c>
      <c r="D232" s="32" t="s">
        <v>1223</v>
      </c>
      <c r="E232" s="32" t="s">
        <v>2791</v>
      </c>
      <c r="F232" s="32" t="s">
        <v>1225</v>
      </c>
      <c r="G232" s="32" t="s">
        <v>1225</v>
      </c>
      <c r="H232" s="32" t="s">
        <v>1225</v>
      </c>
      <c r="I232" s="32" t="s">
        <v>2792</v>
      </c>
      <c r="J232" s="32" t="s">
        <v>1225</v>
      </c>
      <c r="K232" s="32" t="s">
        <v>1225</v>
      </c>
      <c r="L232" s="32" t="s">
        <v>2793</v>
      </c>
      <c r="M232" s="32" t="s">
        <v>422</v>
      </c>
      <c r="N232" s="32" t="s">
        <v>1225</v>
      </c>
      <c r="O232" s="32" t="s">
        <v>1225</v>
      </c>
      <c r="P232" s="32" t="s">
        <v>1225</v>
      </c>
      <c r="Q232" s="32" t="s">
        <v>1227</v>
      </c>
      <c r="R232" s="32" t="s">
        <v>1225</v>
      </c>
      <c r="S232" s="32" t="s">
        <v>1225</v>
      </c>
      <c r="T232" s="32" t="s">
        <v>1225</v>
      </c>
      <c r="U232" s="32" t="s">
        <v>1225</v>
      </c>
      <c r="V232" s="32" t="s">
        <v>1225</v>
      </c>
      <c r="W232" s="32" t="s">
        <v>2794</v>
      </c>
      <c r="X232" s="32" t="s">
        <v>2795</v>
      </c>
      <c r="Y232" s="32" t="s">
        <v>2796</v>
      </c>
      <c r="Z232" s="32" t="s">
        <v>1225</v>
      </c>
      <c r="AA232" s="32" t="s">
        <v>1225</v>
      </c>
      <c r="AB232" s="32" t="s">
        <v>1225</v>
      </c>
      <c r="AC232" s="32" t="s">
        <v>1225</v>
      </c>
      <c r="AD232" s="32" t="s">
        <v>1225</v>
      </c>
      <c r="AE232" s="32" t="s">
        <v>1225</v>
      </c>
      <c r="AF232" s="32" t="s">
        <v>1225</v>
      </c>
      <c r="AG232" s="32" t="s">
        <v>1225</v>
      </c>
      <c r="AH232" s="32" t="s">
        <v>1225</v>
      </c>
      <c r="AI232" s="32" t="s">
        <v>1225</v>
      </c>
      <c r="AJ232" s="32" t="s">
        <v>1225</v>
      </c>
      <c r="AK232" s="32" t="s">
        <v>1225</v>
      </c>
      <c r="AL232" s="32" t="s">
        <v>1225</v>
      </c>
      <c r="AM232" s="32" t="s">
        <v>1225</v>
      </c>
      <c r="AN232" s="32" t="s">
        <v>1225</v>
      </c>
      <c r="AO232" s="32" t="s">
        <v>1225</v>
      </c>
      <c r="AP232" s="32" t="s">
        <v>1225</v>
      </c>
      <c r="AQ232" s="32" t="s">
        <v>1225</v>
      </c>
      <c r="AR232" s="32" t="s">
        <v>1225</v>
      </c>
      <c r="AS232" s="32" t="s">
        <v>1225</v>
      </c>
      <c r="AT232" s="32" t="s">
        <v>1225</v>
      </c>
      <c r="AU232" s="32" t="s">
        <v>1225</v>
      </c>
      <c r="AV232" s="32" t="s">
        <v>1225</v>
      </c>
      <c r="AW232" s="32" t="s">
        <v>1298</v>
      </c>
      <c r="AX232" s="32">
        <v>2020</v>
      </c>
      <c r="AY232" s="32">
        <v>13</v>
      </c>
      <c r="AZ232" s="32">
        <v>17</v>
      </c>
      <c r="BA232" s="32" t="s">
        <v>1225</v>
      </c>
      <c r="BB232" s="32" t="s">
        <v>1225</v>
      </c>
      <c r="BC232" s="32" t="s">
        <v>1225</v>
      </c>
      <c r="BD232" s="32" t="s">
        <v>1225</v>
      </c>
      <c r="BE232" s="32" t="s">
        <v>1225</v>
      </c>
      <c r="BF232" s="32" t="s">
        <v>1225</v>
      </c>
      <c r="BG232" s="32">
        <v>4387</v>
      </c>
      <c r="BH232" s="32" t="s">
        <v>2797</v>
      </c>
      <c r="BI232" s="32" t="str">
        <f>HYPERLINK("http://dx.doi.org/10.3390/en13174387","http://dx.doi.org/10.3390/en13174387")</f>
        <v>http://dx.doi.org/10.3390/en13174387</v>
      </c>
      <c r="BJ232" s="32" t="s">
        <v>1225</v>
      </c>
      <c r="BK232" s="32" t="s">
        <v>1225</v>
      </c>
      <c r="BL232" s="32" t="s">
        <v>1225</v>
      </c>
      <c r="BM232" s="32" t="s">
        <v>1225</v>
      </c>
      <c r="BN232" s="32" t="s">
        <v>1225</v>
      </c>
      <c r="BO232" s="32" t="s">
        <v>1225</v>
      </c>
      <c r="BP232" s="32" t="s">
        <v>1225</v>
      </c>
      <c r="BQ232" s="32" t="s">
        <v>1225</v>
      </c>
      <c r="BR232" s="32" t="s">
        <v>1225</v>
      </c>
      <c r="BS232" s="32" t="s">
        <v>1225</v>
      </c>
      <c r="BT232" s="32" t="s">
        <v>1225</v>
      </c>
      <c r="BU232" s="32" t="s">
        <v>1225</v>
      </c>
      <c r="BV232" s="32" t="s">
        <v>1225</v>
      </c>
      <c r="BW232" s="32" t="str">
        <f t="shared" si="6"/>
        <v>View Full Record in Web of Science</v>
      </c>
      <c r="BY232" s="41" t="str">
        <f>IF(Deletion!J232=TRUE,"Yes","No")</f>
        <v>Yes</v>
      </c>
    </row>
    <row r="233" spans="1:77" x14ac:dyDescent="0.15">
      <c r="A233" s="34">
        <f t="shared" si="7"/>
        <v>232</v>
      </c>
      <c r="B233" s="34" t="s">
        <v>4</v>
      </c>
      <c r="C233" s="34" t="s">
        <v>4</v>
      </c>
      <c r="D233" s="34" t="s">
        <v>1223</v>
      </c>
      <c r="E233" s="34" t="s">
        <v>2798</v>
      </c>
      <c r="F233" s="32" t="s">
        <v>1225</v>
      </c>
      <c r="G233" s="32" t="s">
        <v>1225</v>
      </c>
      <c r="H233" s="32" t="s">
        <v>1225</v>
      </c>
      <c r="I233" s="34" t="s">
        <v>2799</v>
      </c>
      <c r="J233" s="32" t="s">
        <v>1225</v>
      </c>
      <c r="K233" s="32" t="s">
        <v>1225</v>
      </c>
      <c r="L233" s="34" t="s">
        <v>2800</v>
      </c>
      <c r="M233" s="34" t="s">
        <v>2801</v>
      </c>
      <c r="N233" s="32" t="s">
        <v>1225</v>
      </c>
      <c r="O233" s="32" t="s">
        <v>1225</v>
      </c>
      <c r="P233" s="32" t="s">
        <v>1225</v>
      </c>
      <c r="Q233" s="34" t="s">
        <v>1227</v>
      </c>
      <c r="R233" s="32" t="s">
        <v>1225</v>
      </c>
      <c r="S233" s="32" t="s">
        <v>1225</v>
      </c>
      <c r="T233" s="32" t="s">
        <v>1225</v>
      </c>
      <c r="U233" s="32" t="s">
        <v>1225</v>
      </c>
      <c r="V233" s="32" t="s">
        <v>1225</v>
      </c>
      <c r="W233" s="34" t="s">
        <v>2802</v>
      </c>
      <c r="X233" s="34" t="s">
        <v>2803</v>
      </c>
      <c r="Y233" s="34" t="s">
        <v>2804</v>
      </c>
      <c r="Z233" s="32" t="s">
        <v>1225</v>
      </c>
      <c r="AA233" s="32" t="s">
        <v>1225</v>
      </c>
      <c r="AB233" s="32" t="s">
        <v>1225</v>
      </c>
      <c r="AC233" s="32" t="s">
        <v>1225</v>
      </c>
      <c r="AD233" s="32" t="s">
        <v>1225</v>
      </c>
      <c r="AE233" s="32" t="s">
        <v>1225</v>
      </c>
      <c r="AF233" s="32" t="s">
        <v>1225</v>
      </c>
      <c r="AG233" s="32" t="s">
        <v>1225</v>
      </c>
      <c r="AH233" s="32" t="s">
        <v>1225</v>
      </c>
      <c r="AI233" s="32" t="s">
        <v>1225</v>
      </c>
      <c r="AJ233" s="32" t="s">
        <v>1225</v>
      </c>
      <c r="AK233" s="32" t="s">
        <v>1225</v>
      </c>
      <c r="AL233" s="32" t="s">
        <v>1225</v>
      </c>
      <c r="AM233" s="32" t="s">
        <v>1225</v>
      </c>
      <c r="AN233" s="32" t="s">
        <v>1225</v>
      </c>
      <c r="AO233" s="32" t="s">
        <v>1225</v>
      </c>
      <c r="AP233" s="32" t="s">
        <v>1225</v>
      </c>
      <c r="AQ233" s="32" t="s">
        <v>1225</v>
      </c>
      <c r="AR233" s="32" t="s">
        <v>1225</v>
      </c>
      <c r="AS233" s="32" t="s">
        <v>1225</v>
      </c>
      <c r="AT233" s="32" t="s">
        <v>1225</v>
      </c>
      <c r="AU233" s="32" t="s">
        <v>1225</v>
      </c>
      <c r="AV233" s="32" t="s">
        <v>1225</v>
      </c>
      <c r="AW233" s="34" t="s">
        <v>1229</v>
      </c>
      <c r="AX233" s="34">
        <v>2018</v>
      </c>
      <c r="AY233" s="32">
        <v>27</v>
      </c>
      <c r="AZ233" s="32">
        <v>11</v>
      </c>
      <c r="BA233" s="32" t="s">
        <v>1225</v>
      </c>
      <c r="BB233" s="32" t="s">
        <v>1225</v>
      </c>
      <c r="BC233" s="32" t="s">
        <v>1511</v>
      </c>
      <c r="BD233" s="32" t="s">
        <v>1225</v>
      </c>
      <c r="BE233" s="32">
        <v>2054</v>
      </c>
      <c r="BF233" s="32">
        <v>2070</v>
      </c>
      <c r="BG233" s="32" t="s">
        <v>1225</v>
      </c>
      <c r="BH233" s="34" t="s">
        <v>2805</v>
      </c>
      <c r="BI233" s="34" t="str">
        <f>HYPERLINK("http://dx.doi.org/10.1111/poms.12876","http://dx.doi.org/10.1111/poms.12876")</f>
        <v>http://dx.doi.org/10.1111/poms.12876</v>
      </c>
      <c r="BJ233" s="32" t="s">
        <v>1225</v>
      </c>
      <c r="BK233" s="32" t="s">
        <v>1225</v>
      </c>
      <c r="BL233" s="32" t="s">
        <v>1225</v>
      </c>
      <c r="BM233" s="32" t="s">
        <v>1225</v>
      </c>
      <c r="BN233" s="32" t="s">
        <v>1225</v>
      </c>
      <c r="BO233" s="32" t="s">
        <v>1225</v>
      </c>
      <c r="BP233" s="32" t="s">
        <v>1225</v>
      </c>
      <c r="BQ233" s="32" t="s">
        <v>1225</v>
      </c>
      <c r="BR233" s="32" t="s">
        <v>1225</v>
      </c>
      <c r="BS233" s="32" t="s">
        <v>1225</v>
      </c>
      <c r="BT233" s="32" t="s">
        <v>1225</v>
      </c>
      <c r="BU233" s="32" t="s">
        <v>1225</v>
      </c>
      <c r="BV233" s="32" t="s">
        <v>1225</v>
      </c>
      <c r="BW233" s="32" t="str">
        <f t="shared" si="6"/>
        <v>View Full Record in Web of Science</v>
      </c>
      <c r="BY233" s="41" t="str">
        <f>IF(Deletion!J233=TRUE,"Yes","No")</f>
        <v>No</v>
      </c>
    </row>
    <row r="234" spans="1:77" x14ac:dyDescent="0.15">
      <c r="A234" s="32">
        <f t="shared" si="7"/>
        <v>233</v>
      </c>
      <c r="D234" s="32" t="s">
        <v>1223</v>
      </c>
      <c r="E234" s="32" t="s">
        <v>2806</v>
      </c>
      <c r="F234" s="32" t="s">
        <v>1225</v>
      </c>
      <c r="G234" s="32" t="s">
        <v>1225</v>
      </c>
      <c r="H234" s="32" t="s">
        <v>1225</v>
      </c>
      <c r="I234" s="32" t="s">
        <v>2807</v>
      </c>
      <c r="J234" s="32" t="s">
        <v>1225</v>
      </c>
      <c r="K234" s="32" t="s">
        <v>1225</v>
      </c>
      <c r="L234" s="32" t="s">
        <v>2808</v>
      </c>
      <c r="M234" s="32" t="s">
        <v>1803</v>
      </c>
      <c r="N234" s="32" t="s">
        <v>1225</v>
      </c>
      <c r="O234" s="32" t="s">
        <v>1225</v>
      </c>
      <c r="P234" s="32" t="s">
        <v>1225</v>
      </c>
      <c r="Q234" s="32" t="s">
        <v>1227</v>
      </c>
      <c r="R234" s="32" t="s">
        <v>1225</v>
      </c>
      <c r="S234" s="32" t="s">
        <v>1225</v>
      </c>
      <c r="T234" s="32" t="s">
        <v>1225</v>
      </c>
      <c r="U234" s="32" t="s">
        <v>1225</v>
      </c>
      <c r="V234" s="32" t="s">
        <v>1225</v>
      </c>
      <c r="W234" s="32" t="s">
        <v>2809</v>
      </c>
      <c r="X234" s="32" t="s">
        <v>2810</v>
      </c>
      <c r="Y234" s="32" t="s">
        <v>2811</v>
      </c>
      <c r="Z234" s="32" t="s">
        <v>1225</v>
      </c>
      <c r="AA234" s="32" t="s">
        <v>1225</v>
      </c>
      <c r="AB234" s="32" t="s">
        <v>1225</v>
      </c>
      <c r="AC234" s="32" t="s">
        <v>1225</v>
      </c>
      <c r="AD234" s="32" t="s">
        <v>1225</v>
      </c>
      <c r="AE234" s="32" t="s">
        <v>1225</v>
      </c>
      <c r="AF234" s="32" t="s">
        <v>1225</v>
      </c>
      <c r="AG234" s="32" t="s">
        <v>1225</v>
      </c>
      <c r="AH234" s="32" t="s">
        <v>1225</v>
      </c>
      <c r="AI234" s="32" t="s">
        <v>1225</v>
      </c>
      <c r="AJ234" s="32" t="s">
        <v>1225</v>
      </c>
      <c r="AK234" s="32" t="s">
        <v>1225</v>
      </c>
      <c r="AL234" s="32" t="s">
        <v>1225</v>
      </c>
      <c r="AM234" s="32" t="s">
        <v>1225</v>
      </c>
      <c r="AN234" s="32" t="s">
        <v>1225</v>
      </c>
      <c r="AO234" s="32" t="s">
        <v>1225</v>
      </c>
      <c r="AP234" s="32" t="s">
        <v>1225</v>
      </c>
      <c r="AQ234" s="32" t="s">
        <v>1225</v>
      </c>
      <c r="AR234" s="32" t="s">
        <v>1225</v>
      </c>
      <c r="AS234" s="32" t="s">
        <v>1225</v>
      </c>
      <c r="AT234" s="32" t="s">
        <v>1225</v>
      </c>
      <c r="AU234" s="32" t="s">
        <v>1225</v>
      </c>
      <c r="AV234" s="32" t="s">
        <v>1225</v>
      </c>
      <c r="AW234" s="32" t="s">
        <v>2168</v>
      </c>
      <c r="AX234" s="32">
        <v>2017</v>
      </c>
      <c r="AY234" s="32">
        <v>148</v>
      </c>
      <c r="AZ234" s="32" t="s">
        <v>1225</v>
      </c>
      <c r="BA234" s="32" t="s">
        <v>1225</v>
      </c>
      <c r="BB234" s="32" t="s">
        <v>1225</v>
      </c>
      <c r="BC234" s="32" t="s">
        <v>1225</v>
      </c>
      <c r="BD234" s="32" t="s">
        <v>1225</v>
      </c>
      <c r="BE234" s="32">
        <v>336</v>
      </c>
      <c r="BF234" s="32">
        <v>346</v>
      </c>
      <c r="BG234" s="32" t="s">
        <v>1225</v>
      </c>
      <c r="BH234" s="32" t="s">
        <v>2812</v>
      </c>
      <c r="BI234" s="32" t="str">
        <f>HYPERLINK("http://dx.doi.org/10.1016/j.jclepro.2017.01.178","http://dx.doi.org/10.1016/j.jclepro.2017.01.178")</f>
        <v>http://dx.doi.org/10.1016/j.jclepro.2017.01.178</v>
      </c>
      <c r="BJ234" s="32" t="s">
        <v>1225</v>
      </c>
      <c r="BK234" s="32" t="s">
        <v>1225</v>
      </c>
      <c r="BL234" s="32" t="s">
        <v>1225</v>
      </c>
      <c r="BM234" s="32" t="s">
        <v>1225</v>
      </c>
      <c r="BN234" s="32" t="s">
        <v>1225</v>
      </c>
      <c r="BO234" s="32" t="s">
        <v>1225</v>
      </c>
      <c r="BP234" s="32" t="s">
        <v>1225</v>
      </c>
      <c r="BQ234" s="32" t="s">
        <v>1225</v>
      </c>
      <c r="BR234" s="32" t="s">
        <v>1225</v>
      </c>
      <c r="BS234" s="32" t="s">
        <v>1225</v>
      </c>
      <c r="BT234" s="32" t="s">
        <v>1225</v>
      </c>
      <c r="BU234" s="32" t="s">
        <v>1225</v>
      </c>
      <c r="BV234" s="32" t="s">
        <v>1225</v>
      </c>
      <c r="BW234" s="32" t="str">
        <f t="shared" si="6"/>
        <v>View Full Record in Web of Science</v>
      </c>
      <c r="BY234" s="41" t="str">
        <f>IF(Deletion!J234=TRUE,"Yes","No")</f>
        <v>Yes</v>
      </c>
    </row>
    <row r="235" spans="1:77" x14ac:dyDescent="0.15">
      <c r="A235" s="32">
        <f t="shared" si="7"/>
        <v>234</v>
      </c>
      <c r="D235" s="32" t="s">
        <v>1223</v>
      </c>
      <c r="E235" s="32" t="s">
        <v>2813</v>
      </c>
      <c r="F235" s="32" t="s">
        <v>1225</v>
      </c>
      <c r="G235" s="32" t="s">
        <v>1225</v>
      </c>
      <c r="H235" s="32" t="s">
        <v>1225</v>
      </c>
      <c r="I235" s="32" t="s">
        <v>2814</v>
      </c>
      <c r="J235" s="32" t="s">
        <v>1225</v>
      </c>
      <c r="K235" s="32" t="s">
        <v>1225</v>
      </c>
      <c r="L235" s="32" t="s">
        <v>2815</v>
      </c>
      <c r="M235" s="32" t="s">
        <v>422</v>
      </c>
      <c r="N235" s="32" t="s">
        <v>1225</v>
      </c>
      <c r="O235" s="32" t="s">
        <v>1225</v>
      </c>
      <c r="P235" s="32" t="s">
        <v>1225</v>
      </c>
      <c r="Q235" s="32" t="s">
        <v>1227</v>
      </c>
      <c r="R235" s="32" t="s">
        <v>1225</v>
      </c>
      <c r="S235" s="32" t="s">
        <v>1225</v>
      </c>
      <c r="T235" s="32" t="s">
        <v>1225</v>
      </c>
      <c r="U235" s="32" t="s">
        <v>1225</v>
      </c>
      <c r="V235" s="32" t="s">
        <v>1225</v>
      </c>
      <c r="W235" s="32" t="s">
        <v>2816</v>
      </c>
      <c r="X235" s="32" t="s">
        <v>2817</v>
      </c>
      <c r="Y235" s="32" t="s">
        <v>2818</v>
      </c>
      <c r="Z235" s="32" t="s">
        <v>1225</v>
      </c>
      <c r="AA235" s="32" t="s">
        <v>1225</v>
      </c>
      <c r="AB235" s="32" t="s">
        <v>1225</v>
      </c>
      <c r="AC235" s="32" t="s">
        <v>1225</v>
      </c>
      <c r="AD235" s="32" t="s">
        <v>1225</v>
      </c>
      <c r="AE235" s="32" t="s">
        <v>1225</v>
      </c>
      <c r="AF235" s="32" t="s">
        <v>1225</v>
      </c>
      <c r="AG235" s="32" t="s">
        <v>1225</v>
      </c>
      <c r="AH235" s="32" t="s">
        <v>1225</v>
      </c>
      <c r="AI235" s="32" t="s">
        <v>1225</v>
      </c>
      <c r="AJ235" s="32" t="s">
        <v>1225</v>
      </c>
      <c r="AK235" s="32" t="s">
        <v>1225</v>
      </c>
      <c r="AL235" s="32" t="s">
        <v>1225</v>
      </c>
      <c r="AM235" s="32" t="s">
        <v>1225</v>
      </c>
      <c r="AN235" s="32" t="s">
        <v>1225</v>
      </c>
      <c r="AO235" s="32" t="s">
        <v>1225</v>
      </c>
      <c r="AP235" s="32" t="s">
        <v>1225</v>
      </c>
      <c r="AQ235" s="32" t="s">
        <v>1225</v>
      </c>
      <c r="AR235" s="32" t="s">
        <v>1225</v>
      </c>
      <c r="AS235" s="32" t="s">
        <v>1225</v>
      </c>
      <c r="AT235" s="32" t="s">
        <v>1225</v>
      </c>
      <c r="AU235" s="32" t="s">
        <v>1225</v>
      </c>
      <c r="AV235" s="32" t="s">
        <v>1225</v>
      </c>
      <c r="AW235" s="32" t="s">
        <v>1272</v>
      </c>
      <c r="AX235" s="32">
        <v>2020</v>
      </c>
      <c r="AY235" s="32">
        <v>13</v>
      </c>
      <c r="AZ235" s="32">
        <v>5</v>
      </c>
      <c r="BA235" s="32" t="s">
        <v>1225</v>
      </c>
      <c r="BB235" s="32" t="s">
        <v>1225</v>
      </c>
      <c r="BC235" s="32" t="s">
        <v>1225</v>
      </c>
      <c r="BD235" s="32" t="s">
        <v>1225</v>
      </c>
      <c r="BE235" s="32" t="s">
        <v>1225</v>
      </c>
      <c r="BF235" s="32" t="s">
        <v>1225</v>
      </c>
      <c r="BG235" s="32">
        <v>1275</v>
      </c>
      <c r="BH235" s="32" t="s">
        <v>2819</v>
      </c>
      <c r="BI235" s="32" t="str">
        <f>HYPERLINK("http://dx.doi.org/10.3390/en13051275","http://dx.doi.org/10.3390/en13051275")</f>
        <v>http://dx.doi.org/10.3390/en13051275</v>
      </c>
      <c r="BJ235" s="32" t="s">
        <v>1225</v>
      </c>
      <c r="BK235" s="32" t="s">
        <v>1225</v>
      </c>
      <c r="BL235" s="32" t="s">
        <v>1225</v>
      </c>
      <c r="BM235" s="32" t="s">
        <v>1225</v>
      </c>
      <c r="BN235" s="32" t="s">
        <v>1225</v>
      </c>
      <c r="BO235" s="32" t="s">
        <v>1225</v>
      </c>
      <c r="BP235" s="32" t="s">
        <v>1225</v>
      </c>
      <c r="BQ235" s="32" t="s">
        <v>1225</v>
      </c>
      <c r="BR235" s="32" t="s">
        <v>1225</v>
      </c>
      <c r="BS235" s="32" t="s">
        <v>1225</v>
      </c>
      <c r="BT235" s="32" t="s">
        <v>1225</v>
      </c>
      <c r="BU235" s="32" t="s">
        <v>1225</v>
      </c>
      <c r="BV235" s="32" t="s">
        <v>1225</v>
      </c>
      <c r="BW235" s="32" t="str">
        <f t="shared" si="6"/>
        <v>View Full Record in Web of Science</v>
      </c>
      <c r="BY235" s="41" t="str">
        <f>IF(Deletion!J235=TRUE,"Yes","No")</f>
        <v>Yes</v>
      </c>
    </row>
    <row r="236" spans="1:77" x14ac:dyDescent="0.15">
      <c r="A236" s="32">
        <f t="shared" si="7"/>
        <v>235</v>
      </c>
      <c r="D236" s="32" t="s">
        <v>1223</v>
      </c>
      <c r="E236" s="32" t="s">
        <v>2820</v>
      </c>
      <c r="F236" s="32" t="s">
        <v>1225</v>
      </c>
      <c r="G236" s="32" t="s">
        <v>1225</v>
      </c>
      <c r="H236" s="32" t="s">
        <v>1225</v>
      </c>
      <c r="I236" s="32" t="s">
        <v>2821</v>
      </c>
      <c r="J236" s="32" t="s">
        <v>1225</v>
      </c>
      <c r="K236" s="32" t="s">
        <v>1225</v>
      </c>
      <c r="L236" s="32" t="s">
        <v>2822</v>
      </c>
      <c r="M236" s="32" t="s">
        <v>278</v>
      </c>
      <c r="N236" s="32" t="s">
        <v>1225</v>
      </c>
      <c r="O236" s="32" t="s">
        <v>1225</v>
      </c>
      <c r="P236" s="32" t="s">
        <v>1225</v>
      </c>
      <c r="Q236" s="32" t="s">
        <v>1227</v>
      </c>
      <c r="R236" s="32" t="s">
        <v>1225</v>
      </c>
      <c r="S236" s="32" t="s">
        <v>1225</v>
      </c>
      <c r="T236" s="32" t="s">
        <v>1225</v>
      </c>
      <c r="U236" s="32" t="s">
        <v>1225</v>
      </c>
      <c r="V236" s="32" t="s">
        <v>1225</v>
      </c>
      <c r="W236" s="32" t="s">
        <v>2823</v>
      </c>
      <c r="X236" s="32" t="s">
        <v>2824</v>
      </c>
      <c r="Y236" s="32" t="s">
        <v>2825</v>
      </c>
      <c r="Z236" s="32" t="s">
        <v>1225</v>
      </c>
      <c r="AA236" s="32" t="s">
        <v>1225</v>
      </c>
      <c r="AB236" s="32" t="s">
        <v>1225</v>
      </c>
      <c r="AC236" s="32" t="s">
        <v>1225</v>
      </c>
      <c r="AD236" s="32" t="s">
        <v>1225</v>
      </c>
      <c r="AE236" s="32" t="s">
        <v>1225</v>
      </c>
      <c r="AF236" s="32" t="s">
        <v>1225</v>
      </c>
      <c r="AG236" s="32" t="s">
        <v>1225</v>
      </c>
      <c r="AH236" s="32" t="s">
        <v>1225</v>
      </c>
      <c r="AI236" s="32" t="s">
        <v>1225</v>
      </c>
      <c r="AJ236" s="32" t="s">
        <v>1225</v>
      </c>
      <c r="AK236" s="32" t="s">
        <v>1225</v>
      </c>
      <c r="AL236" s="32" t="s">
        <v>1225</v>
      </c>
      <c r="AM236" s="32" t="s">
        <v>1225</v>
      </c>
      <c r="AN236" s="32" t="s">
        <v>1225</v>
      </c>
      <c r="AO236" s="32" t="s">
        <v>1225</v>
      </c>
      <c r="AP236" s="32" t="s">
        <v>1225</v>
      </c>
      <c r="AQ236" s="32" t="s">
        <v>1225</v>
      </c>
      <c r="AR236" s="32" t="s">
        <v>1225</v>
      </c>
      <c r="AS236" s="32" t="s">
        <v>1225</v>
      </c>
      <c r="AT236" s="32" t="s">
        <v>1225</v>
      </c>
      <c r="AU236" s="32" t="s">
        <v>1225</v>
      </c>
      <c r="AV236" s="32" t="s">
        <v>1225</v>
      </c>
      <c r="AW236" s="32" t="s">
        <v>1276</v>
      </c>
      <c r="AX236" s="32">
        <v>2016</v>
      </c>
      <c r="AY236" s="32">
        <v>26</v>
      </c>
      <c r="AZ236" s="32" t="s">
        <v>1225</v>
      </c>
      <c r="BA236" s="32" t="s">
        <v>1225</v>
      </c>
      <c r="BB236" s="32" t="s">
        <v>1225</v>
      </c>
      <c r="BC236" s="32" t="s">
        <v>1225</v>
      </c>
      <c r="BD236" s="32" t="s">
        <v>1225</v>
      </c>
      <c r="BE236" s="32">
        <v>496</v>
      </c>
      <c r="BF236" s="32">
        <v>506</v>
      </c>
      <c r="BG236" s="32" t="s">
        <v>1225</v>
      </c>
      <c r="BH236" s="32" t="s">
        <v>2826</v>
      </c>
      <c r="BI236" s="32" t="str">
        <f>HYPERLINK("http://dx.doi.org/10.1016/j.scs.2016.03.012","http://dx.doi.org/10.1016/j.scs.2016.03.012")</f>
        <v>http://dx.doi.org/10.1016/j.scs.2016.03.012</v>
      </c>
      <c r="BJ236" s="32" t="s">
        <v>1225</v>
      </c>
      <c r="BK236" s="32" t="s">
        <v>1225</v>
      </c>
      <c r="BL236" s="32" t="s">
        <v>1225</v>
      </c>
      <c r="BM236" s="32" t="s">
        <v>1225</v>
      </c>
      <c r="BN236" s="32" t="s">
        <v>1225</v>
      </c>
      <c r="BO236" s="32" t="s">
        <v>1225</v>
      </c>
      <c r="BP236" s="32" t="s">
        <v>1225</v>
      </c>
      <c r="BQ236" s="32" t="s">
        <v>1225</v>
      </c>
      <c r="BR236" s="32" t="s">
        <v>1225</v>
      </c>
      <c r="BS236" s="32" t="s">
        <v>1225</v>
      </c>
      <c r="BT236" s="32" t="s">
        <v>1225</v>
      </c>
      <c r="BU236" s="32" t="s">
        <v>1225</v>
      </c>
      <c r="BV236" s="32" t="s">
        <v>1225</v>
      </c>
      <c r="BW236" s="32" t="str">
        <f t="shared" si="6"/>
        <v>View Full Record in Web of Science</v>
      </c>
      <c r="BY236" s="41" t="str">
        <f>IF(Deletion!J236=TRUE,"Yes","No")</f>
        <v>Yes</v>
      </c>
    </row>
    <row r="237" spans="1:77" x14ac:dyDescent="0.15">
      <c r="A237" s="32">
        <f t="shared" si="7"/>
        <v>236</v>
      </c>
      <c r="D237" s="32" t="s">
        <v>1223</v>
      </c>
      <c r="E237" s="32" t="s">
        <v>2827</v>
      </c>
      <c r="F237" s="32" t="s">
        <v>1225</v>
      </c>
      <c r="G237" s="32" t="s">
        <v>1225</v>
      </c>
      <c r="H237" s="32" t="s">
        <v>1225</v>
      </c>
      <c r="I237" s="32" t="s">
        <v>2828</v>
      </c>
      <c r="J237" s="32" t="s">
        <v>1225</v>
      </c>
      <c r="K237" s="32" t="s">
        <v>1225</v>
      </c>
      <c r="L237" s="32" t="s">
        <v>2829</v>
      </c>
      <c r="M237" s="32" t="s">
        <v>1803</v>
      </c>
      <c r="N237" s="32" t="s">
        <v>1225</v>
      </c>
      <c r="O237" s="32" t="s">
        <v>1225</v>
      </c>
      <c r="P237" s="32" t="s">
        <v>1225</v>
      </c>
      <c r="Q237" s="32" t="s">
        <v>1227</v>
      </c>
      <c r="R237" s="32" t="s">
        <v>1225</v>
      </c>
      <c r="S237" s="32" t="s">
        <v>1225</v>
      </c>
      <c r="T237" s="32" t="s">
        <v>1225</v>
      </c>
      <c r="U237" s="32" t="s">
        <v>1225</v>
      </c>
      <c r="V237" s="32" t="s">
        <v>1225</v>
      </c>
      <c r="W237" s="32" t="s">
        <v>2830</v>
      </c>
      <c r="X237" s="32" t="s">
        <v>2831</v>
      </c>
      <c r="Y237" s="32" t="s">
        <v>2832</v>
      </c>
      <c r="Z237" s="32" t="s">
        <v>1225</v>
      </c>
      <c r="AA237" s="32" t="s">
        <v>1225</v>
      </c>
      <c r="AB237" s="32" t="s">
        <v>1225</v>
      </c>
      <c r="AC237" s="32" t="s">
        <v>1225</v>
      </c>
      <c r="AD237" s="32" t="s">
        <v>1225</v>
      </c>
      <c r="AE237" s="32" t="s">
        <v>1225</v>
      </c>
      <c r="AF237" s="32" t="s">
        <v>1225</v>
      </c>
      <c r="AG237" s="32" t="s">
        <v>1225</v>
      </c>
      <c r="AH237" s="32" t="s">
        <v>1225</v>
      </c>
      <c r="AI237" s="32" t="s">
        <v>1225</v>
      </c>
      <c r="AJ237" s="32" t="s">
        <v>1225</v>
      </c>
      <c r="AK237" s="32" t="s">
        <v>1225</v>
      </c>
      <c r="AL237" s="32" t="s">
        <v>1225</v>
      </c>
      <c r="AM237" s="32" t="s">
        <v>1225</v>
      </c>
      <c r="AN237" s="32" t="s">
        <v>1225</v>
      </c>
      <c r="AO237" s="32" t="s">
        <v>1225</v>
      </c>
      <c r="AP237" s="32" t="s">
        <v>1225</v>
      </c>
      <c r="AQ237" s="32" t="s">
        <v>1225</v>
      </c>
      <c r="AR237" s="32" t="s">
        <v>1225</v>
      </c>
      <c r="AS237" s="32" t="s">
        <v>1225</v>
      </c>
      <c r="AT237" s="32" t="s">
        <v>1225</v>
      </c>
      <c r="AU237" s="32" t="s">
        <v>1225</v>
      </c>
      <c r="AV237" s="32" t="s">
        <v>1225</v>
      </c>
      <c r="AW237" s="32" t="s">
        <v>2833</v>
      </c>
      <c r="AX237" s="32">
        <v>2020</v>
      </c>
      <c r="AY237" s="32">
        <v>261</v>
      </c>
      <c r="AZ237" s="32" t="s">
        <v>1225</v>
      </c>
      <c r="BA237" s="32" t="s">
        <v>1225</v>
      </c>
      <c r="BB237" s="32" t="s">
        <v>1225</v>
      </c>
      <c r="BC237" s="32" t="s">
        <v>1225</v>
      </c>
      <c r="BD237" s="32" t="s">
        <v>1225</v>
      </c>
      <c r="BE237" s="32" t="s">
        <v>1225</v>
      </c>
      <c r="BF237" s="32" t="s">
        <v>1225</v>
      </c>
      <c r="BG237" s="32">
        <v>121219</v>
      </c>
      <c r="BH237" s="32" t="s">
        <v>2834</v>
      </c>
      <c r="BI237" s="32" t="str">
        <f>HYPERLINK("http://dx.doi.org/10.1016/j.jclepro.2020.121219","http://dx.doi.org/10.1016/j.jclepro.2020.121219")</f>
        <v>http://dx.doi.org/10.1016/j.jclepro.2020.121219</v>
      </c>
      <c r="BJ237" s="32" t="s">
        <v>1225</v>
      </c>
      <c r="BK237" s="32" t="s">
        <v>1225</v>
      </c>
      <c r="BL237" s="32" t="s">
        <v>1225</v>
      </c>
      <c r="BM237" s="32" t="s">
        <v>1225</v>
      </c>
      <c r="BN237" s="32" t="s">
        <v>1225</v>
      </c>
      <c r="BO237" s="32" t="s">
        <v>1225</v>
      </c>
      <c r="BP237" s="32" t="s">
        <v>1225</v>
      </c>
      <c r="BQ237" s="32" t="s">
        <v>1225</v>
      </c>
      <c r="BR237" s="32" t="s">
        <v>1225</v>
      </c>
      <c r="BS237" s="32" t="s">
        <v>1225</v>
      </c>
      <c r="BT237" s="32" t="s">
        <v>1225</v>
      </c>
      <c r="BU237" s="32" t="s">
        <v>1225</v>
      </c>
      <c r="BV237" s="32" t="s">
        <v>1225</v>
      </c>
      <c r="BW237" s="32" t="str">
        <f t="shared" si="6"/>
        <v>View Full Record in Web of Science</v>
      </c>
      <c r="BY237" s="41" t="str">
        <f>IF(Deletion!J237=TRUE,"Yes","No")</f>
        <v>Yes</v>
      </c>
    </row>
    <row r="238" spans="1:77" x14ac:dyDescent="0.15">
      <c r="A238" s="34">
        <f t="shared" si="7"/>
        <v>237</v>
      </c>
      <c r="B238" s="34" t="s">
        <v>4</v>
      </c>
      <c r="C238" s="34" t="s">
        <v>4</v>
      </c>
      <c r="D238" s="34" t="s">
        <v>1223</v>
      </c>
      <c r="E238" s="34" t="s">
        <v>2835</v>
      </c>
      <c r="F238" s="32" t="s">
        <v>1225</v>
      </c>
      <c r="G238" s="32" t="s">
        <v>1225</v>
      </c>
      <c r="H238" s="32" t="s">
        <v>1225</v>
      </c>
      <c r="I238" s="34" t="s">
        <v>2836</v>
      </c>
      <c r="J238" s="32" t="s">
        <v>1225</v>
      </c>
      <c r="K238" s="32" t="s">
        <v>1225</v>
      </c>
      <c r="L238" s="34" t="s">
        <v>2837</v>
      </c>
      <c r="M238" s="34" t="s">
        <v>2838</v>
      </c>
      <c r="N238" s="32" t="s">
        <v>1225</v>
      </c>
      <c r="O238" s="32" t="s">
        <v>1225</v>
      </c>
      <c r="P238" s="32" t="s">
        <v>1225</v>
      </c>
      <c r="Q238" s="34" t="s">
        <v>1227</v>
      </c>
      <c r="R238" s="32" t="s">
        <v>1225</v>
      </c>
      <c r="S238" s="32" t="s">
        <v>1225</v>
      </c>
      <c r="T238" s="32" t="s">
        <v>1225</v>
      </c>
      <c r="U238" s="32" t="s">
        <v>1225</v>
      </c>
      <c r="V238" s="32" t="s">
        <v>1225</v>
      </c>
      <c r="W238" s="34" t="s">
        <v>2839</v>
      </c>
      <c r="X238" s="34" t="s">
        <v>1225</v>
      </c>
      <c r="Y238" s="34" t="s">
        <v>2840</v>
      </c>
      <c r="Z238" s="32" t="s">
        <v>1225</v>
      </c>
      <c r="AA238" s="32" t="s">
        <v>1225</v>
      </c>
      <c r="AB238" s="32" t="s">
        <v>1225</v>
      </c>
      <c r="AC238" s="32" t="s">
        <v>1225</v>
      </c>
      <c r="AD238" s="32" t="s">
        <v>1225</v>
      </c>
      <c r="AE238" s="32" t="s">
        <v>1225</v>
      </c>
      <c r="AF238" s="32" t="s">
        <v>1225</v>
      </c>
      <c r="AG238" s="32" t="s">
        <v>1225</v>
      </c>
      <c r="AH238" s="32" t="s">
        <v>1225</v>
      </c>
      <c r="AI238" s="32" t="s">
        <v>1225</v>
      </c>
      <c r="AJ238" s="32" t="s">
        <v>1225</v>
      </c>
      <c r="AK238" s="32" t="s">
        <v>1225</v>
      </c>
      <c r="AL238" s="32" t="s">
        <v>1225</v>
      </c>
      <c r="AM238" s="32" t="s">
        <v>1225</v>
      </c>
      <c r="AN238" s="32" t="s">
        <v>1225</v>
      </c>
      <c r="AO238" s="32" t="s">
        <v>1225</v>
      </c>
      <c r="AP238" s="32" t="s">
        <v>1225</v>
      </c>
      <c r="AQ238" s="32" t="s">
        <v>1225</v>
      </c>
      <c r="AR238" s="32" t="s">
        <v>1225</v>
      </c>
      <c r="AS238" s="32" t="s">
        <v>1225</v>
      </c>
      <c r="AT238" s="32" t="s">
        <v>1225</v>
      </c>
      <c r="AU238" s="32" t="s">
        <v>1225</v>
      </c>
      <c r="AV238" s="32" t="s">
        <v>1225</v>
      </c>
      <c r="AW238" s="34" t="s">
        <v>1726</v>
      </c>
      <c r="AX238" s="34">
        <v>2013</v>
      </c>
      <c r="AY238" s="32">
        <v>33</v>
      </c>
      <c r="AZ238" s="32">
        <v>2</v>
      </c>
      <c r="BA238" s="32" t="s">
        <v>1225</v>
      </c>
      <c r="BB238" s="32" t="s">
        <v>1225</v>
      </c>
      <c r="BC238" s="32" t="s">
        <v>1225</v>
      </c>
      <c r="BD238" s="32" t="s">
        <v>1225</v>
      </c>
      <c r="BE238" s="32">
        <v>245</v>
      </c>
      <c r="BF238" s="32">
        <v>251</v>
      </c>
      <c r="BG238" s="32" t="s">
        <v>1225</v>
      </c>
      <c r="BH238" s="34" t="s">
        <v>2841</v>
      </c>
      <c r="BI238" s="34" t="str">
        <f>HYPERLINK("http://dx.doi.org/10.1016/j.ijinfomgt.2012.11.007","http://dx.doi.org/10.1016/j.ijinfomgt.2012.11.007")</f>
        <v>http://dx.doi.org/10.1016/j.ijinfomgt.2012.11.007</v>
      </c>
      <c r="BJ238" s="32" t="s">
        <v>1225</v>
      </c>
      <c r="BK238" s="32" t="s">
        <v>1225</v>
      </c>
      <c r="BL238" s="32" t="s">
        <v>1225</v>
      </c>
      <c r="BM238" s="32" t="s">
        <v>1225</v>
      </c>
      <c r="BN238" s="32" t="s">
        <v>1225</v>
      </c>
      <c r="BO238" s="32" t="s">
        <v>1225</v>
      </c>
      <c r="BP238" s="32" t="s">
        <v>1225</v>
      </c>
      <c r="BQ238" s="32" t="s">
        <v>1225</v>
      </c>
      <c r="BR238" s="32" t="s">
        <v>1225</v>
      </c>
      <c r="BS238" s="32" t="s">
        <v>1225</v>
      </c>
      <c r="BT238" s="32" t="s">
        <v>1225</v>
      </c>
      <c r="BU238" s="32" t="s">
        <v>1225</v>
      </c>
      <c r="BV238" s="32" t="s">
        <v>1225</v>
      </c>
      <c r="BW238" s="32" t="str">
        <f t="shared" si="6"/>
        <v>View Full Record in Web of Science</v>
      </c>
      <c r="BY238" s="41" t="str">
        <f>IF(Deletion!J238=TRUE,"Yes","No")</f>
        <v>No</v>
      </c>
    </row>
    <row r="239" spans="1:77" x14ac:dyDescent="0.15">
      <c r="A239" s="38">
        <f t="shared" si="7"/>
        <v>238</v>
      </c>
      <c r="B239" s="38" t="s">
        <v>1413</v>
      </c>
      <c r="C239" s="38" t="s">
        <v>1413</v>
      </c>
      <c r="D239" s="38" t="s">
        <v>1223</v>
      </c>
      <c r="E239" s="38" t="s">
        <v>2842</v>
      </c>
      <c r="F239" s="32" t="s">
        <v>1225</v>
      </c>
      <c r="G239" s="32" t="s">
        <v>1225</v>
      </c>
      <c r="H239" s="32" t="s">
        <v>1225</v>
      </c>
      <c r="I239" s="38" t="s">
        <v>2843</v>
      </c>
      <c r="J239" s="32" t="s">
        <v>1225</v>
      </c>
      <c r="K239" s="32" t="s">
        <v>1225</v>
      </c>
      <c r="L239" s="38" t="s">
        <v>2844</v>
      </c>
      <c r="M239" s="38" t="s">
        <v>68</v>
      </c>
      <c r="N239" s="32" t="s">
        <v>1225</v>
      </c>
      <c r="O239" s="32" t="s">
        <v>1225</v>
      </c>
      <c r="P239" s="32" t="s">
        <v>1225</v>
      </c>
      <c r="Q239" s="38" t="s">
        <v>1417</v>
      </c>
      <c r="R239" s="32" t="s">
        <v>1225</v>
      </c>
      <c r="S239" s="32" t="s">
        <v>1225</v>
      </c>
      <c r="T239" s="32" t="s">
        <v>1225</v>
      </c>
      <c r="U239" s="32" t="s">
        <v>1225</v>
      </c>
      <c r="V239" s="32" t="s">
        <v>1225</v>
      </c>
      <c r="W239" s="38" t="s">
        <v>2845</v>
      </c>
      <c r="X239" s="38" t="s">
        <v>2846</v>
      </c>
      <c r="Y239" s="38" t="s">
        <v>2847</v>
      </c>
      <c r="Z239" s="32" t="s">
        <v>1225</v>
      </c>
      <c r="AA239" s="32" t="s">
        <v>1225</v>
      </c>
      <c r="AB239" s="32" t="s">
        <v>1225</v>
      </c>
      <c r="AC239" s="32" t="s">
        <v>1225</v>
      </c>
      <c r="AD239" s="32" t="s">
        <v>1225</v>
      </c>
      <c r="AE239" s="32" t="s">
        <v>1225</v>
      </c>
      <c r="AF239" s="32" t="s">
        <v>1225</v>
      </c>
      <c r="AG239" s="32" t="s">
        <v>1225</v>
      </c>
      <c r="AH239" s="32" t="s">
        <v>1225</v>
      </c>
      <c r="AI239" s="32" t="s">
        <v>1225</v>
      </c>
      <c r="AJ239" s="32" t="s">
        <v>1225</v>
      </c>
      <c r="AK239" s="32" t="s">
        <v>1225</v>
      </c>
      <c r="AL239" s="32" t="s">
        <v>1225</v>
      </c>
      <c r="AM239" s="32" t="s">
        <v>1225</v>
      </c>
      <c r="AN239" s="32" t="s">
        <v>1225</v>
      </c>
      <c r="AO239" s="32" t="s">
        <v>1225</v>
      </c>
      <c r="AP239" s="32" t="s">
        <v>1225</v>
      </c>
      <c r="AQ239" s="32" t="s">
        <v>1225</v>
      </c>
      <c r="AR239" s="32" t="s">
        <v>1225</v>
      </c>
      <c r="AS239" s="32" t="s">
        <v>1225</v>
      </c>
      <c r="AT239" s="32" t="s">
        <v>1225</v>
      </c>
      <c r="AU239" s="32" t="s">
        <v>1225</v>
      </c>
      <c r="AV239" s="32" t="s">
        <v>1225</v>
      </c>
      <c r="AW239" s="38" t="s">
        <v>1225</v>
      </c>
      <c r="AX239" s="38">
        <v>2021</v>
      </c>
      <c r="AY239" s="32">
        <v>9</v>
      </c>
      <c r="AZ239" s="32" t="s">
        <v>1225</v>
      </c>
      <c r="BA239" s="32" t="s">
        <v>1225</v>
      </c>
      <c r="BB239" s="32" t="s">
        <v>1225</v>
      </c>
      <c r="BC239" s="32" t="s">
        <v>1225</v>
      </c>
      <c r="BD239" s="32" t="s">
        <v>1225</v>
      </c>
      <c r="BE239" s="32">
        <v>41506</v>
      </c>
      <c r="BF239" s="32">
        <v>41531</v>
      </c>
      <c r="BG239" s="32" t="s">
        <v>1225</v>
      </c>
      <c r="BH239" s="38" t="s">
        <v>2848</v>
      </c>
      <c r="BI239" s="38" t="str">
        <f>HYPERLINK("http://dx.doi.org/10.1109/ACCESS.2021.3064354","http://dx.doi.org/10.1109/ACCESS.2021.3064354")</f>
        <v>http://dx.doi.org/10.1109/ACCESS.2021.3064354</v>
      </c>
      <c r="BJ239" s="32" t="s">
        <v>1225</v>
      </c>
      <c r="BK239" s="32" t="s">
        <v>1225</v>
      </c>
      <c r="BL239" s="32" t="s">
        <v>1225</v>
      </c>
      <c r="BM239" s="32" t="s">
        <v>1225</v>
      </c>
      <c r="BN239" s="32" t="s">
        <v>1225</v>
      </c>
      <c r="BO239" s="32" t="s">
        <v>1225</v>
      </c>
      <c r="BP239" s="32" t="s">
        <v>1225</v>
      </c>
      <c r="BQ239" s="32" t="s">
        <v>1225</v>
      </c>
      <c r="BR239" s="32" t="s">
        <v>1225</v>
      </c>
      <c r="BS239" s="32" t="s">
        <v>1225</v>
      </c>
      <c r="BT239" s="32" t="s">
        <v>1225</v>
      </c>
      <c r="BU239" s="32" t="s">
        <v>1225</v>
      </c>
      <c r="BV239" s="32" t="s">
        <v>1225</v>
      </c>
      <c r="BW239" s="32" t="str">
        <f t="shared" si="6"/>
        <v>View Full Record in Web of Science</v>
      </c>
      <c r="BY239" s="41" t="str">
        <f>IF(Deletion!J239=TRUE,"Yes","No")</f>
        <v>Yes</v>
      </c>
    </row>
    <row r="240" spans="1:77" x14ac:dyDescent="0.15">
      <c r="A240" s="32">
        <f t="shared" si="7"/>
        <v>239</v>
      </c>
      <c r="D240" s="32" t="s">
        <v>1223</v>
      </c>
      <c r="E240" s="32" t="s">
        <v>2849</v>
      </c>
      <c r="F240" s="32" t="s">
        <v>1225</v>
      </c>
      <c r="G240" s="32" t="s">
        <v>1225</v>
      </c>
      <c r="H240" s="32" t="s">
        <v>1225</v>
      </c>
      <c r="I240" s="32" t="s">
        <v>2850</v>
      </c>
      <c r="J240" s="32" t="s">
        <v>1225</v>
      </c>
      <c r="K240" s="32" t="s">
        <v>1225</v>
      </c>
      <c r="L240" s="32" t="s">
        <v>2851</v>
      </c>
      <c r="M240" s="32" t="s">
        <v>124</v>
      </c>
      <c r="N240" s="32" t="s">
        <v>1225</v>
      </c>
      <c r="O240" s="32" t="s">
        <v>1225</v>
      </c>
      <c r="P240" s="32" t="s">
        <v>1225</v>
      </c>
      <c r="Q240" s="32" t="s">
        <v>1227</v>
      </c>
      <c r="R240" s="32" t="s">
        <v>1225</v>
      </c>
      <c r="S240" s="32" t="s">
        <v>1225</v>
      </c>
      <c r="T240" s="32" t="s">
        <v>1225</v>
      </c>
      <c r="U240" s="32" t="s">
        <v>1225</v>
      </c>
      <c r="V240" s="32" t="s">
        <v>1225</v>
      </c>
      <c r="W240" s="32" t="s">
        <v>2852</v>
      </c>
      <c r="X240" s="32" t="s">
        <v>2853</v>
      </c>
      <c r="Y240" s="32" t="s">
        <v>2854</v>
      </c>
      <c r="Z240" s="32" t="s">
        <v>1225</v>
      </c>
      <c r="AA240" s="32" t="s">
        <v>1225</v>
      </c>
      <c r="AB240" s="32" t="s">
        <v>1225</v>
      </c>
      <c r="AC240" s="32" t="s">
        <v>1225</v>
      </c>
      <c r="AD240" s="32" t="s">
        <v>1225</v>
      </c>
      <c r="AE240" s="32" t="s">
        <v>1225</v>
      </c>
      <c r="AF240" s="32" t="s">
        <v>1225</v>
      </c>
      <c r="AG240" s="32" t="s">
        <v>1225</v>
      </c>
      <c r="AH240" s="32" t="s">
        <v>1225</v>
      </c>
      <c r="AI240" s="32" t="s">
        <v>1225</v>
      </c>
      <c r="AJ240" s="32" t="s">
        <v>1225</v>
      </c>
      <c r="AK240" s="32" t="s">
        <v>1225</v>
      </c>
      <c r="AL240" s="32" t="s">
        <v>1225</v>
      </c>
      <c r="AM240" s="32" t="s">
        <v>1225</v>
      </c>
      <c r="AN240" s="32" t="s">
        <v>1225</v>
      </c>
      <c r="AO240" s="32" t="s">
        <v>1225</v>
      </c>
      <c r="AP240" s="32" t="s">
        <v>1225</v>
      </c>
      <c r="AQ240" s="32" t="s">
        <v>1225</v>
      </c>
      <c r="AR240" s="32" t="s">
        <v>1225</v>
      </c>
      <c r="AS240" s="32" t="s">
        <v>1225</v>
      </c>
      <c r="AT240" s="32" t="s">
        <v>1225</v>
      </c>
      <c r="AU240" s="32" t="s">
        <v>1225</v>
      </c>
      <c r="AV240" s="32" t="s">
        <v>1225</v>
      </c>
      <c r="AW240" s="32" t="s">
        <v>1285</v>
      </c>
      <c r="AX240" s="32">
        <v>2014</v>
      </c>
      <c r="AY240" s="32">
        <v>5</v>
      </c>
      <c r="AZ240" s="32">
        <v>3</v>
      </c>
      <c r="BA240" s="32" t="s">
        <v>1225</v>
      </c>
      <c r="BB240" s="32" t="s">
        <v>1225</v>
      </c>
      <c r="BC240" s="32" t="s">
        <v>1225</v>
      </c>
      <c r="BD240" s="32" t="s">
        <v>1225</v>
      </c>
      <c r="BE240" s="32">
        <v>1196</v>
      </c>
      <c r="BF240" s="32">
        <v>1209</v>
      </c>
      <c r="BG240" s="32" t="s">
        <v>1225</v>
      </c>
      <c r="BH240" s="32" t="s">
        <v>2855</v>
      </c>
      <c r="BI240" s="32" t="str">
        <f>HYPERLINK("http://dx.doi.org/10.1109/TSG.2014.2303173","http://dx.doi.org/10.1109/TSG.2014.2303173")</f>
        <v>http://dx.doi.org/10.1109/TSG.2014.2303173</v>
      </c>
      <c r="BJ240" s="32" t="s">
        <v>1225</v>
      </c>
      <c r="BK240" s="32" t="s">
        <v>1225</v>
      </c>
      <c r="BL240" s="32" t="s">
        <v>1225</v>
      </c>
      <c r="BM240" s="32" t="s">
        <v>1225</v>
      </c>
      <c r="BN240" s="32" t="s">
        <v>1225</v>
      </c>
      <c r="BO240" s="32" t="s">
        <v>1225</v>
      </c>
      <c r="BP240" s="32" t="s">
        <v>1225</v>
      </c>
      <c r="BQ240" s="32" t="s">
        <v>1225</v>
      </c>
      <c r="BR240" s="32" t="s">
        <v>1225</v>
      </c>
      <c r="BS240" s="32" t="s">
        <v>1225</v>
      </c>
      <c r="BT240" s="32" t="s">
        <v>1225</v>
      </c>
      <c r="BU240" s="32" t="s">
        <v>1225</v>
      </c>
      <c r="BV240" s="32" t="s">
        <v>1225</v>
      </c>
      <c r="BW240" s="32" t="str">
        <f t="shared" si="6"/>
        <v>View Full Record in Web of Science</v>
      </c>
      <c r="BY240" s="41" t="str">
        <f>IF(Deletion!J240=TRUE,"Yes","No")</f>
        <v>Yes</v>
      </c>
    </row>
    <row r="241" spans="1:77" x14ac:dyDescent="0.15">
      <c r="A241" s="32">
        <f t="shared" si="7"/>
        <v>240</v>
      </c>
      <c r="D241" s="32" t="s">
        <v>1223</v>
      </c>
      <c r="E241" s="32" t="s">
        <v>2856</v>
      </c>
      <c r="F241" s="32" t="s">
        <v>1225</v>
      </c>
      <c r="G241" s="32" t="s">
        <v>1225</v>
      </c>
      <c r="H241" s="32" t="s">
        <v>1225</v>
      </c>
      <c r="I241" s="32" t="s">
        <v>2857</v>
      </c>
      <c r="J241" s="32" t="s">
        <v>1225</v>
      </c>
      <c r="K241" s="32" t="s">
        <v>1225</v>
      </c>
      <c r="L241" s="32" t="s">
        <v>2858</v>
      </c>
      <c r="M241" s="32" t="s">
        <v>2051</v>
      </c>
      <c r="N241" s="32" t="s">
        <v>1225</v>
      </c>
      <c r="O241" s="32" t="s">
        <v>1225</v>
      </c>
      <c r="P241" s="32" t="s">
        <v>1225</v>
      </c>
      <c r="Q241" s="32" t="s">
        <v>1227</v>
      </c>
      <c r="R241" s="32" t="s">
        <v>1225</v>
      </c>
      <c r="S241" s="32" t="s">
        <v>1225</v>
      </c>
      <c r="T241" s="32" t="s">
        <v>1225</v>
      </c>
      <c r="U241" s="32" t="s">
        <v>1225</v>
      </c>
      <c r="V241" s="32" t="s">
        <v>1225</v>
      </c>
      <c r="W241" s="32" t="s">
        <v>2859</v>
      </c>
      <c r="X241" s="32" t="s">
        <v>1225</v>
      </c>
      <c r="Y241" s="32" t="s">
        <v>2860</v>
      </c>
      <c r="Z241" s="32" t="s">
        <v>1225</v>
      </c>
      <c r="AA241" s="32" t="s">
        <v>1225</v>
      </c>
      <c r="AB241" s="32" t="s">
        <v>1225</v>
      </c>
      <c r="AC241" s="32" t="s">
        <v>1225</v>
      </c>
      <c r="AD241" s="32" t="s">
        <v>1225</v>
      </c>
      <c r="AE241" s="32" t="s">
        <v>1225</v>
      </c>
      <c r="AF241" s="32" t="s">
        <v>1225</v>
      </c>
      <c r="AG241" s="32" t="s">
        <v>1225</v>
      </c>
      <c r="AH241" s="32" t="s">
        <v>1225</v>
      </c>
      <c r="AI241" s="32" t="s">
        <v>1225</v>
      </c>
      <c r="AJ241" s="32" t="s">
        <v>1225</v>
      </c>
      <c r="AK241" s="32" t="s">
        <v>1225</v>
      </c>
      <c r="AL241" s="32" t="s">
        <v>1225</v>
      </c>
      <c r="AM241" s="32" t="s">
        <v>1225</v>
      </c>
      <c r="AN241" s="32" t="s">
        <v>1225</v>
      </c>
      <c r="AO241" s="32" t="s">
        <v>1225</v>
      </c>
      <c r="AP241" s="32" t="s">
        <v>1225</v>
      </c>
      <c r="AQ241" s="32" t="s">
        <v>1225</v>
      </c>
      <c r="AR241" s="32" t="s">
        <v>1225</v>
      </c>
      <c r="AS241" s="32" t="s">
        <v>1225</v>
      </c>
      <c r="AT241" s="32" t="s">
        <v>1225</v>
      </c>
      <c r="AU241" s="32" t="s">
        <v>1225</v>
      </c>
      <c r="AV241" s="32" t="s">
        <v>1225</v>
      </c>
      <c r="AW241" s="32" t="s">
        <v>1285</v>
      </c>
      <c r="AX241" s="32">
        <v>2020</v>
      </c>
      <c r="AY241" s="32">
        <v>16</v>
      </c>
      <c r="AZ241" s="32">
        <v>5</v>
      </c>
      <c r="BA241" s="32" t="s">
        <v>1225</v>
      </c>
      <c r="BB241" s="32" t="s">
        <v>1225</v>
      </c>
      <c r="BC241" s="32" t="s">
        <v>1225</v>
      </c>
      <c r="BD241" s="32" t="s">
        <v>1225</v>
      </c>
      <c r="BE241" s="32">
        <v>3493</v>
      </c>
      <c r="BF241" s="32">
        <v>3503</v>
      </c>
      <c r="BG241" s="32" t="s">
        <v>1225</v>
      </c>
      <c r="BH241" s="32" t="s">
        <v>2861</v>
      </c>
      <c r="BI241" s="32" t="str">
        <f>HYPERLINK("http://dx.doi.org/10.1109/TII.2019.2944183","http://dx.doi.org/10.1109/TII.2019.2944183")</f>
        <v>http://dx.doi.org/10.1109/TII.2019.2944183</v>
      </c>
      <c r="BJ241" s="32" t="s">
        <v>1225</v>
      </c>
      <c r="BK241" s="32" t="s">
        <v>1225</v>
      </c>
      <c r="BL241" s="32" t="s">
        <v>1225</v>
      </c>
      <c r="BM241" s="32" t="s">
        <v>1225</v>
      </c>
      <c r="BN241" s="32" t="s">
        <v>1225</v>
      </c>
      <c r="BO241" s="32" t="s">
        <v>1225</v>
      </c>
      <c r="BP241" s="32" t="s">
        <v>1225</v>
      </c>
      <c r="BQ241" s="32" t="s">
        <v>1225</v>
      </c>
      <c r="BR241" s="32" t="s">
        <v>1225</v>
      </c>
      <c r="BS241" s="32" t="s">
        <v>1225</v>
      </c>
      <c r="BT241" s="32" t="s">
        <v>1225</v>
      </c>
      <c r="BU241" s="32" t="s">
        <v>1225</v>
      </c>
      <c r="BV241" s="32" t="s">
        <v>1225</v>
      </c>
      <c r="BW241" s="32" t="str">
        <f t="shared" si="6"/>
        <v>View Full Record in Web of Science</v>
      </c>
      <c r="BY241" s="41" t="str">
        <f>IF(Deletion!J241=TRUE,"Yes","No")</f>
        <v>Yes</v>
      </c>
    </row>
    <row r="242" spans="1:77" x14ac:dyDescent="0.15">
      <c r="A242" s="32">
        <f t="shared" si="7"/>
        <v>241</v>
      </c>
      <c r="D242" s="32" t="s">
        <v>1223</v>
      </c>
      <c r="E242" s="32" t="s">
        <v>2862</v>
      </c>
      <c r="F242" s="32" t="s">
        <v>1225</v>
      </c>
      <c r="G242" s="32" t="s">
        <v>1225</v>
      </c>
      <c r="H242" s="32" t="s">
        <v>1225</v>
      </c>
      <c r="I242" s="32" t="s">
        <v>2863</v>
      </c>
      <c r="J242" s="32" t="s">
        <v>1225</v>
      </c>
      <c r="K242" s="32" t="s">
        <v>1225</v>
      </c>
      <c r="L242" s="32" t="s">
        <v>2864</v>
      </c>
      <c r="M242" s="32" t="s">
        <v>1803</v>
      </c>
      <c r="N242" s="32" t="s">
        <v>1225</v>
      </c>
      <c r="O242" s="32" t="s">
        <v>1225</v>
      </c>
      <c r="P242" s="32" t="s">
        <v>1225</v>
      </c>
      <c r="Q242" s="32" t="s">
        <v>1227</v>
      </c>
      <c r="R242" s="32" t="s">
        <v>1225</v>
      </c>
      <c r="S242" s="32" t="s">
        <v>1225</v>
      </c>
      <c r="T242" s="32" t="s">
        <v>1225</v>
      </c>
      <c r="U242" s="32" t="s">
        <v>1225</v>
      </c>
      <c r="V242" s="32" t="s">
        <v>1225</v>
      </c>
      <c r="W242" s="32" t="s">
        <v>2865</v>
      </c>
      <c r="X242" s="32" t="s">
        <v>2866</v>
      </c>
      <c r="Y242" s="32" t="s">
        <v>2867</v>
      </c>
      <c r="Z242" s="32" t="s">
        <v>1225</v>
      </c>
      <c r="AA242" s="32" t="s">
        <v>1225</v>
      </c>
      <c r="AB242" s="32" t="s">
        <v>1225</v>
      </c>
      <c r="AC242" s="32" t="s">
        <v>1225</v>
      </c>
      <c r="AD242" s="32" t="s">
        <v>1225</v>
      </c>
      <c r="AE242" s="32" t="s">
        <v>1225</v>
      </c>
      <c r="AF242" s="32" t="s">
        <v>1225</v>
      </c>
      <c r="AG242" s="32" t="s">
        <v>1225</v>
      </c>
      <c r="AH242" s="32" t="s">
        <v>1225</v>
      </c>
      <c r="AI242" s="32" t="s">
        <v>1225</v>
      </c>
      <c r="AJ242" s="32" t="s">
        <v>1225</v>
      </c>
      <c r="AK242" s="32" t="s">
        <v>1225</v>
      </c>
      <c r="AL242" s="32" t="s">
        <v>1225</v>
      </c>
      <c r="AM242" s="32" t="s">
        <v>1225</v>
      </c>
      <c r="AN242" s="32" t="s">
        <v>1225</v>
      </c>
      <c r="AO242" s="32" t="s">
        <v>1225</v>
      </c>
      <c r="AP242" s="32" t="s">
        <v>1225</v>
      </c>
      <c r="AQ242" s="32" t="s">
        <v>1225</v>
      </c>
      <c r="AR242" s="32" t="s">
        <v>1225</v>
      </c>
      <c r="AS242" s="32" t="s">
        <v>1225</v>
      </c>
      <c r="AT242" s="32" t="s">
        <v>1225</v>
      </c>
      <c r="AU242" s="32" t="s">
        <v>1225</v>
      </c>
      <c r="AV242" s="32" t="s">
        <v>1225</v>
      </c>
      <c r="AW242" s="32" t="s">
        <v>2642</v>
      </c>
      <c r="AX242" s="32">
        <v>2020</v>
      </c>
      <c r="AY242" s="32">
        <v>266</v>
      </c>
      <c r="AZ242" s="32" t="s">
        <v>1225</v>
      </c>
      <c r="BA242" s="32" t="s">
        <v>1225</v>
      </c>
      <c r="BB242" s="32" t="s">
        <v>1225</v>
      </c>
      <c r="BC242" s="32" t="s">
        <v>1225</v>
      </c>
      <c r="BD242" s="32" t="s">
        <v>1225</v>
      </c>
      <c r="BE242" s="32" t="s">
        <v>1225</v>
      </c>
      <c r="BF242" s="32" t="s">
        <v>1225</v>
      </c>
      <c r="BG242" s="32">
        <v>121926</v>
      </c>
      <c r="BH242" s="32" t="s">
        <v>2868</v>
      </c>
      <c r="BI242" s="32" t="str">
        <f>HYPERLINK("http://dx.doi.org/10.1016/j.jclepro.2020.121926","http://dx.doi.org/10.1016/j.jclepro.2020.121926")</f>
        <v>http://dx.doi.org/10.1016/j.jclepro.2020.121926</v>
      </c>
      <c r="BJ242" s="32" t="s">
        <v>1225</v>
      </c>
      <c r="BK242" s="32" t="s">
        <v>1225</v>
      </c>
      <c r="BL242" s="32" t="s">
        <v>1225</v>
      </c>
      <c r="BM242" s="32" t="s">
        <v>1225</v>
      </c>
      <c r="BN242" s="32" t="s">
        <v>1225</v>
      </c>
      <c r="BO242" s="32" t="s">
        <v>1225</v>
      </c>
      <c r="BP242" s="32" t="s">
        <v>1225</v>
      </c>
      <c r="BQ242" s="32" t="s">
        <v>1225</v>
      </c>
      <c r="BR242" s="32" t="s">
        <v>1225</v>
      </c>
      <c r="BS242" s="32" t="s">
        <v>1225</v>
      </c>
      <c r="BT242" s="32" t="s">
        <v>1225</v>
      </c>
      <c r="BU242" s="32" t="s">
        <v>1225</v>
      </c>
      <c r="BV242" s="32" t="s">
        <v>1225</v>
      </c>
      <c r="BW242" s="32" t="str">
        <f t="shared" si="6"/>
        <v>View Full Record in Web of Science</v>
      </c>
      <c r="BY242" s="41" t="str">
        <f>IF(Deletion!J242=TRUE,"Yes","No")</f>
        <v>Yes</v>
      </c>
    </row>
    <row r="243" spans="1:77" x14ac:dyDescent="0.15">
      <c r="A243" s="34">
        <f t="shared" si="7"/>
        <v>242</v>
      </c>
      <c r="B243" s="34" t="s">
        <v>4</v>
      </c>
      <c r="C243" s="34" t="s">
        <v>4</v>
      </c>
      <c r="D243" s="34" t="s">
        <v>1223</v>
      </c>
      <c r="E243" s="34" t="s">
        <v>2869</v>
      </c>
      <c r="F243" s="32" t="s">
        <v>1225</v>
      </c>
      <c r="G243" s="32" t="s">
        <v>1225</v>
      </c>
      <c r="H243" s="32" t="s">
        <v>1225</v>
      </c>
      <c r="I243" s="34" t="s">
        <v>2870</v>
      </c>
      <c r="J243" s="32" t="s">
        <v>1225</v>
      </c>
      <c r="K243" s="32" t="s">
        <v>1225</v>
      </c>
      <c r="L243" s="34" t="s">
        <v>2871</v>
      </c>
      <c r="M243" s="34" t="s">
        <v>2872</v>
      </c>
      <c r="N243" s="32" t="s">
        <v>1225</v>
      </c>
      <c r="O243" s="32" t="s">
        <v>1225</v>
      </c>
      <c r="P243" s="32" t="s">
        <v>1225</v>
      </c>
      <c r="Q243" s="34" t="s">
        <v>1795</v>
      </c>
      <c r="R243" s="32" t="s">
        <v>1225</v>
      </c>
      <c r="S243" s="32" t="s">
        <v>1225</v>
      </c>
      <c r="T243" s="32" t="s">
        <v>1225</v>
      </c>
      <c r="U243" s="32" t="s">
        <v>1225</v>
      </c>
      <c r="V243" s="32" t="s">
        <v>1225</v>
      </c>
      <c r="W243" s="34" t="s">
        <v>2873</v>
      </c>
      <c r="X243" s="34" t="s">
        <v>2874</v>
      </c>
      <c r="Y243" s="34" t="s">
        <v>2875</v>
      </c>
      <c r="Z243" s="32" t="s">
        <v>1225</v>
      </c>
      <c r="AA243" s="32" t="s">
        <v>1225</v>
      </c>
      <c r="AB243" s="32" t="s">
        <v>1225</v>
      </c>
      <c r="AC243" s="32" t="s">
        <v>1225</v>
      </c>
      <c r="AD243" s="32" t="s">
        <v>1225</v>
      </c>
      <c r="AE243" s="32" t="s">
        <v>1225</v>
      </c>
      <c r="AF243" s="32" t="s">
        <v>1225</v>
      </c>
      <c r="AG243" s="32" t="s">
        <v>1225</v>
      </c>
      <c r="AH243" s="32" t="s">
        <v>1225</v>
      </c>
      <c r="AI243" s="32" t="s">
        <v>1225</v>
      </c>
      <c r="AJ243" s="32" t="s">
        <v>1225</v>
      </c>
      <c r="AK243" s="32" t="s">
        <v>1225</v>
      </c>
      <c r="AL243" s="32" t="s">
        <v>1225</v>
      </c>
      <c r="AM243" s="32" t="s">
        <v>1225</v>
      </c>
      <c r="AN243" s="32" t="s">
        <v>1225</v>
      </c>
      <c r="AO243" s="32" t="s">
        <v>1225</v>
      </c>
      <c r="AP243" s="32" t="s">
        <v>1225</v>
      </c>
      <c r="AQ243" s="32" t="s">
        <v>1225</v>
      </c>
      <c r="AR243" s="32" t="s">
        <v>1225</v>
      </c>
      <c r="AS243" s="32" t="s">
        <v>1225</v>
      </c>
      <c r="AT243" s="32" t="s">
        <v>1225</v>
      </c>
      <c r="AU243" s="32" t="s">
        <v>1225</v>
      </c>
      <c r="AV243" s="32" t="s">
        <v>1225</v>
      </c>
      <c r="AW243" s="34" t="s">
        <v>1317</v>
      </c>
      <c r="AX243" s="34">
        <v>2021</v>
      </c>
      <c r="AY243" s="32">
        <v>48</v>
      </c>
      <c r="AZ243" s="32" t="s">
        <v>1225</v>
      </c>
      <c r="BA243" s="32" t="s">
        <v>1225</v>
      </c>
      <c r="BB243" s="32" t="s">
        <v>1225</v>
      </c>
      <c r="BC243" s="32" t="s">
        <v>1225</v>
      </c>
      <c r="BD243" s="32" t="s">
        <v>1225</v>
      </c>
      <c r="BE243" s="32" t="s">
        <v>1225</v>
      </c>
      <c r="BF243" s="32" t="s">
        <v>1225</v>
      </c>
      <c r="BG243" s="32">
        <v>101262</v>
      </c>
      <c r="BH243" s="34" t="s">
        <v>2876</v>
      </c>
      <c r="BI243" s="34" t="str">
        <f>HYPERLINK("http://dx.doi.org/10.1016/j.jocs.2020.101262","http://dx.doi.org/10.1016/j.jocs.2020.101262")</f>
        <v>http://dx.doi.org/10.1016/j.jocs.2020.101262</v>
      </c>
      <c r="BJ243" s="32" t="s">
        <v>1225</v>
      </c>
      <c r="BK243" s="32" t="s">
        <v>1225</v>
      </c>
      <c r="BL243" s="32" t="s">
        <v>1225</v>
      </c>
      <c r="BM243" s="32" t="s">
        <v>1225</v>
      </c>
      <c r="BN243" s="32" t="s">
        <v>1225</v>
      </c>
      <c r="BO243" s="32" t="s">
        <v>1225</v>
      </c>
      <c r="BP243" s="32" t="s">
        <v>1225</v>
      </c>
      <c r="BQ243" s="32" t="s">
        <v>1225</v>
      </c>
      <c r="BR243" s="32" t="s">
        <v>1225</v>
      </c>
      <c r="BS243" s="32" t="s">
        <v>1225</v>
      </c>
      <c r="BT243" s="32" t="s">
        <v>1225</v>
      </c>
      <c r="BU243" s="32" t="s">
        <v>1225</v>
      </c>
      <c r="BV243" s="32" t="s">
        <v>1225</v>
      </c>
      <c r="BW243" s="32" t="str">
        <f t="shared" si="6"/>
        <v>View Full Record in Web of Science</v>
      </c>
      <c r="BY243" s="41" t="str">
        <f>IF(Deletion!J243=TRUE,"Yes","No")</f>
        <v>No</v>
      </c>
    </row>
    <row r="244" spans="1:77" x14ac:dyDescent="0.15">
      <c r="A244" s="32">
        <f t="shared" si="7"/>
        <v>243</v>
      </c>
      <c r="D244" s="32" t="s">
        <v>1223</v>
      </c>
      <c r="E244" s="32" t="s">
        <v>2877</v>
      </c>
      <c r="F244" s="32" t="s">
        <v>1225</v>
      </c>
      <c r="G244" s="32" t="s">
        <v>1225</v>
      </c>
      <c r="H244" s="32" t="s">
        <v>1225</v>
      </c>
      <c r="I244" s="32" t="s">
        <v>2878</v>
      </c>
      <c r="J244" s="32" t="s">
        <v>1225</v>
      </c>
      <c r="K244" s="32" t="s">
        <v>1225</v>
      </c>
      <c r="L244" s="32" t="s">
        <v>2879</v>
      </c>
      <c r="M244" s="32" t="s">
        <v>2051</v>
      </c>
      <c r="N244" s="32" t="s">
        <v>1225</v>
      </c>
      <c r="O244" s="32" t="s">
        <v>1225</v>
      </c>
      <c r="P244" s="32" t="s">
        <v>1225</v>
      </c>
      <c r="Q244" s="32" t="s">
        <v>1227</v>
      </c>
      <c r="R244" s="32" t="s">
        <v>1225</v>
      </c>
      <c r="S244" s="32" t="s">
        <v>1225</v>
      </c>
      <c r="T244" s="32" t="s">
        <v>1225</v>
      </c>
      <c r="U244" s="32" t="s">
        <v>1225</v>
      </c>
      <c r="V244" s="32" t="s">
        <v>1225</v>
      </c>
      <c r="W244" s="32" t="s">
        <v>2880</v>
      </c>
      <c r="X244" s="32" t="s">
        <v>2881</v>
      </c>
      <c r="Y244" s="32" t="s">
        <v>2882</v>
      </c>
      <c r="Z244" s="32" t="s">
        <v>1225</v>
      </c>
      <c r="AA244" s="32" t="s">
        <v>1225</v>
      </c>
      <c r="AB244" s="32" t="s">
        <v>1225</v>
      </c>
      <c r="AC244" s="32" t="s">
        <v>1225</v>
      </c>
      <c r="AD244" s="32" t="s">
        <v>1225</v>
      </c>
      <c r="AE244" s="32" t="s">
        <v>1225</v>
      </c>
      <c r="AF244" s="32" t="s">
        <v>1225</v>
      </c>
      <c r="AG244" s="32" t="s">
        <v>1225</v>
      </c>
      <c r="AH244" s="32" t="s">
        <v>1225</v>
      </c>
      <c r="AI244" s="32" t="s">
        <v>1225</v>
      </c>
      <c r="AJ244" s="32" t="s">
        <v>1225</v>
      </c>
      <c r="AK244" s="32" t="s">
        <v>1225</v>
      </c>
      <c r="AL244" s="32" t="s">
        <v>1225</v>
      </c>
      <c r="AM244" s="32" t="s">
        <v>1225</v>
      </c>
      <c r="AN244" s="32" t="s">
        <v>1225</v>
      </c>
      <c r="AO244" s="32" t="s">
        <v>1225</v>
      </c>
      <c r="AP244" s="32" t="s">
        <v>1225</v>
      </c>
      <c r="AQ244" s="32" t="s">
        <v>1225</v>
      </c>
      <c r="AR244" s="32" t="s">
        <v>1225</v>
      </c>
      <c r="AS244" s="32" t="s">
        <v>1225</v>
      </c>
      <c r="AT244" s="32" t="s">
        <v>1225</v>
      </c>
      <c r="AU244" s="32" t="s">
        <v>1225</v>
      </c>
      <c r="AV244" s="32" t="s">
        <v>1225</v>
      </c>
      <c r="AW244" s="32" t="s">
        <v>1465</v>
      </c>
      <c r="AX244" s="32">
        <v>2017</v>
      </c>
      <c r="AY244" s="32">
        <v>13</v>
      </c>
      <c r="AZ244" s="32">
        <v>1</v>
      </c>
      <c r="BA244" s="32" t="s">
        <v>1225</v>
      </c>
      <c r="BB244" s="32" t="s">
        <v>1225</v>
      </c>
      <c r="BC244" s="32" t="s">
        <v>1225</v>
      </c>
      <c r="BD244" s="32" t="s">
        <v>1225</v>
      </c>
      <c r="BE244" s="32">
        <v>258</v>
      </c>
      <c r="BF244" s="32">
        <v>269</v>
      </c>
      <c r="BG244" s="32" t="s">
        <v>1225</v>
      </c>
      <c r="BH244" s="32" t="s">
        <v>2883</v>
      </c>
      <c r="BI244" s="32" t="str">
        <f>HYPERLINK("http://dx.doi.org/10.1109/TII.2016.2626302","http://dx.doi.org/10.1109/TII.2016.2626302")</f>
        <v>http://dx.doi.org/10.1109/TII.2016.2626302</v>
      </c>
      <c r="BJ244" s="32" t="s">
        <v>1225</v>
      </c>
      <c r="BK244" s="32" t="s">
        <v>1225</v>
      </c>
      <c r="BL244" s="32" t="s">
        <v>1225</v>
      </c>
      <c r="BM244" s="32" t="s">
        <v>1225</v>
      </c>
      <c r="BN244" s="32" t="s">
        <v>1225</v>
      </c>
      <c r="BO244" s="32" t="s">
        <v>1225</v>
      </c>
      <c r="BP244" s="32" t="s">
        <v>1225</v>
      </c>
      <c r="BQ244" s="32" t="s">
        <v>1225</v>
      </c>
      <c r="BR244" s="32" t="s">
        <v>1225</v>
      </c>
      <c r="BS244" s="32" t="s">
        <v>1225</v>
      </c>
      <c r="BT244" s="32" t="s">
        <v>1225</v>
      </c>
      <c r="BU244" s="32" t="s">
        <v>1225</v>
      </c>
      <c r="BV244" s="32" t="s">
        <v>1225</v>
      </c>
      <c r="BW244" s="32" t="str">
        <f t="shared" si="6"/>
        <v>View Full Record in Web of Science</v>
      </c>
      <c r="BY244" s="41" t="str">
        <f>IF(Deletion!J244=TRUE,"Yes","No")</f>
        <v>Yes</v>
      </c>
    </row>
    <row r="245" spans="1:77" x14ac:dyDescent="0.15">
      <c r="A245" s="32">
        <f t="shared" si="7"/>
        <v>244</v>
      </c>
      <c r="D245" s="32" t="s">
        <v>1223</v>
      </c>
      <c r="E245" s="32" t="s">
        <v>2884</v>
      </c>
      <c r="F245" s="32" t="s">
        <v>1225</v>
      </c>
      <c r="G245" s="32" t="s">
        <v>1225</v>
      </c>
      <c r="H245" s="32" t="s">
        <v>1225</v>
      </c>
      <c r="I245" s="32" t="s">
        <v>2885</v>
      </c>
      <c r="J245" s="32" t="s">
        <v>1225</v>
      </c>
      <c r="K245" s="32" t="s">
        <v>1225</v>
      </c>
      <c r="L245" s="32" t="s">
        <v>2886</v>
      </c>
      <c r="M245" s="32" t="s">
        <v>68</v>
      </c>
      <c r="N245" s="32" t="s">
        <v>1225</v>
      </c>
      <c r="O245" s="32" t="s">
        <v>1225</v>
      </c>
      <c r="P245" s="32" t="s">
        <v>1225</v>
      </c>
      <c r="Q245" s="32" t="s">
        <v>1227</v>
      </c>
      <c r="R245" s="32" t="s">
        <v>1225</v>
      </c>
      <c r="S245" s="32" t="s">
        <v>1225</v>
      </c>
      <c r="T245" s="32" t="s">
        <v>1225</v>
      </c>
      <c r="U245" s="32" t="s">
        <v>1225</v>
      </c>
      <c r="V245" s="32" t="s">
        <v>1225</v>
      </c>
      <c r="W245" s="32" t="s">
        <v>2887</v>
      </c>
      <c r="X245" s="32" t="s">
        <v>2888</v>
      </c>
      <c r="Y245" s="32" t="s">
        <v>2889</v>
      </c>
      <c r="Z245" s="32" t="s">
        <v>1225</v>
      </c>
      <c r="AA245" s="32" t="s">
        <v>1225</v>
      </c>
      <c r="AB245" s="32" t="s">
        <v>1225</v>
      </c>
      <c r="AC245" s="32" t="s">
        <v>1225</v>
      </c>
      <c r="AD245" s="32" t="s">
        <v>1225</v>
      </c>
      <c r="AE245" s="32" t="s">
        <v>1225</v>
      </c>
      <c r="AF245" s="32" t="s">
        <v>1225</v>
      </c>
      <c r="AG245" s="32" t="s">
        <v>1225</v>
      </c>
      <c r="AH245" s="32" t="s">
        <v>1225</v>
      </c>
      <c r="AI245" s="32" t="s">
        <v>1225</v>
      </c>
      <c r="AJ245" s="32" t="s">
        <v>1225</v>
      </c>
      <c r="AK245" s="32" t="s">
        <v>1225</v>
      </c>
      <c r="AL245" s="32" t="s">
        <v>1225</v>
      </c>
      <c r="AM245" s="32" t="s">
        <v>1225</v>
      </c>
      <c r="AN245" s="32" t="s">
        <v>1225</v>
      </c>
      <c r="AO245" s="32" t="s">
        <v>1225</v>
      </c>
      <c r="AP245" s="32" t="s">
        <v>1225</v>
      </c>
      <c r="AQ245" s="32" t="s">
        <v>1225</v>
      </c>
      <c r="AR245" s="32" t="s">
        <v>1225</v>
      </c>
      <c r="AS245" s="32" t="s">
        <v>1225</v>
      </c>
      <c r="AT245" s="32" t="s">
        <v>1225</v>
      </c>
      <c r="AU245" s="32" t="s">
        <v>1225</v>
      </c>
      <c r="AV245" s="32" t="s">
        <v>1225</v>
      </c>
      <c r="AW245" s="32" t="s">
        <v>1225</v>
      </c>
      <c r="AX245" s="32">
        <v>2021</v>
      </c>
      <c r="AY245" s="32">
        <v>9</v>
      </c>
      <c r="AZ245" s="32" t="s">
        <v>1225</v>
      </c>
      <c r="BA245" s="32" t="s">
        <v>1225</v>
      </c>
      <c r="BB245" s="32" t="s">
        <v>1225</v>
      </c>
      <c r="BC245" s="32" t="s">
        <v>1225</v>
      </c>
      <c r="BD245" s="32" t="s">
        <v>1225</v>
      </c>
      <c r="BE245" s="32">
        <v>156947</v>
      </c>
      <c r="BF245" s="32">
        <v>156961</v>
      </c>
      <c r="BG245" s="32" t="s">
        <v>1225</v>
      </c>
      <c r="BH245" s="32" t="s">
        <v>2890</v>
      </c>
      <c r="BI245" s="32" t="str">
        <f>HYPERLINK("http://dx.doi.org/10.1109/ACCESS.2021.3130095","http://dx.doi.org/10.1109/ACCESS.2021.3130095")</f>
        <v>http://dx.doi.org/10.1109/ACCESS.2021.3130095</v>
      </c>
      <c r="BJ245" s="32" t="s">
        <v>1225</v>
      </c>
      <c r="BK245" s="32" t="s">
        <v>1225</v>
      </c>
      <c r="BL245" s="32" t="s">
        <v>1225</v>
      </c>
      <c r="BM245" s="32" t="s">
        <v>1225</v>
      </c>
      <c r="BN245" s="32" t="s">
        <v>1225</v>
      </c>
      <c r="BO245" s="32" t="s">
        <v>1225</v>
      </c>
      <c r="BP245" s="32" t="s">
        <v>1225</v>
      </c>
      <c r="BQ245" s="32" t="s">
        <v>1225</v>
      </c>
      <c r="BR245" s="32" t="s">
        <v>1225</v>
      </c>
      <c r="BS245" s="32" t="s">
        <v>1225</v>
      </c>
      <c r="BT245" s="32" t="s">
        <v>1225</v>
      </c>
      <c r="BU245" s="32" t="s">
        <v>1225</v>
      </c>
      <c r="BV245" s="32" t="s">
        <v>1225</v>
      </c>
      <c r="BW245" s="32" t="str">
        <f t="shared" si="6"/>
        <v>View Full Record in Web of Science</v>
      </c>
      <c r="BY245" s="41" t="str">
        <f>IF(Deletion!J245=TRUE,"Yes","No")</f>
        <v>Yes</v>
      </c>
    </row>
    <row r="246" spans="1:77" x14ac:dyDescent="0.15">
      <c r="A246" s="32">
        <f t="shared" si="7"/>
        <v>245</v>
      </c>
      <c r="D246" s="32" t="s">
        <v>1223</v>
      </c>
      <c r="E246" s="32" t="s">
        <v>2891</v>
      </c>
      <c r="F246" s="32" t="s">
        <v>1225</v>
      </c>
      <c r="G246" s="32" t="s">
        <v>1225</v>
      </c>
      <c r="H246" s="32" t="s">
        <v>1225</v>
      </c>
      <c r="I246" s="32" t="s">
        <v>2892</v>
      </c>
      <c r="J246" s="32" t="s">
        <v>1225</v>
      </c>
      <c r="K246" s="32" t="s">
        <v>1225</v>
      </c>
      <c r="L246" s="32" t="s">
        <v>2893</v>
      </c>
      <c r="M246" s="32" t="s">
        <v>2044</v>
      </c>
      <c r="N246" s="32" t="s">
        <v>1225</v>
      </c>
      <c r="O246" s="32" t="s">
        <v>1225</v>
      </c>
      <c r="P246" s="32" t="s">
        <v>1225</v>
      </c>
      <c r="Q246" s="32" t="s">
        <v>1227</v>
      </c>
      <c r="R246" s="32" t="s">
        <v>1225</v>
      </c>
      <c r="S246" s="32" t="s">
        <v>1225</v>
      </c>
      <c r="T246" s="32" t="s">
        <v>1225</v>
      </c>
      <c r="U246" s="32" t="s">
        <v>1225</v>
      </c>
      <c r="V246" s="32" t="s">
        <v>1225</v>
      </c>
      <c r="W246" s="32" t="s">
        <v>2894</v>
      </c>
      <c r="X246" s="32" t="s">
        <v>2895</v>
      </c>
      <c r="Y246" s="32" t="s">
        <v>2896</v>
      </c>
      <c r="Z246" s="32" t="s">
        <v>1225</v>
      </c>
      <c r="AA246" s="32" t="s">
        <v>1225</v>
      </c>
      <c r="AB246" s="32" t="s">
        <v>1225</v>
      </c>
      <c r="AC246" s="32" t="s">
        <v>1225</v>
      </c>
      <c r="AD246" s="32" t="s">
        <v>1225</v>
      </c>
      <c r="AE246" s="32" t="s">
        <v>1225</v>
      </c>
      <c r="AF246" s="32" t="s">
        <v>1225</v>
      </c>
      <c r="AG246" s="32" t="s">
        <v>1225</v>
      </c>
      <c r="AH246" s="32" t="s">
        <v>1225</v>
      </c>
      <c r="AI246" s="32" t="s">
        <v>1225</v>
      </c>
      <c r="AJ246" s="32" t="s">
        <v>1225</v>
      </c>
      <c r="AK246" s="32" t="s">
        <v>1225</v>
      </c>
      <c r="AL246" s="32" t="s">
        <v>1225</v>
      </c>
      <c r="AM246" s="32" t="s">
        <v>1225</v>
      </c>
      <c r="AN246" s="32" t="s">
        <v>1225</v>
      </c>
      <c r="AO246" s="32" t="s">
        <v>1225</v>
      </c>
      <c r="AP246" s="32" t="s">
        <v>1225</v>
      </c>
      <c r="AQ246" s="32" t="s">
        <v>1225</v>
      </c>
      <c r="AR246" s="32" t="s">
        <v>1225</v>
      </c>
      <c r="AS246" s="32" t="s">
        <v>1225</v>
      </c>
      <c r="AT246" s="32" t="s">
        <v>1225</v>
      </c>
      <c r="AU246" s="32" t="s">
        <v>1225</v>
      </c>
      <c r="AV246" s="32" t="s">
        <v>1225</v>
      </c>
      <c r="AW246" s="32" t="s">
        <v>1229</v>
      </c>
      <c r="AX246" s="32">
        <v>2015</v>
      </c>
      <c r="AY246" s="32">
        <v>64</v>
      </c>
      <c r="AZ246" s="32">
        <v>11</v>
      </c>
      <c r="BA246" s="32" t="s">
        <v>1225</v>
      </c>
      <c r="BB246" s="32" t="s">
        <v>1225</v>
      </c>
      <c r="BC246" s="32" t="s">
        <v>1225</v>
      </c>
      <c r="BD246" s="32" t="s">
        <v>1225</v>
      </c>
      <c r="BE246" s="32">
        <v>4929</v>
      </c>
      <c r="BF246" s="32">
        <v>4941</v>
      </c>
      <c r="BG246" s="32" t="s">
        <v>1225</v>
      </c>
      <c r="BH246" s="32" t="s">
        <v>2897</v>
      </c>
      <c r="BI246" s="32" t="str">
        <f>HYPERLINK("http://dx.doi.org/10.1109/TVT.2014.2376700","http://dx.doi.org/10.1109/TVT.2014.2376700")</f>
        <v>http://dx.doi.org/10.1109/TVT.2014.2376700</v>
      </c>
      <c r="BJ246" s="32" t="s">
        <v>1225</v>
      </c>
      <c r="BK246" s="32" t="s">
        <v>1225</v>
      </c>
      <c r="BL246" s="32" t="s">
        <v>1225</v>
      </c>
      <c r="BM246" s="32" t="s">
        <v>1225</v>
      </c>
      <c r="BN246" s="32" t="s">
        <v>1225</v>
      </c>
      <c r="BO246" s="32" t="s">
        <v>1225</v>
      </c>
      <c r="BP246" s="32" t="s">
        <v>1225</v>
      </c>
      <c r="BQ246" s="32" t="s">
        <v>1225</v>
      </c>
      <c r="BR246" s="32" t="s">
        <v>1225</v>
      </c>
      <c r="BS246" s="32" t="s">
        <v>1225</v>
      </c>
      <c r="BT246" s="32" t="s">
        <v>1225</v>
      </c>
      <c r="BU246" s="32" t="s">
        <v>1225</v>
      </c>
      <c r="BV246" s="32" t="s">
        <v>1225</v>
      </c>
      <c r="BW246" s="32" t="str">
        <f t="shared" si="6"/>
        <v>View Full Record in Web of Science</v>
      </c>
      <c r="BY246" s="41" t="str">
        <f>IF(Deletion!J246=TRUE,"Yes","No")</f>
        <v>Yes</v>
      </c>
    </row>
    <row r="247" spans="1:77" x14ac:dyDescent="0.15">
      <c r="A247" s="32">
        <f t="shared" si="7"/>
        <v>246</v>
      </c>
      <c r="D247" s="32" t="s">
        <v>1223</v>
      </c>
      <c r="E247" s="32" t="s">
        <v>2898</v>
      </c>
      <c r="F247" s="32" t="s">
        <v>1225</v>
      </c>
      <c r="G247" s="32" t="s">
        <v>1225</v>
      </c>
      <c r="H247" s="32" t="s">
        <v>1225</v>
      </c>
      <c r="I247" s="32" t="s">
        <v>2899</v>
      </c>
      <c r="J247" s="32" t="s">
        <v>1225</v>
      </c>
      <c r="K247" s="32" t="s">
        <v>1225</v>
      </c>
      <c r="L247" s="32" t="s">
        <v>2900</v>
      </c>
      <c r="M247" s="32" t="s">
        <v>124</v>
      </c>
      <c r="N247" s="32" t="s">
        <v>1225</v>
      </c>
      <c r="O247" s="32" t="s">
        <v>1225</v>
      </c>
      <c r="P247" s="32" t="s">
        <v>1225</v>
      </c>
      <c r="Q247" s="32" t="s">
        <v>1227</v>
      </c>
      <c r="R247" s="32" t="s">
        <v>1225</v>
      </c>
      <c r="S247" s="32" t="s">
        <v>1225</v>
      </c>
      <c r="T247" s="32" t="s">
        <v>1225</v>
      </c>
      <c r="U247" s="32" t="s">
        <v>1225</v>
      </c>
      <c r="V247" s="32" t="s">
        <v>1225</v>
      </c>
      <c r="W247" s="32" t="s">
        <v>2901</v>
      </c>
      <c r="X247" s="32" t="s">
        <v>2902</v>
      </c>
      <c r="Y247" s="32" t="s">
        <v>2903</v>
      </c>
      <c r="Z247" s="32" t="s">
        <v>1225</v>
      </c>
      <c r="AA247" s="32" t="s">
        <v>1225</v>
      </c>
      <c r="AB247" s="32" t="s">
        <v>1225</v>
      </c>
      <c r="AC247" s="32" t="s">
        <v>1225</v>
      </c>
      <c r="AD247" s="32" t="s">
        <v>1225</v>
      </c>
      <c r="AE247" s="32" t="s">
        <v>1225</v>
      </c>
      <c r="AF247" s="32" t="s">
        <v>1225</v>
      </c>
      <c r="AG247" s="32" t="s">
        <v>1225</v>
      </c>
      <c r="AH247" s="32" t="s">
        <v>1225</v>
      </c>
      <c r="AI247" s="32" t="s">
        <v>1225</v>
      </c>
      <c r="AJ247" s="32" t="s">
        <v>1225</v>
      </c>
      <c r="AK247" s="32" t="s">
        <v>1225</v>
      </c>
      <c r="AL247" s="32" t="s">
        <v>1225</v>
      </c>
      <c r="AM247" s="32" t="s">
        <v>1225</v>
      </c>
      <c r="AN247" s="32" t="s">
        <v>1225</v>
      </c>
      <c r="AO247" s="32" t="s">
        <v>1225</v>
      </c>
      <c r="AP247" s="32" t="s">
        <v>1225</v>
      </c>
      <c r="AQ247" s="32" t="s">
        <v>1225</v>
      </c>
      <c r="AR247" s="32" t="s">
        <v>1225</v>
      </c>
      <c r="AS247" s="32" t="s">
        <v>1225</v>
      </c>
      <c r="AT247" s="32" t="s">
        <v>1225</v>
      </c>
      <c r="AU247" s="32" t="s">
        <v>1225</v>
      </c>
      <c r="AV247" s="32" t="s">
        <v>1225</v>
      </c>
      <c r="AW247" s="32" t="s">
        <v>1272</v>
      </c>
      <c r="AX247" s="32">
        <v>2015</v>
      </c>
      <c r="AY247" s="32">
        <v>6</v>
      </c>
      <c r="AZ247" s="32">
        <v>2</v>
      </c>
      <c r="BA247" s="32" t="s">
        <v>1225</v>
      </c>
      <c r="BB247" s="32" t="s">
        <v>1225</v>
      </c>
      <c r="BC247" s="32" t="s">
        <v>1225</v>
      </c>
      <c r="BD247" s="32" t="s">
        <v>1225</v>
      </c>
      <c r="BE247" s="32">
        <v>648</v>
      </c>
      <c r="BF247" s="32">
        <v>656</v>
      </c>
      <c r="BG247" s="32" t="s">
        <v>1225</v>
      </c>
      <c r="BH247" s="32" t="s">
        <v>2904</v>
      </c>
      <c r="BI247" s="32" t="str">
        <f>HYPERLINK("http://dx.doi.org/10.1109/TSG.2014.2365452","http://dx.doi.org/10.1109/TSG.2014.2365452")</f>
        <v>http://dx.doi.org/10.1109/TSG.2014.2365452</v>
      </c>
      <c r="BJ247" s="32" t="s">
        <v>1225</v>
      </c>
      <c r="BK247" s="32" t="s">
        <v>1225</v>
      </c>
      <c r="BL247" s="32" t="s">
        <v>1225</v>
      </c>
      <c r="BM247" s="32" t="s">
        <v>1225</v>
      </c>
      <c r="BN247" s="32" t="s">
        <v>1225</v>
      </c>
      <c r="BO247" s="32" t="s">
        <v>1225</v>
      </c>
      <c r="BP247" s="32" t="s">
        <v>1225</v>
      </c>
      <c r="BQ247" s="32" t="s">
        <v>1225</v>
      </c>
      <c r="BR247" s="32" t="s">
        <v>1225</v>
      </c>
      <c r="BS247" s="32" t="s">
        <v>1225</v>
      </c>
      <c r="BT247" s="32" t="s">
        <v>1225</v>
      </c>
      <c r="BU247" s="32" t="s">
        <v>1225</v>
      </c>
      <c r="BV247" s="32" t="s">
        <v>1225</v>
      </c>
      <c r="BW247" s="32" t="str">
        <f t="shared" si="6"/>
        <v>View Full Record in Web of Science</v>
      </c>
      <c r="BY247" s="41" t="str">
        <f>IF(Deletion!J247=TRUE,"Yes","No")</f>
        <v>Yes</v>
      </c>
    </row>
    <row r="248" spans="1:77" x14ac:dyDescent="0.15">
      <c r="A248" s="32">
        <f t="shared" si="7"/>
        <v>247</v>
      </c>
      <c r="D248" s="32" t="s">
        <v>1223</v>
      </c>
      <c r="E248" s="32" t="s">
        <v>2905</v>
      </c>
      <c r="F248" s="32" t="s">
        <v>1225</v>
      </c>
      <c r="G248" s="32" t="s">
        <v>1225</v>
      </c>
      <c r="H248" s="32" t="s">
        <v>1225</v>
      </c>
      <c r="I248" s="32" t="s">
        <v>2906</v>
      </c>
      <c r="J248" s="32" t="s">
        <v>1225</v>
      </c>
      <c r="K248" s="32" t="s">
        <v>1225</v>
      </c>
      <c r="L248" s="32" t="s">
        <v>2907</v>
      </c>
      <c r="M248" s="32" t="s">
        <v>97</v>
      </c>
      <c r="N248" s="32" t="s">
        <v>1225</v>
      </c>
      <c r="O248" s="32" t="s">
        <v>1225</v>
      </c>
      <c r="P248" s="32" t="s">
        <v>1225</v>
      </c>
      <c r="Q248" s="32" t="s">
        <v>1227</v>
      </c>
      <c r="R248" s="32" t="s">
        <v>1225</v>
      </c>
      <c r="S248" s="32" t="s">
        <v>1225</v>
      </c>
      <c r="T248" s="32" t="s">
        <v>1225</v>
      </c>
      <c r="U248" s="32" t="s">
        <v>1225</v>
      </c>
      <c r="V248" s="32" t="s">
        <v>1225</v>
      </c>
      <c r="W248" s="32" t="s">
        <v>2908</v>
      </c>
      <c r="X248" s="32" t="s">
        <v>2909</v>
      </c>
      <c r="Y248" s="32" t="s">
        <v>2910</v>
      </c>
      <c r="Z248" s="32" t="s">
        <v>1225</v>
      </c>
      <c r="AA248" s="32" t="s">
        <v>1225</v>
      </c>
      <c r="AB248" s="32" t="s">
        <v>1225</v>
      </c>
      <c r="AC248" s="32" t="s">
        <v>1225</v>
      </c>
      <c r="AD248" s="32" t="s">
        <v>1225</v>
      </c>
      <c r="AE248" s="32" t="s">
        <v>1225</v>
      </c>
      <c r="AF248" s="32" t="s">
        <v>1225</v>
      </c>
      <c r="AG248" s="32" t="s">
        <v>1225</v>
      </c>
      <c r="AH248" s="32" t="s">
        <v>1225</v>
      </c>
      <c r="AI248" s="32" t="s">
        <v>1225</v>
      </c>
      <c r="AJ248" s="32" t="s">
        <v>1225</v>
      </c>
      <c r="AK248" s="32" t="s">
        <v>1225</v>
      </c>
      <c r="AL248" s="32" t="s">
        <v>1225</v>
      </c>
      <c r="AM248" s="32" t="s">
        <v>1225</v>
      </c>
      <c r="AN248" s="32" t="s">
        <v>1225</v>
      </c>
      <c r="AO248" s="32" t="s">
        <v>1225</v>
      </c>
      <c r="AP248" s="32" t="s">
        <v>1225</v>
      </c>
      <c r="AQ248" s="32" t="s">
        <v>1225</v>
      </c>
      <c r="AR248" s="32" t="s">
        <v>1225</v>
      </c>
      <c r="AS248" s="32" t="s">
        <v>1225</v>
      </c>
      <c r="AT248" s="32" t="s">
        <v>1225</v>
      </c>
      <c r="AU248" s="32" t="s">
        <v>1225</v>
      </c>
      <c r="AV248" s="32" t="s">
        <v>1225</v>
      </c>
      <c r="AW248" s="32" t="s">
        <v>1294</v>
      </c>
      <c r="AX248" s="32">
        <v>2020</v>
      </c>
      <c r="AY248" s="32">
        <v>262</v>
      </c>
      <c r="AZ248" s="32" t="s">
        <v>1225</v>
      </c>
      <c r="BA248" s="32" t="s">
        <v>1225</v>
      </c>
      <c r="BB248" s="32" t="s">
        <v>1225</v>
      </c>
      <c r="BC248" s="32" t="s">
        <v>1225</v>
      </c>
      <c r="BD248" s="32" t="s">
        <v>1225</v>
      </c>
      <c r="BE248" s="32" t="s">
        <v>1225</v>
      </c>
      <c r="BF248" s="32" t="s">
        <v>1225</v>
      </c>
      <c r="BG248" s="32">
        <v>114527</v>
      </c>
      <c r="BH248" s="32" t="s">
        <v>2911</v>
      </c>
      <c r="BI248" s="32" t="str">
        <f>HYPERLINK("http://dx.doi.org/10.1016/j.apenergy.2020.114527","http://dx.doi.org/10.1016/j.apenergy.2020.114527")</f>
        <v>http://dx.doi.org/10.1016/j.apenergy.2020.114527</v>
      </c>
      <c r="BJ248" s="32" t="s">
        <v>1225</v>
      </c>
      <c r="BK248" s="32" t="s">
        <v>1225</v>
      </c>
      <c r="BL248" s="32" t="s">
        <v>1225</v>
      </c>
      <c r="BM248" s="32" t="s">
        <v>1225</v>
      </c>
      <c r="BN248" s="32" t="s">
        <v>1225</v>
      </c>
      <c r="BO248" s="32" t="s">
        <v>1225</v>
      </c>
      <c r="BP248" s="32" t="s">
        <v>1225</v>
      </c>
      <c r="BQ248" s="32" t="s">
        <v>1225</v>
      </c>
      <c r="BR248" s="32" t="s">
        <v>1225</v>
      </c>
      <c r="BS248" s="32" t="s">
        <v>1225</v>
      </c>
      <c r="BT248" s="32" t="s">
        <v>1225</v>
      </c>
      <c r="BU248" s="32" t="s">
        <v>1225</v>
      </c>
      <c r="BV248" s="32" t="s">
        <v>1225</v>
      </c>
      <c r="BW248" s="32" t="str">
        <f t="shared" si="6"/>
        <v>View Full Record in Web of Science</v>
      </c>
      <c r="BY248" s="41" t="str">
        <f>IF(Deletion!J248=TRUE,"Yes","No")</f>
        <v>Yes</v>
      </c>
    </row>
    <row r="249" spans="1:77" x14ac:dyDescent="0.15">
      <c r="A249" s="32">
        <f t="shared" si="7"/>
        <v>248</v>
      </c>
      <c r="D249" s="32" t="s">
        <v>1223</v>
      </c>
      <c r="E249" s="32" t="s">
        <v>2912</v>
      </c>
      <c r="F249" s="32" t="s">
        <v>1225</v>
      </c>
      <c r="G249" s="32" t="s">
        <v>1225</v>
      </c>
      <c r="H249" s="32" t="s">
        <v>1225</v>
      </c>
      <c r="I249" s="32" t="s">
        <v>2913</v>
      </c>
      <c r="J249" s="32" t="s">
        <v>1225</v>
      </c>
      <c r="K249" s="32" t="s">
        <v>1225</v>
      </c>
      <c r="L249" s="32" t="s">
        <v>2914</v>
      </c>
      <c r="M249" s="32" t="s">
        <v>97</v>
      </c>
      <c r="N249" s="32" t="s">
        <v>1225</v>
      </c>
      <c r="O249" s="32" t="s">
        <v>1225</v>
      </c>
      <c r="P249" s="32" t="s">
        <v>1225</v>
      </c>
      <c r="Q249" s="32" t="s">
        <v>1227</v>
      </c>
      <c r="R249" s="32" t="s">
        <v>1225</v>
      </c>
      <c r="S249" s="32" t="s">
        <v>1225</v>
      </c>
      <c r="T249" s="32" t="s">
        <v>1225</v>
      </c>
      <c r="U249" s="32" t="s">
        <v>1225</v>
      </c>
      <c r="V249" s="32" t="s">
        <v>1225</v>
      </c>
      <c r="W249" s="32" t="s">
        <v>2915</v>
      </c>
      <c r="X249" s="32" t="s">
        <v>2916</v>
      </c>
      <c r="Y249" s="32" t="s">
        <v>2917</v>
      </c>
      <c r="Z249" s="32" t="s">
        <v>1225</v>
      </c>
      <c r="AA249" s="32" t="s">
        <v>1225</v>
      </c>
      <c r="AB249" s="32" t="s">
        <v>1225</v>
      </c>
      <c r="AC249" s="32" t="s">
        <v>1225</v>
      </c>
      <c r="AD249" s="32" t="s">
        <v>1225</v>
      </c>
      <c r="AE249" s="32" t="s">
        <v>1225</v>
      </c>
      <c r="AF249" s="32" t="s">
        <v>1225</v>
      </c>
      <c r="AG249" s="32" t="s">
        <v>1225</v>
      </c>
      <c r="AH249" s="32" t="s">
        <v>1225</v>
      </c>
      <c r="AI249" s="32" t="s">
        <v>1225</v>
      </c>
      <c r="AJ249" s="32" t="s">
        <v>1225</v>
      </c>
      <c r="AK249" s="32" t="s">
        <v>1225</v>
      </c>
      <c r="AL249" s="32" t="s">
        <v>1225</v>
      </c>
      <c r="AM249" s="32" t="s">
        <v>1225</v>
      </c>
      <c r="AN249" s="32" t="s">
        <v>1225</v>
      </c>
      <c r="AO249" s="32" t="s">
        <v>1225</v>
      </c>
      <c r="AP249" s="32" t="s">
        <v>1225</v>
      </c>
      <c r="AQ249" s="32" t="s">
        <v>1225</v>
      </c>
      <c r="AR249" s="32" t="s">
        <v>1225</v>
      </c>
      <c r="AS249" s="32" t="s">
        <v>1225</v>
      </c>
      <c r="AT249" s="32" t="s">
        <v>1225</v>
      </c>
      <c r="AU249" s="32" t="s">
        <v>1225</v>
      </c>
      <c r="AV249" s="32" t="s">
        <v>1225</v>
      </c>
      <c r="AW249" s="32" t="s">
        <v>2918</v>
      </c>
      <c r="AX249" s="32">
        <v>2022</v>
      </c>
      <c r="AY249" s="32">
        <v>312</v>
      </c>
      <c r="AZ249" s="32" t="s">
        <v>1225</v>
      </c>
      <c r="BA249" s="32" t="s">
        <v>1225</v>
      </c>
      <c r="BB249" s="32" t="s">
        <v>1225</v>
      </c>
      <c r="BC249" s="32" t="s">
        <v>1225</v>
      </c>
      <c r="BD249" s="32" t="s">
        <v>1225</v>
      </c>
      <c r="BE249" s="32" t="s">
        <v>1225</v>
      </c>
      <c r="BF249" s="32" t="s">
        <v>1225</v>
      </c>
      <c r="BG249" s="32">
        <v>118676</v>
      </c>
      <c r="BH249" s="32" t="s">
        <v>2919</v>
      </c>
      <c r="BI249" s="32" t="str">
        <f>HYPERLINK("http://dx.doi.org/10.1016/j.apenergy.2022.118676","http://dx.doi.org/10.1016/j.apenergy.2022.118676")</f>
        <v>http://dx.doi.org/10.1016/j.apenergy.2022.118676</v>
      </c>
      <c r="BJ249" s="32" t="s">
        <v>1225</v>
      </c>
      <c r="BK249" s="32" t="s">
        <v>1225</v>
      </c>
      <c r="BL249" s="32" t="s">
        <v>1225</v>
      </c>
      <c r="BM249" s="32" t="s">
        <v>1225</v>
      </c>
      <c r="BN249" s="32" t="s">
        <v>1225</v>
      </c>
      <c r="BO249" s="32" t="s">
        <v>1225</v>
      </c>
      <c r="BP249" s="32" t="s">
        <v>1225</v>
      </c>
      <c r="BQ249" s="32" t="s">
        <v>1225</v>
      </c>
      <c r="BR249" s="32" t="s">
        <v>1225</v>
      </c>
      <c r="BS249" s="32" t="s">
        <v>1225</v>
      </c>
      <c r="BT249" s="32" t="s">
        <v>1225</v>
      </c>
      <c r="BU249" s="32" t="s">
        <v>1225</v>
      </c>
      <c r="BV249" s="32" t="s">
        <v>1225</v>
      </c>
      <c r="BW249" s="32" t="str">
        <f t="shared" si="6"/>
        <v>View Full Record in Web of Science</v>
      </c>
      <c r="BY249" s="41" t="str">
        <f>IF(Deletion!J249=TRUE,"Yes","No")</f>
        <v>Yes</v>
      </c>
    </row>
    <row r="250" spans="1:77" x14ac:dyDescent="0.15">
      <c r="A250" s="32">
        <f t="shared" si="7"/>
        <v>249</v>
      </c>
      <c r="D250" s="32" t="s">
        <v>1223</v>
      </c>
      <c r="E250" s="32" t="s">
        <v>2920</v>
      </c>
      <c r="F250" s="32" t="s">
        <v>1225</v>
      </c>
      <c r="G250" s="32" t="s">
        <v>1225</v>
      </c>
      <c r="H250" s="32" t="s">
        <v>1225</v>
      </c>
      <c r="I250" s="32" t="s">
        <v>2921</v>
      </c>
      <c r="J250" s="32" t="s">
        <v>1225</v>
      </c>
      <c r="K250" s="32" t="s">
        <v>1225</v>
      </c>
      <c r="L250" s="32" t="s">
        <v>2922</v>
      </c>
      <c r="M250" s="32" t="s">
        <v>97</v>
      </c>
      <c r="N250" s="32" t="s">
        <v>1225</v>
      </c>
      <c r="O250" s="32" t="s">
        <v>1225</v>
      </c>
      <c r="P250" s="32" t="s">
        <v>1225</v>
      </c>
      <c r="Q250" s="32" t="s">
        <v>1227</v>
      </c>
      <c r="R250" s="32" t="s">
        <v>1225</v>
      </c>
      <c r="S250" s="32" t="s">
        <v>1225</v>
      </c>
      <c r="T250" s="32" t="s">
        <v>1225</v>
      </c>
      <c r="U250" s="32" t="s">
        <v>1225</v>
      </c>
      <c r="V250" s="32" t="s">
        <v>1225</v>
      </c>
      <c r="W250" s="32" t="s">
        <v>2923</v>
      </c>
      <c r="X250" s="32" t="s">
        <v>2924</v>
      </c>
      <c r="Y250" s="32" t="s">
        <v>2925</v>
      </c>
      <c r="Z250" s="32" t="s">
        <v>1225</v>
      </c>
      <c r="AA250" s="32" t="s">
        <v>1225</v>
      </c>
      <c r="AB250" s="32" t="s">
        <v>1225</v>
      </c>
      <c r="AC250" s="32" t="s">
        <v>1225</v>
      </c>
      <c r="AD250" s="32" t="s">
        <v>1225</v>
      </c>
      <c r="AE250" s="32" t="s">
        <v>1225</v>
      </c>
      <c r="AF250" s="32" t="s">
        <v>1225</v>
      </c>
      <c r="AG250" s="32" t="s">
        <v>1225</v>
      </c>
      <c r="AH250" s="32" t="s">
        <v>1225</v>
      </c>
      <c r="AI250" s="32" t="s">
        <v>1225</v>
      </c>
      <c r="AJ250" s="32" t="s">
        <v>1225</v>
      </c>
      <c r="AK250" s="32" t="s">
        <v>1225</v>
      </c>
      <c r="AL250" s="32" t="s">
        <v>1225</v>
      </c>
      <c r="AM250" s="32" t="s">
        <v>1225</v>
      </c>
      <c r="AN250" s="32" t="s">
        <v>1225</v>
      </c>
      <c r="AO250" s="32" t="s">
        <v>1225</v>
      </c>
      <c r="AP250" s="32" t="s">
        <v>1225</v>
      </c>
      <c r="AQ250" s="32" t="s">
        <v>1225</v>
      </c>
      <c r="AR250" s="32" t="s">
        <v>1225</v>
      </c>
      <c r="AS250" s="32" t="s">
        <v>1225</v>
      </c>
      <c r="AT250" s="32" t="s">
        <v>1225</v>
      </c>
      <c r="AU250" s="32" t="s">
        <v>1225</v>
      </c>
      <c r="AV250" s="32" t="s">
        <v>1225</v>
      </c>
      <c r="AW250" s="32" t="s">
        <v>2926</v>
      </c>
      <c r="AX250" s="32">
        <v>2022</v>
      </c>
      <c r="AY250" s="32">
        <v>315</v>
      </c>
      <c r="AZ250" s="32" t="s">
        <v>1225</v>
      </c>
      <c r="BA250" s="32" t="s">
        <v>1225</v>
      </c>
      <c r="BB250" s="32" t="s">
        <v>1225</v>
      </c>
      <c r="BC250" s="32" t="s">
        <v>1225</v>
      </c>
      <c r="BD250" s="32" t="s">
        <v>1225</v>
      </c>
      <c r="BE250" s="32" t="s">
        <v>1225</v>
      </c>
      <c r="BF250" s="32" t="s">
        <v>1225</v>
      </c>
      <c r="BG250" s="32">
        <v>118945</v>
      </c>
      <c r="BH250" s="32" t="s">
        <v>2927</v>
      </c>
      <c r="BI250" s="32" t="str">
        <f>HYPERLINK("http://dx.doi.org/10.1016/j.apenergy.2022.118945","http://dx.doi.org/10.1016/j.apenergy.2022.118945")</f>
        <v>http://dx.doi.org/10.1016/j.apenergy.2022.118945</v>
      </c>
      <c r="BJ250" s="32" t="s">
        <v>1225</v>
      </c>
      <c r="BK250" s="32" t="s">
        <v>1225</v>
      </c>
      <c r="BL250" s="32" t="s">
        <v>1225</v>
      </c>
      <c r="BM250" s="32" t="s">
        <v>1225</v>
      </c>
      <c r="BN250" s="32" t="s">
        <v>1225</v>
      </c>
      <c r="BO250" s="32" t="s">
        <v>1225</v>
      </c>
      <c r="BP250" s="32" t="s">
        <v>1225</v>
      </c>
      <c r="BQ250" s="32" t="s">
        <v>1225</v>
      </c>
      <c r="BR250" s="32" t="s">
        <v>1225</v>
      </c>
      <c r="BS250" s="32" t="s">
        <v>1225</v>
      </c>
      <c r="BT250" s="32" t="s">
        <v>1225</v>
      </c>
      <c r="BU250" s="32" t="s">
        <v>1225</v>
      </c>
      <c r="BV250" s="32" t="s">
        <v>1225</v>
      </c>
      <c r="BW250" s="32" t="str">
        <f t="shared" si="6"/>
        <v>View Full Record in Web of Science</v>
      </c>
      <c r="BY250" s="41" t="str">
        <f>IF(Deletion!J250=TRUE,"Yes","No")</f>
        <v>Yes</v>
      </c>
    </row>
    <row r="251" spans="1:77" x14ac:dyDescent="0.15">
      <c r="A251" s="32">
        <f t="shared" si="7"/>
        <v>250</v>
      </c>
      <c r="D251" s="32" t="s">
        <v>1223</v>
      </c>
      <c r="E251" s="32" t="s">
        <v>2928</v>
      </c>
      <c r="F251" s="32" t="s">
        <v>1225</v>
      </c>
      <c r="G251" s="32" t="s">
        <v>1225</v>
      </c>
      <c r="H251" s="32" t="s">
        <v>1225</v>
      </c>
      <c r="I251" s="32" t="s">
        <v>2929</v>
      </c>
      <c r="J251" s="32" t="s">
        <v>1225</v>
      </c>
      <c r="K251" s="32" t="s">
        <v>1225</v>
      </c>
      <c r="L251" s="32" t="s">
        <v>2930</v>
      </c>
      <c r="M251" s="32" t="s">
        <v>849</v>
      </c>
      <c r="N251" s="32" t="s">
        <v>1225</v>
      </c>
      <c r="O251" s="32" t="s">
        <v>1225</v>
      </c>
      <c r="P251" s="32" t="s">
        <v>1225</v>
      </c>
      <c r="Q251" s="32" t="s">
        <v>1227</v>
      </c>
      <c r="R251" s="32" t="s">
        <v>1225</v>
      </c>
      <c r="S251" s="32" t="s">
        <v>1225</v>
      </c>
      <c r="T251" s="32" t="s">
        <v>1225</v>
      </c>
      <c r="U251" s="32" t="s">
        <v>1225</v>
      </c>
      <c r="V251" s="32" t="s">
        <v>1225</v>
      </c>
      <c r="W251" s="32" t="s">
        <v>2931</v>
      </c>
      <c r="X251" s="32" t="s">
        <v>1225</v>
      </c>
      <c r="Y251" s="32" t="s">
        <v>2932</v>
      </c>
      <c r="Z251" s="32" t="s">
        <v>1225</v>
      </c>
      <c r="AA251" s="32" t="s">
        <v>1225</v>
      </c>
      <c r="AB251" s="32" t="s">
        <v>1225</v>
      </c>
      <c r="AC251" s="32" t="s">
        <v>1225</v>
      </c>
      <c r="AD251" s="32" t="s">
        <v>1225</v>
      </c>
      <c r="AE251" s="32" t="s">
        <v>1225</v>
      </c>
      <c r="AF251" s="32" t="s">
        <v>1225</v>
      </c>
      <c r="AG251" s="32" t="s">
        <v>1225</v>
      </c>
      <c r="AH251" s="32" t="s">
        <v>1225</v>
      </c>
      <c r="AI251" s="32" t="s">
        <v>1225</v>
      </c>
      <c r="AJ251" s="32" t="s">
        <v>1225</v>
      </c>
      <c r="AK251" s="32" t="s">
        <v>1225</v>
      </c>
      <c r="AL251" s="32" t="s">
        <v>1225</v>
      </c>
      <c r="AM251" s="32" t="s">
        <v>1225</v>
      </c>
      <c r="AN251" s="32" t="s">
        <v>1225</v>
      </c>
      <c r="AO251" s="32" t="s">
        <v>1225</v>
      </c>
      <c r="AP251" s="32" t="s">
        <v>1225</v>
      </c>
      <c r="AQ251" s="32" t="s">
        <v>1225</v>
      </c>
      <c r="AR251" s="32" t="s">
        <v>1225</v>
      </c>
      <c r="AS251" s="32" t="s">
        <v>1225</v>
      </c>
      <c r="AT251" s="32" t="s">
        <v>1225</v>
      </c>
      <c r="AU251" s="32" t="s">
        <v>1225</v>
      </c>
      <c r="AV251" s="32" t="s">
        <v>1225</v>
      </c>
      <c r="AW251" s="32" t="s">
        <v>1317</v>
      </c>
      <c r="AX251" s="32">
        <v>2015</v>
      </c>
      <c r="AY251" s="32">
        <v>30</v>
      </c>
      <c r="AZ251" s="32">
        <v>1</v>
      </c>
      <c r="BA251" s="32" t="s">
        <v>1225</v>
      </c>
      <c r="BB251" s="32" t="s">
        <v>1225</v>
      </c>
      <c r="BC251" s="32" t="s">
        <v>1225</v>
      </c>
      <c r="BD251" s="32" t="s">
        <v>1225</v>
      </c>
      <c r="BE251" s="32">
        <v>365</v>
      </c>
      <c r="BF251" s="32">
        <v>375</v>
      </c>
      <c r="BG251" s="32" t="s">
        <v>1225</v>
      </c>
      <c r="BH251" s="32" t="s">
        <v>2933</v>
      </c>
      <c r="BI251" s="32" t="str">
        <f>HYPERLINK("http://dx.doi.org/10.1109/TPWRS.2014.2318293","http://dx.doi.org/10.1109/TPWRS.2014.2318293")</f>
        <v>http://dx.doi.org/10.1109/TPWRS.2014.2318293</v>
      </c>
      <c r="BJ251" s="32" t="s">
        <v>1225</v>
      </c>
      <c r="BK251" s="32" t="s">
        <v>1225</v>
      </c>
      <c r="BL251" s="32" t="s">
        <v>1225</v>
      </c>
      <c r="BM251" s="32" t="s">
        <v>1225</v>
      </c>
      <c r="BN251" s="32" t="s">
        <v>1225</v>
      </c>
      <c r="BO251" s="32" t="s">
        <v>1225</v>
      </c>
      <c r="BP251" s="32" t="s">
        <v>1225</v>
      </c>
      <c r="BQ251" s="32" t="s">
        <v>1225</v>
      </c>
      <c r="BR251" s="32" t="s">
        <v>1225</v>
      </c>
      <c r="BS251" s="32" t="s">
        <v>1225</v>
      </c>
      <c r="BT251" s="32" t="s">
        <v>1225</v>
      </c>
      <c r="BU251" s="32" t="s">
        <v>1225</v>
      </c>
      <c r="BV251" s="32" t="s">
        <v>1225</v>
      </c>
      <c r="BW251" s="32" t="str">
        <f t="shared" si="6"/>
        <v>View Full Record in Web of Science</v>
      </c>
      <c r="BY251" s="41" t="str">
        <f>IF(Deletion!J251=TRUE,"Yes","No")</f>
        <v>Yes</v>
      </c>
    </row>
    <row r="252" spans="1:77" x14ac:dyDescent="0.15">
      <c r="A252" s="32">
        <f t="shared" si="7"/>
        <v>251</v>
      </c>
      <c r="D252" s="32" t="s">
        <v>1223</v>
      </c>
      <c r="E252" s="32" t="s">
        <v>2934</v>
      </c>
      <c r="F252" s="32" t="s">
        <v>1225</v>
      </c>
      <c r="G252" s="32" t="s">
        <v>1225</v>
      </c>
      <c r="H252" s="32" t="s">
        <v>1225</v>
      </c>
      <c r="I252" s="32" t="s">
        <v>2935</v>
      </c>
      <c r="J252" s="32" t="s">
        <v>1225</v>
      </c>
      <c r="K252" s="32" t="s">
        <v>1225</v>
      </c>
      <c r="L252" s="32" t="s">
        <v>2936</v>
      </c>
      <c r="M252" s="32" t="s">
        <v>1484</v>
      </c>
      <c r="N252" s="32" t="s">
        <v>1225</v>
      </c>
      <c r="O252" s="32" t="s">
        <v>1225</v>
      </c>
      <c r="P252" s="32" t="s">
        <v>1225</v>
      </c>
      <c r="Q252" s="32" t="s">
        <v>1227</v>
      </c>
      <c r="R252" s="32" t="s">
        <v>1225</v>
      </c>
      <c r="S252" s="32" t="s">
        <v>1225</v>
      </c>
      <c r="T252" s="32" t="s">
        <v>1225</v>
      </c>
      <c r="U252" s="32" t="s">
        <v>1225</v>
      </c>
      <c r="V252" s="32" t="s">
        <v>1225</v>
      </c>
      <c r="W252" s="32" t="s">
        <v>2937</v>
      </c>
      <c r="X252" s="32" t="s">
        <v>2938</v>
      </c>
      <c r="Y252" s="32" t="s">
        <v>2939</v>
      </c>
      <c r="Z252" s="32" t="s">
        <v>1225</v>
      </c>
      <c r="AA252" s="32" t="s">
        <v>1225</v>
      </c>
      <c r="AB252" s="32" t="s">
        <v>1225</v>
      </c>
      <c r="AC252" s="32" t="s">
        <v>1225</v>
      </c>
      <c r="AD252" s="32" t="s">
        <v>1225</v>
      </c>
      <c r="AE252" s="32" t="s">
        <v>1225</v>
      </c>
      <c r="AF252" s="32" t="s">
        <v>1225</v>
      </c>
      <c r="AG252" s="32" t="s">
        <v>1225</v>
      </c>
      <c r="AH252" s="32" t="s">
        <v>1225</v>
      </c>
      <c r="AI252" s="32" t="s">
        <v>1225</v>
      </c>
      <c r="AJ252" s="32" t="s">
        <v>1225</v>
      </c>
      <c r="AK252" s="32" t="s">
        <v>1225</v>
      </c>
      <c r="AL252" s="32" t="s">
        <v>1225</v>
      </c>
      <c r="AM252" s="32" t="s">
        <v>1225</v>
      </c>
      <c r="AN252" s="32" t="s">
        <v>1225</v>
      </c>
      <c r="AO252" s="32" t="s">
        <v>1225</v>
      </c>
      <c r="AP252" s="32" t="s">
        <v>1225</v>
      </c>
      <c r="AQ252" s="32" t="s">
        <v>1225</v>
      </c>
      <c r="AR252" s="32" t="s">
        <v>1225</v>
      </c>
      <c r="AS252" s="32" t="s">
        <v>1225</v>
      </c>
      <c r="AT252" s="32" t="s">
        <v>1225</v>
      </c>
      <c r="AU252" s="32" t="s">
        <v>1225</v>
      </c>
      <c r="AV252" s="32" t="s">
        <v>1225</v>
      </c>
      <c r="AW252" s="32" t="s">
        <v>2940</v>
      </c>
      <c r="AX252" s="32">
        <v>2022</v>
      </c>
      <c r="AY252" s="32">
        <v>10</v>
      </c>
      <c r="AZ252" s="32" t="s">
        <v>1225</v>
      </c>
      <c r="BA252" s="32" t="s">
        <v>1225</v>
      </c>
      <c r="BB252" s="32" t="s">
        <v>1225</v>
      </c>
      <c r="BC252" s="32" t="s">
        <v>1225</v>
      </c>
      <c r="BD252" s="32" t="s">
        <v>1225</v>
      </c>
      <c r="BE252" s="32" t="s">
        <v>1225</v>
      </c>
      <c r="BF252" s="32" t="s">
        <v>1225</v>
      </c>
      <c r="BG252" s="32">
        <v>920343</v>
      </c>
      <c r="BH252" s="32" t="s">
        <v>2941</v>
      </c>
      <c r="BI252" s="32" t="str">
        <f>HYPERLINK("http://dx.doi.org/10.3389/fenrg.2022.920343","http://dx.doi.org/10.3389/fenrg.2022.920343")</f>
        <v>http://dx.doi.org/10.3389/fenrg.2022.920343</v>
      </c>
      <c r="BJ252" s="32" t="s">
        <v>1225</v>
      </c>
      <c r="BK252" s="32" t="s">
        <v>1225</v>
      </c>
      <c r="BL252" s="32" t="s">
        <v>1225</v>
      </c>
      <c r="BM252" s="32" t="s">
        <v>1225</v>
      </c>
      <c r="BN252" s="32" t="s">
        <v>1225</v>
      </c>
      <c r="BO252" s="32" t="s">
        <v>1225</v>
      </c>
      <c r="BP252" s="32" t="s">
        <v>1225</v>
      </c>
      <c r="BQ252" s="32" t="s">
        <v>1225</v>
      </c>
      <c r="BR252" s="32" t="s">
        <v>1225</v>
      </c>
      <c r="BS252" s="32" t="s">
        <v>1225</v>
      </c>
      <c r="BT252" s="32" t="s">
        <v>1225</v>
      </c>
      <c r="BU252" s="32" t="s">
        <v>1225</v>
      </c>
      <c r="BV252" s="32" t="s">
        <v>1225</v>
      </c>
      <c r="BW252" s="32" t="str">
        <f t="shared" si="6"/>
        <v>View Full Record in Web of Science</v>
      </c>
      <c r="BY252" s="41" t="str">
        <f>IF(Deletion!J252=TRUE,"Yes","No")</f>
        <v>Yes</v>
      </c>
    </row>
    <row r="253" spans="1:77" x14ac:dyDescent="0.15">
      <c r="A253" s="34">
        <f t="shared" si="7"/>
        <v>252</v>
      </c>
      <c r="B253" s="34" t="s">
        <v>4</v>
      </c>
      <c r="C253" s="34" t="s">
        <v>4</v>
      </c>
      <c r="D253" s="34" t="s">
        <v>1223</v>
      </c>
      <c r="E253" s="34" t="s">
        <v>2942</v>
      </c>
      <c r="F253" s="32" t="s">
        <v>1225</v>
      </c>
      <c r="G253" s="32" t="s">
        <v>1225</v>
      </c>
      <c r="H253" s="32" t="s">
        <v>1225</v>
      </c>
      <c r="I253" s="34" t="s">
        <v>2943</v>
      </c>
      <c r="J253" s="32" t="s">
        <v>1225</v>
      </c>
      <c r="K253" s="32" t="s">
        <v>1225</v>
      </c>
      <c r="L253" s="34" t="s">
        <v>2944</v>
      </c>
      <c r="M253" s="34" t="s">
        <v>1928</v>
      </c>
      <c r="N253" s="32" t="s">
        <v>1225</v>
      </c>
      <c r="O253" s="32" t="s">
        <v>1225</v>
      </c>
      <c r="P253" s="32" t="s">
        <v>1225</v>
      </c>
      <c r="Q253" s="34" t="s">
        <v>1227</v>
      </c>
      <c r="R253" s="32" t="s">
        <v>1225</v>
      </c>
      <c r="S253" s="32" t="s">
        <v>1225</v>
      </c>
      <c r="T253" s="32" t="s">
        <v>1225</v>
      </c>
      <c r="U253" s="32" t="s">
        <v>1225</v>
      </c>
      <c r="V253" s="32" t="s">
        <v>1225</v>
      </c>
      <c r="W253" s="34" t="s">
        <v>2945</v>
      </c>
      <c r="X253" s="34" t="s">
        <v>1225</v>
      </c>
      <c r="Y253" s="34" t="s">
        <v>2946</v>
      </c>
      <c r="Z253" s="32" t="s">
        <v>1225</v>
      </c>
      <c r="AA253" s="32" t="s">
        <v>1225</v>
      </c>
      <c r="AB253" s="32" t="s">
        <v>1225</v>
      </c>
      <c r="AC253" s="32" t="s">
        <v>1225</v>
      </c>
      <c r="AD253" s="32" t="s">
        <v>1225</v>
      </c>
      <c r="AE253" s="32" t="s">
        <v>1225</v>
      </c>
      <c r="AF253" s="32" t="s">
        <v>1225</v>
      </c>
      <c r="AG253" s="32" t="s">
        <v>1225</v>
      </c>
      <c r="AH253" s="32" t="s">
        <v>1225</v>
      </c>
      <c r="AI253" s="32" t="s">
        <v>1225</v>
      </c>
      <c r="AJ253" s="32" t="s">
        <v>1225</v>
      </c>
      <c r="AK253" s="32" t="s">
        <v>1225</v>
      </c>
      <c r="AL253" s="32" t="s">
        <v>1225</v>
      </c>
      <c r="AM253" s="32" t="s">
        <v>1225</v>
      </c>
      <c r="AN253" s="32" t="s">
        <v>1225</v>
      </c>
      <c r="AO253" s="32" t="s">
        <v>1225</v>
      </c>
      <c r="AP253" s="32" t="s">
        <v>1225</v>
      </c>
      <c r="AQ253" s="32" t="s">
        <v>1225</v>
      </c>
      <c r="AR253" s="32" t="s">
        <v>1225</v>
      </c>
      <c r="AS253" s="32" t="s">
        <v>1225</v>
      </c>
      <c r="AT253" s="32" t="s">
        <v>1225</v>
      </c>
      <c r="AU253" s="32" t="s">
        <v>1225</v>
      </c>
      <c r="AV253" s="32" t="s">
        <v>1225</v>
      </c>
      <c r="AW253" s="34" t="s">
        <v>1298</v>
      </c>
      <c r="AX253" s="34">
        <v>2015</v>
      </c>
      <c r="AY253" s="32">
        <v>9</v>
      </c>
      <c r="AZ253" s="32" t="s">
        <v>1225</v>
      </c>
      <c r="BA253" s="32" t="s">
        <v>1225</v>
      </c>
      <c r="BB253" s="32" t="s">
        <v>1225</v>
      </c>
      <c r="BC253" s="32" t="s">
        <v>1511</v>
      </c>
      <c r="BD253" s="32" t="s">
        <v>1225</v>
      </c>
      <c r="BE253" s="32">
        <v>60</v>
      </c>
      <c r="BF253" s="32">
        <v>71</v>
      </c>
      <c r="BG253" s="32" t="s">
        <v>1225</v>
      </c>
      <c r="BH253" s="34" t="s">
        <v>2947</v>
      </c>
      <c r="BI253" s="34" t="str">
        <f>HYPERLINK("http://dx.doi.org/10.1016/j.erss.2015.08.019","http://dx.doi.org/10.1016/j.erss.2015.08.019")</f>
        <v>http://dx.doi.org/10.1016/j.erss.2015.08.019</v>
      </c>
      <c r="BJ253" s="32" t="s">
        <v>1225</v>
      </c>
      <c r="BK253" s="32" t="s">
        <v>1225</v>
      </c>
      <c r="BL253" s="32" t="s">
        <v>1225</v>
      </c>
      <c r="BM253" s="32" t="s">
        <v>1225</v>
      </c>
      <c r="BN253" s="32" t="s">
        <v>1225</v>
      </c>
      <c r="BO253" s="32" t="s">
        <v>1225</v>
      </c>
      <c r="BP253" s="32" t="s">
        <v>1225</v>
      </c>
      <c r="BQ253" s="32" t="s">
        <v>1225</v>
      </c>
      <c r="BR253" s="32" t="s">
        <v>1225</v>
      </c>
      <c r="BS253" s="32" t="s">
        <v>1225</v>
      </c>
      <c r="BT253" s="32" t="s">
        <v>1225</v>
      </c>
      <c r="BU253" s="32" t="s">
        <v>1225</v>
      </c>
      <c r="BV253" s="32" t="s">
        <v>1225</v>
      </c>
      <c r="BW253" s="32" t="str">
        <f t="shared" si="6"/>
        <v>View Full Record in Web of Science</v>
      </c>
      <c r="BY253" s="41" t="str">
        <f>IF(Deletion!J253=TRUE,"Yes","No")</f>
        <v>No</v>
      </c>
    </row>
    <row r="254" spans="1:77" x14ac:dyDescent="0.15">
      <c r="A254" s="32">
        <f t="shared" si="7"/>
        <v>253</v>
      </c>
      <c r="D254" s="32" t="s">
        <v>1223</v>
      </c>
      <c r="E254" s="32" t="s">
        <v>2948</v>
      </c>
      <c r="F254" s="32" t="s">
        <v>1225</v>
      </c>
      <c r="G254" s="32" t="s">
        <v>1225</v>
      </c>
      <c r="H254" s="32" t="s">
        <v>1225</v>
      </c>
      <c r="I254" s="32" t="s">
        <v>2949</v>
      </c>
      <c r="J254" s="32" t="s">
        <v>1225</v>
      </c>
      <c r="K254" s="32" t="s">
        <v>1225</v>
      </c>
      <c r="L254" s="32" t="s">
        <v>2950</v>
      </c>
      <c r="M254" s="32" t="s">
        <v>502</v>
      </c>
      <c r="N254" s="32" t="s">
        <v>1225</v>
      </c>
      <c r="O254" s="32" t="s">
        <v>1225</v>
      </c>
      <c r="P254" s="32" t="s">
        <v>1225</v>
      </c>
      <c r="Q254" s="32" t="s">
        <v>1227</v>
      </c>
      <c r="R254" s="32" t="s">
        <v>1225</v>
      </c>
      <c r="S254" s="32" t="s">
        <v>1225</v>
      </c>
      <c r="T254" s="32" t="s">
        <v>1225</v>
      </c>
      <c r="U254" s="32" t="s">
        <v>1225</v>
      </c>
      <c r="V254" s="32" t="s">
        <v>1225</v>
      </c>
      <c r="W254" s="32" t="s">
        <v>2951</v>
      </c>
      <c r="X254" s="32" t="s">
        <v>2952</v>
      </c>
      <c r="Y254" s="32" t="s">
        <v>2953</v>
      </c>
      <c r="Z254" s="32" t="s">
        <v>1225</v>
      </c>
      <c r="AA254" s="32" t="s">
        <v>1225</v>
      </c>
      <c r="AB254" s="32" t="s">
        <v>1225</v>
      </c>
      <c r="AC254" s="32" t="s">
        <v>1225</v>
      </c>
      <c r="AD254" s="32" t="s">
        <v>1225</v>
      </c>
      <c r="AE254" s="32" t="s">
        <v>1225</v>
      </c>
      <c r="AF254" s="32" t="s">
        <v>1225</v>
      </c>
      <c r="AG254" s="32" t="s">
        <v>1225</v>
      </c>
      <c r="AH254" s="32" t="s">
        <v>1225</v>
      </c>
      <c r="AI254" s="32" t="s">
        <v>1225</v>
      </c>
      <c r="AJ254" s="32" t="s">
        <v>1225</v>
      </c>
      <c r="AK254" s="32" t="s">
        <v>1225</v>
      </c>
      <c r="AL254" s="32" t="s">
        <v>1225</v>
      </c>
      <c r="AM254" s="32" t="s">
        <v>1225</v>
      </c>
      <c r="AN254" s="32" t="s">
        <v>1225</v>
      </c>
      <c r="AO254" s="32" t="s">
        <v>1225</v>
      </c>
      <c r="AP254" s="32" t="s">
        <v>1225</v>
      </c>
      <c r="AQ254" s="32" t="s">
        <v>1225</v>
      </c>
      <c r="AR254" s="32" t="s">
        <v>1225</v>
      </c>
      <c r="AS254" s="32" t="s">
        <v>1225</v>
      </c>
      <c r="AT254" s="32" t="s">
        <v>1225</v>
      </c>
      <c r="AU254" s="32" t="s">
        <v>1225</v>
      </c>
      <c r="AV254" s="32" t="s">
        <v>1225</v>
      </c>
      <c r="AW254" s="32" t="s">
        <v>1565</v>
      </c>
      <c r="AX254" s="32">
        <v>2016</v>
      </c>
      <c r="AY254" s="32">
        <v>97</v>
      </c>
      <c r="AZ254" s="32" t="s">
        <v>1225</v>
      </c>
      <c r="BA254" s="32" t="s">
        <v>1225</v>
      </c>
      <c r="BB254" s="32" t="s">
        <v>1225</v>
      </c>
      <c r="BC254" s="32" t="s">
        <v>1225</v>
      </c>
      <c r="BD254" s="32" t="s">
        <v>1225</v>
      </c>
      <c r="BE254" s="32">
        <v>359</v>
      </c>
      <c r="BF254" s="32">
        <v>368</v>
      </c>
      <c r="BG254" s="32" t="s">
        <v>1225</v>
      </c>
      <c r="BH254" s="32" t="s">
        <v>2954</v>
      </c>
      <c r="BI254" s="32" t="str">
        <f>HYPERLINK("http://dx.doi.org/10.1016/j.energy.2015.12.140","http://dx.doi.org/10.1016/j.energy.2015.12.140")</f>
        <v>http://dx.doi.org/10.1016/j.energy.2015.12.140</v>
      </c>
      <c r="BJ254" s="32" t="s">
        <v>1225</v>
      </c>
      <c r="BK254" s="32" t="s">
        <v>1225</v>
      </c>
      <c r="BL254" s="32" t="s">
        <v>1225</v>
      </c>
      <c r="BM254" s="32" t="s">
        <v>1225</v>
      </c>
      <c r="BN254" s="32" t="s">
        <v>1225</v>
      </c>
      <c r="BO254" s="32" t="s">
        <v>1225</v>
      </c>
      <c r="BP254" s="32" t="s">
        <v>1225</v>
      </c>
      <c r="BQ254" s="32" t="s">
        <v>1225</v>
      </c>
      <c r="BR254" s="32" t="s">
        <v>1225</v>
      </c>
      <c r="BS254" s="32" t="s">
        <v>1225</v>
      </c>
      <c r="BT254" s="32" t="s">
        <v>1225</v>
      </c>
      <c r="BU254" s="32" t="s">
        <v>1225</v>
      </c>
      <c r="BV254" s="32" t="s">
        <v>1225</v>
      </c>
      <c r="BW254" s="32" t="str">
        <f t="shared" si="6"/>
        <v>View Full Record in Web of Science</v>
      </c>
      <c r="BY254" s="41" t="str">
        <f>IF(Deletion!J254=TRUE,"Yes","No")</f>
        <v>Yes</v>
      </c>
    </row>
    <row r="255" spans="1:77" x14ac:dyDescent="0.15">
      <c r="A255" s="38">
        <f t="shared" si="7"/>
        <v>254</v>
      </c>
      <c r="B255" s="38" t="s">
        <v>1413</v>
      </c>
      <c r="C255" s="38" t="s">
        <v>1413</v>
      </c>
      <c r="D255" s="38" t="s">
        <v>1223</v>
      </c>
      <c r="E255" s="38" t="s">
        <v>2955</v>
      </c>
      <c r="F255" s="32" t="s">
        <v>1225</v>
      </c>
      <c r="G255" s="32" t="s">
        <v>1225</v>
      </c>
      <c r="H255" s="32" t="s">
        <v>1225</v>
      </c>
      <c r="I255" s="38" t="s">
        <v>2956</v>
      </c>
      <c r="J255" s="32" t="s">
        <v>1225</v>
      </c>
      <c r="K255" s="32" t="s">
        <v>1225</v>
      </c>
      <c r="L255" s="38" t="s">
        <v>2957</v>
      </c>
      <c r="M255" s="38" t="s">
        <v>2958</v>
      </c>
      <c r="N255" s="32" t="s">
        <v>1225</v>
      </c>
      <c r="O255" s="32" t="s">
        <v>1225</v>
      </c>
      <c r="P255" s="32" t="s">
        <v>1225</v>
      </c>
      <c r="Q255" s="38" t="s">
        <v>1417</v>
      </c>
      <c r="R255" s="32" t="s">
        <v>1225</v>
      </c>
      <c r="S255" s="32" t="s">
        <v>1225</v>
      </c>
      <c r="T255" s="32" t="s">
        <v>1225</v>
      </c>
      <c r="U255" s="32" t="s">
        <v>1225</v>
      </c>
      <c r="V255" s="32" t="s">
        <v>1225</v>
      </c>
      <c r="W255" s="38" t="s">
        <v>2959</v>
      </c>
      <c r="X255" s="38" t="s">
        <v>2960</v>
      </c>
      <c r="Y255" s="38" t="s">
        <v>2961</v>
      </c>
      <c r="Z255" s="32" t="s">
        <v>1225</v>
      </c>
      <c r="AA255" s="32" t="s">
        <v>1225</v>
      </c>
      <c r="AB255" s="32" t="s">
        <v>1225</v>
      </c>
      <c r="AC255" s="32" t="s">
        <v>1225</v>
      </c>
      <c r="AD255" s="32" t="s">
        <v>1225</v>
      </c>
      <c r="AE255" s="32" t="s">
        <v>1225</v>
      </c>
      <c r="AF255" s="32" t="s">
        <v>1225</v>
      </c>
      <c r="AG255" s="32" t="s">
        <v>1225</v>
      </c>
      <c r="AH255" s="32" t="s">
        <v>1225</v>
      </c>
      <c r="AI255" s="32" t="s">
        <v>1225</v>
      </c>
      <c r="AJ255" s="32" t="s">
        <v>1225</v>
      </c>
      <c r="AK255" s="32" t="s">
        <v>1225</v>
      </c>
      <c r="AL255" s="32" t="s">
        <v>1225</v>
      </c>
      <c r="AM255" s="32" t="s">
        <v>1225</v>
      </c>
      <c r="AN255" s="32" t="s">
        <v>1225</v>
      </c>
      <c r="AO255" s="32" t="s">
        <v>1225</v>
      </c>
      <c r="AP255" s="32" t="s">
        <v>1225</v>
      </c>
      <c r="AQ255" s="32" t="s">
        <v>1225</v>
      </c>
      <c r="AR255" s="32" t="s">
        <v>1225</v>
      </c>
      <c r="AS255" s="32" t="s">
        <v>1225</v>
      </c>
      <c r="AT255" s="32" t="s">
        <v>1225</v>
      </c>
      <c r="AU255" s="32" t="s">
        <v>1225</v>
      </c>
      <c r="AV255" s="32" t="s">
        <v>1225</v>
      </c>
      <c r="AW255" s="38" t="s">
        <v>1272</v>
      </c>
      <c r="AX255" s="38">
        <v>2020</v>
      </c>
      <c r="AY255" s="32">
        <v>2</v>
      </c>
      <c r="AZ255" s="32">
        <v>1</v>
      </c>
      <c r="BA255" s="32" t="s">
        <v>1225</v>
      </c>
      <c r="BB255" s="32" t="s">
        <v>1225</v>
      </c>
      <c r="BC255" s="32" t="s">
        <v>1225</v>
      </c>
      <c r="BD255" s="32" t="s">
        <v>1225</v>
      </c>
      <c r="BE255" s="32">
        <v>1</v>
      </c>
      <c r="BF255" s="32">
        <v>16</v>
      </c>
      <c r="BG255" s="32" t="s">
        <v>1225</v>
      </c>
      <c r="BH255" s="38" t="s">
        <v>2962</v>
      </c>
      <c r="BI255" s="38" t="str">
        <f>HYPERLINK("http://dx.doi.org/10.3390/cleantechnol2010001","http://dx.doi.org/10.3390/cleantechnol2010001")</f>
        <v>http://dx.doi.org/10.3390/cleantechnol2010001</v>
      </c>
      <c r="BJ255" s="32" t="s">
        <v>1225</v>
      </c>
      <c r="BK255" s="32" t="s">
        <v>1225</v>
      </c>
      <c r="BL255" s="32" t="s">
        <v>1225</v>
      </c>
      <c r="BM255" s="32" t="s">
        <v>1225</v>
      </c>
      <c r="BN255" s="32" t="s">
        <v>1225</v>
      </c>
      <c r="BO255" s="32" t="s">
        <v>1225</v>
      </c>
      <c r="BP255" s="32" t="s">
        <v>1225</v>
      </c>
      <c r="BQ255" s="32" t="s">
        <v>1225</v>
      </c>
      <c r="BR255" s="32" t="s">
        <v>1225</v>
      </c>
      <c r="BS255" s="32" t="s">
        <v>1225</v>
      </c>
      <c r="BT255" s="32" t="s">
        <v>1225</v>
      </c>
      <c r="BU255" s="32" t="s">
        <v>1225</v>
      </c>
      <c r="BV255" s="32" t="s">
        <v>1225</v>
      </c>
      <c r="BW255" s="32" t="str">
        <f t="shared" si="6"/>
        <v>View Full Record in Web of Science</v>
      </c>
      <c r="BY255" s="41" t="str">
        <f>IF(Deletion!J255=TRUE,"Yes","No")</f>
        <v>No</v>
      </c>
    </row>
    <row r="256" spans="1:77" x14ac:dyDescent="0.15">
      <c r="A256" s="32">
        <f t="shared" si="7"/>
        <v>255</v>
      </c>
      <c r="D256" s="32" t="s">
        <v>1223</v>
      </c>
      <c r="E256" s="32" t="s">
        <v>2963</v>
      </c>
      <c r="F256" s="32" t="s">
        <v>1225</v>
      </c>
      <c r="G256" s="32" t="s">
        <v>1225</v>
      </c>
      <c r="H256" s="32" t="s">
        <v>1225</v>
      </c>
      <c r="I256" s="32" t="s">
        <v>2964</v>
      </c>
      <c r="J256" s="32" t="s">
        <v>1225</v>
      </c>
      <c r="K256" s="32" t="s">
        <v>1225</v>
      </c>
      <c r="L256" s="32" t="s">
        <v>2965</v>
      </c>
      <c r="M256" s="32" t="s">
        <v>422</v>
      </c>
      <c r="N256" s="32" t="s">
        <v>1225</v>
      </c>
      <c r="O256" s="32" t="s">
        <v>1225</v>
      </c>
      <c r="P256" s="32" t="s">
        <v>1225</v>
      </c>
      <c r="Q256" s="32" t="s">
        <v>1227</v>
      </c>
      <c r="R256" s="32" t="s">
        <v>1225</v>
      </c>
      <c r="S256" s="32" t="s">
        <v>1225</v>
      </c>
      <c r="T256" s="32" t="s">
        <v>1225</v>
      </c>
      <c r="U256" s="32" t="s">
        <v>1225</v>
      </c>
      <c r="V256" s="32" t="s">
        <v>1225</v>
      </c>
      <c r="W256" s="32" t="s">
        <v>2966</v>
      </c>
      <c r="X256" s="32" t="s">
        <v>2967</v>
      </c>
      <c r="Y256" s="32" t="s">
        <v>2968</v>
      </c>
      <c r="Z256" s="32" t="s">
        <v>1225</v>
      </c>
      <c r="AA256" s="32" t="s">
        <v>1225</v>
      </c>
      <c r="AB256" s="32" t="s">
        <v>1225</v>
      </c>
      <c r="AC256" s="32" t="s">
        <v>1225</v>
      </c>
      <c r="AD256" s="32" t="s">
        <v>1225</v>
      </c>
      <c r="AE256" s="32" t="s">
        <v>1225</v>
      </c>
      <c r="AF256" s="32" t="s">
        <v>1225</v>
      </c>
      <c r="AG256" s="32" t="s">
        <v>1225</v>
      </c>
      <c r="AH256" s="32" t="s">
        <v>1225</v>
      </c>
      <c r="AI256" s="32" t="s">
        <v>1225</v>
      </c>
      <c r="AJ256" s="32" t="s">
        <v>1225</v>
      </c>
      <c r="AK256" s="32" t="s">
        <v>1225</v>
      </c>
      <c r="AL256" s="32" t="s">
        <v>1225</v>
      </c>
      <c r="AM256" s="32" t="s">
        <v>1225</v>
      </c>
      <c r="AN256" s="32" t="s">
        <v>1225</v>
      </c>
      <c r="AO256" s="32" t="s">
        <v>1225</v>
      </c>
      <c r="AP256" s="32" t="s">
        <v>1225</v>
      </c>
      <c r="AQ256" s="32" t="s">
        <v>1225</v>
      </c>
      <c r="AR256" s="32" t="s">
        <v>1225</v>
      </c>
      <c r="AS256" s="32" t="s">
        <v>1225</v>
      </c>
      <c r="AT256" s="32" t="s">
        <v>1225</v>
      </c>
      <c r="AU256" s="32" t="s">
        <v>1225</v>
      </c>
      <c r="AV256" s="32" t="s">
        <v>1225</v>
      </c>
      <c r="AW256" s="32" t="s">
        <v>1285</v>
      </c>
      <c r="AX256" s="32">
        <v>2015</v>
      </c>
      <c r="AY256" s="32">
        <v>8</v>
      </c>
      <c r="AZ256" s="32">
        <v>5</v>
      </c>
      <c r="BA256" s="32" t="s">
        <v>1225</v>
      </c>
      <c r="BB256" s="32" t="s">
        <v>1225</v>
      </c>
      <c r="BC256" s="32" t="s">
        <v>1225</v>
      </c>
      <c r="BD256" s="32" t="s">
        <v>1225</v>
      </c>
      <c r="BE256" s="32">
        <v>4160</v>
      </c>
      <c r="BF256" s="32">
        <v>4187</v>
      </c>
      <c r="BG256" s="32" t="s">
        <v>1225</v>
      </c>
      <c r="BH256" s="32" t="s">
        <v>2969</v>
      </c>
      <c r="BI256" s="32" t="str">
        <f>HYPERLINK("http://dx.doi.org/10.3390/en8054160","http://dx.doi.org/10.3390/en8054160")</f>
        <v>http://dx.doi.org/10.3390/en8054160</v>
      </c>
      <c r="BJ256" s="32" t="s">
        <v>1225</v>
      </c>
      <c r="BK256" s="32" t="s">
        <v>1225</v>
      </c>
      <c r="BL256" s="32" t="s">
        <v>1225</v>
      </c>
      <c r="BM256" s="32" t="s">
        <v>1225</v>
      </c>
      <c r="BN256" s="32" t="s">
        <v>1225</v>
      </c>
      <c r="BO256" s="32" t="s">
        <v>1225</v>
      </c>
      <c r="BP256" s="32" t="s">
        <v>1225</v>
      </c>
      <c r="BQ256" s="32" t="s">
        <v>1225</v>
      </c>
      <c r="BR256" s="32" t="s">
        <v>1225</v>
      </c>
      <c r="BS256" s="32" t="s">
        <v>1225</v>
      </c>
      <c r="BT256" s="32" t="s">
        <v>1225</v>
      </c>
      <c r="BU256" s="32" t="s">
        <v>1225</v>
      </c>
      <c r="BV256" s="32" t="s">
        <v>1225</v>
      </c>
      <c r="BW256" s="32" t="str">
        <f t="shared" si="6"/>
        <v>View Full Record in Web of Science</v>
      </c>
      <c r="BY256" s="41" t="str">
        <f>IF(Deletion!J256=TRUE,"Yes","No")</f>
        <v>Yes</v>
      </c>
    </row>
    <row r="257" spans="1:77" x14ac:dyDescent="0.15">
      <c r="A257" s="32">
        <f t="shared" si="7"/>
        <v>256</v>
      </c>
      <c r="D257" s="32" t="s">
        <v>1223</v>
      </c>
      <c r="E257" s="32" t="s">
        <v>2270</v>
      </c>
      <c r="F257" s="32" t="s">
        <v>1225</v>
      </c>
      <c r="G257" s="32" t="s">
        <v>1225</v>
      </c>
      <c r="H257" s="32" t="s">
        <v>1225</v>
      </c>
      <c r="I257" s="32" t="s">
        <v>2271</v>
      </c>
      <c r="J257" s="32" t="s">
        <v>1225</v>
      </c>
      <c r="K257" s="32" t="s">
        <v>1225</v>
      </c>
      <c r="L257" s="32" t="s">
        <v>2970</v>
      </c>
      <c r="M257" s="32" t="s">
        <v>1755</v>
      </c>
      <c r="N257" s="32" t="s">
        <v>1225</v>
      </c>
      <c r="O257" s="32" t="s">
        <v>1225</v>
      </c>
      <c r="P257" s="32" t="s">
        <v>1225</v>
      </c>
      <c r="Q257" s="32" t="s">
        <v>1227</v>
      </c>
      <c r="R257" s="32" t="s">
        <v>1225</v>
      </c>
      <c r="S257" s="32" t="s">
        <v>1225</v>
      </c>
      <c r="T257" s="32" t="s">
        <v>1225</v>
      </c>
      <c r="U257" s="32" t="s">
        <v>1225</v>
      </c>
      <c r="V257" s="32" t="s">
        <v>1225</v>
      </c>
      <c r="W257" s="32" t="s">
        <v>2971</v>
      </c>
      <c r="X257" s="32" t="s">
        <v>2972</v>
      </c>
      <c r="Y257" s="32" t="s">
        <v>2973</v>
      </c>
      <c r="Z257" s="32" t="s">
        <v>1225</v>
      </c>
      <c r="AA257" s="32" t="s">
        <v>1225</v>
      </c>
      <c r="AB257" s="32" t="s">
        <v>1225</v>
      </c>
      <c r="AC257" s="32" t="s">
        <v>1225</v>
      </c>
      <c r="AD257" s="32" t="s">
        <v>1225</v>
      </c>
      <c r="AE257" s="32" t="s">
        <v>1225</v>
      </c>
      <c r="AF257" s="32" t="s">
        <v>1225</v>
      </c>
      <c r="AG257" s="32" t="s">
        <v>1225</v>
      </c>
      <c r="AH257" s="32" t="s">
        <v>1225</v>
      </c>
      <c r="AI257" s="32" t="s">
        <v>1225</v>
      </c>
      <c r="AJ257" s="32" t="s">
        <v>1225</v>
      </c>
      <c r="AK257" s="32" t="s">
        <v>1225</v>
      </c>
      <c r="AL257" s="32" t="s">
        <v>1225</v>
      </c>
      <c r="AM257" s="32" t="s">
        <v>1225</v>
      </c>
      <c r="AN257" s="32" t="s">
        <v>1225</v>
      </c>
      <c r="AO257" s="32" t="s">
        <v>1225</v>
      </c>
      <c r="AP257" s="32" t="s">
        <v>1225</v>
      </c>
      <c r="AQ257" s="32" t="s">
        <v>1225</v>
      </c>
      <c r="AR257" s="32" t="s">
        <v>1225</v>
      </c>
      <c r="AS257" s="32" t="s">
        <v>1225</v>
      </c>
      <c r="AT257" s="32" t="s">
        <v>1225</v>
      </c>
      <c r="AU257" s="32" t="s">
        <v>1225</v>
      </c>
      <c r="AV257" s="32" t="s">
        <v>1225</v>
      </c>
      <c r="AW257" s="32" t="s">
        <v>1815</v>
      </c>
      <c r="AX257" s="32">
        <v>2022</v>
      </c>
      <c r="AY257" s="32">
        <v>44</v>
      </c>
      <c r="AZ257" s="32">
        <v>2</v>
      </c>
      <c r="BA257" s="32" t="s">
        <v>1225</v>
      </c>
      <c r="BB257" s="32" t="s">
        <v>1225</v>
      </c>
      <c r="BC257" s="32" t="s">
        <v>1225</v>
      </c>
      <c r="BD257" s="32" t="s">
        <v>1225</v>
      </c>
      <c r="BE257" s="32">
        <v>4664</v>
      </c>
      <c r="BF257" s="32">
        <v>4678</v>
      </c>
      <c r="BG257" s="32" t="s">
        <v>1225</v>
      </c>
      <c r="BH257" s="32" t="s">
        <v>2974</v>
      </c>
      <c r="BI257" s="32" t="str">
        <f>HYPERLINK("http://dx.doi.org/10.1080/15567036.2022.2078443","http://dx.doi.org/10.1080/15567036.2022.2078443")</f>
        <v>http://dx.doi.org/10.1080/15567036.2022.2078443</v>
      </c>
      <c r="BJ257" s="32" t="s">
        <v>1225</v>
      </c>
      <c r="BK257" s="32" t="s">
        <v>1225</v>
      </c>
      <c r="BL257" s="32" t="s">
        <v>1225</v>
      </c>
      <c r="BM257" s="32" t="s">
        <v>1225</v>
      </c>
      <c r="BN257" s="32" t="s">
        <v>1225</v>
      </c>
      <c r="BO257" s="32" t="s">
        <v>1225</v>
      </c>
      <c r="BP257" s="32" t="s">
        <v>1225</v>
      </c>
      <c r="BQ257" s="32" t="s">
        <v>1225</v>
      </c>
      <c r="BR257" s="32" t="s">
        <v>1225</v>
      </c>
      <c r="BS257" s="32" t="s">
        <v>1225</v>
      </c>
      <c r="BT257" s="32" t="s">
        <v>1225</v>
      </c>
      <c r="BU257" s="32" t="s">
        <v>1225</v>
      </c>
      <c r="BV257" s="32" t="s">
        <v>1225</v>
      </c>
      <c r="BW257" s="32" t="str">
        <f t="shared" si="6"/>
        <v>View Full Record in Web of Science</v>
      </c>
      <c r="BY257" s="41" t="str">
        <f>IF(Deletion!J257=TRUE,"Yes","No")</f>
        <v>Yes</v>
      </c>
    </row>
    <row r="258" spans="1:77" x14ac:dyDescent="0.15">
      <c r="A258" s="32">
        <f t="shared" si="7"/>
        <v>257</v>
      </c>
      <c r="D258" s="32" t="s">
        <v>1223</v>
      </c>
      <c r="E258" s="32" t="s">
        <v>2975</v>
      </c>
      <c r="F258" s="32" t="s">
        <v>1225</v>
      </c>
      <c r="G258" s="32" t="s">
        <v>1225</v>
      </c>
      <c r="H258" s="32" t="s">
        <v>1225</v>
      </c>
      <c r="I258" s="32" t="s">
        <v>2976</v>
      </c>
      <c r="J258" s="32" t="s">
        <v>1225</v>
      </c>
      <c r="K258" s="32" t="s">
        <v>1225</v>
      </c>
      <c r="L258" s="32" t="s">
        <v>2977</v>
      </c>
      <c r="M258" s="32" t="s">
        <v>1562</v>
      </c>
      <c r="N258" s="32" t="s">
        <v>1225</v>
      </c>
      <c r="O258" s="32" t="s">
        <v>1225</v>
      </c>
      <c r="P258" s="32" t="s">
        <v>1225</v>
      </c>
      <c r="Q258" s="32" t="s">
        <v>1227</v>
      </c>
      <c r="R258" s="32" t="s">
        <v>1225</v>
      </c>
      <c r="S258" s="32" t="s">
        <v>1225</v>
      </c>
      <c r="T258" s="32" t="s">
        <v>1225</v>
      </c>
      <c r="U258" s="32" t="s">
        <v>1225</v>
      </c>
      <c r="V258" s="32" t="s">
        <v>1225</v>
      </c>
      <c r="W258" s="32" t="s">
        <v>2978</v>
      </c>
      <c r="X258" s="32" t="s">
        <v>2979</v>
      </c>
      <c r="Y258" s="32" t="s">
        <v>2980</v>
      </c>
      <c r="Z258" s="32" t="s">
        <v>1225</v>
      </c>
      <c r="AA258" s="32" t="s">
        <v>1225</v>
      </c>
      <c r="AB258" s="32" t="s">
        <v>1225</v>
      </c>
      <c r="AC258" s="32" t="s">
        <v>1225</v>
      </c>
      <c r="AD258" s="32" t="s">
        <v>1225</v>
      </c>
      <c r="AE258" s="32" t="s">
        <v>1225</v>
      </c>
      <c r="AF258" s="32" t="s">
        <v>1225</v>
      </c>
      <c r="AG258" s="32" t="s">
        <v>1225</v>
      </c>
      <c r="AH258" s="32" t="s">
        <v>1225</v>
      </c>
      <c r="AI258" s="32" t="s">
        <v>1225</v>
      </c>
      <c r="AJ258" s="32" t="s">
        <v>1225</v>
      </c>
      <c r="AK258" s="32" t="s">
        <v>1225</v>
      </c>
      <c r="AL258" s="32" t="s">
        <v>1225</v>
      </c>
      <c r="AM258" s="32" t="s">
        <v>1225</v>
      </c>
      <c r="AN258" s="32" t="s">
        <v>1225</v>
      </c>
      <c r="AO258" s="32" t="s">
        <v>1225</v>
      </c>
      <c r="AP258" s="32" t="s">
        <v>1225</v>
      </c>
      <c r="AQ258" s="32" t="s">
        <v>1225</v>
      </c>
      <c r="AR258" s="32" t="s">
        <v>1225</v>
      </c>
      <c r="AS258" s="32" t="s">
        <v>1225</v>
      </c>
      <c r="AT258" s="32" t="s">
        <v>1225</v>
      </c>
      <c r="AU258" s="32" t="s">
        <v>1225</v>
      </c>
      <c r="AV258" s="32" t="s">
        <v>1225</v>
      </c>
      <c r="AW258" s="32" t="s">
        <v>2981</v>
      </c>
      <c r="AX258" s="32">
        <v>2021</v>
      </c>
      <c r="AY258" s="32">
        <v>513</v>
      </c>
      <c r="AZ258" s="32" t="s">
        <v>1225</v>
      </c>
      <c r="BA258" s="32" t="s">
        <v>1225</v>
      </c>
      <c r="BB258" s="32" t="s">
        <v>1225</v>
      </c>
      <c r="BC258" s="32" t="s">
        <v>1225</v>
      </c>
      <c r="BD258" s="32" t="s">
        <v>1225</v>
      </c>
      <c r="BE258" s="32" t="s">
        <v>1225</v>
      </c>
      <c r="BF258" s="32" t="s">
        <v>1225</v>
      </c>
      <c r="BG258" s="32">
        <v>230472</v>
      </c>
      <c r="BH258" s="32" t="s">
        <v>2982</v>
      </c>
      <c r="BI258" s="32" t="str">
        <f>HYPERLINK("http://dx.doi.org/10.1016/j.jpowsour.2021.230472","http://dx.doi.org/10.1016/j.jpowsour.2021.230472")</f>
        <v>http://dx.doi.org/10.1016/j.jpowsour.2021.230472</v>
      </c>
      <c r="BJ258" s="32" t="s">
        <v>1225</v>
      </c>
      <c r="BK258" s="32" t="s">
        <v>1502</v>
      </c>
      <c r="BL258" s="32" t="s">
        <v>1225</v>
      </c>
      <c r="BM258" s="32" t="s">
        <v>1225</v>
      </c>
      <c r="BN258" s="32" t="s">
        <v>1225</v>
      </c>
      <c r="BO258" s="32" t="s">
        <v>1225</v>
      </c>
      <c r="BP258" s="32" t="s">
        <v>1225</v>
      </c>
      <c r="BQ258" s="32" t="s">
        <v>1225</v>
      </c>
      <c r="BR258" s="32" t="s">
        <v>1225</v>
      </c>
      <c r="BS258" s="32" t="s">
        <v>1225</v>
      </c>
      <c r="BT258" s="32" t="s">
        <v>1225</v>
      </c>
      <c r="BU258" s="32" t="s">
        <v>1225</v>
      </c>
      <c r="BV258" s="32" t="s">
        <v>1225</v>
      </c>
      <c r="BW258" s="32" t="str">
        <f t="shared" ref="BW258:BW321" si="8">HYPERLINK("https%3A%2F%2Fwww.webofscience.com%2Fwos%2Fwoscc%2Ffull-record%2F","View Full Record in Web of Science")</f>
        <v>View Full Record in Web of Science</v>
      </c>
      <c r="BY258" s="41" t="str">
        <f>IF(Deletion!J258=TRUE,"Yes","No")</f>
        <v>Yes</v>
      </c>
    </row>
    <row r="259" spans="1:77" x14ac:dyDescent="0.15">
      <c r="A259" s="32">
        <f t="shared" si="7"/>
        <v>258</v>
      </c>
      <c r="D259" s="32" t="s">
        <v>1223</v>
      </c>
      <c r="E259" s="32" t="s">
        <v>2983</v>
      </c>
      <c r="F259" s="32" t="s">
        <v>1225</v>
      </c>
      <c r="G259" s="32" t="s">
        <v>1225</v>
      </c>
      <c r="H259" s="32" t="s">
        <v>1225</v>
      </c>
      <c r="I259" s="32" t="s">
        <v>2984</v>
      </c>
      <c r="J259" s="32" t="s">
        <v>1225</v>
      </c>
      <c r="K259" s="32" t="s">
        <v>1225</v>
      </c>
      <c r="L259" s="32" t="s">
        <v>2985</v>
      </c>
      <c r="M259" s="32" t="s">
        <v>313</v>
      </c>
      <c r="N259" s="32" t="s">
        <v>1225</v>
      </c>
      <c r="O259" s="32" t="s">
        <v>1225</v>
      </c>
      <c r="P259" s="32" t="s">
        <v>1225</v>
      </c>
      <c r="Q259" s="32" t="s">
        <v>1227</v>
      </c>
      <c r="R259" s="32" t="s">
        <v>1225</v>
      </c>
      <c r="S259" s="32" t="s">
        <v>1225</v>
      </c>
      <c r="T259" s="32" t="s">
        <v>1225</v>
      </c>
      <c r="U259" s="32" t="s">
        <v>1225</v>
      </c>
      <c r="V259" s="32" t="s">
        <v>1225</v>
      </c>
      <c r="W259" s="32" t="s">
        <v>2986</v>
      </c>
      <c r="X259" s="32" t="s">
        <v>2987</v>
      </c>
      <c r="Y259" s="32" t="s">
        <v>2988</v>
      </c>
      <c r="Z259" s="32" t="s">
        <v>1225</v>
      </c>
      <c r="AA259" s="32" t="s">
        <v>1225</v>
      </c>
      <c r="AB259" s="32" t="s">
        <v>1225</v>
      </c>
      <c r="AC259" s="32" t="s">
        <v>1225</v>
      </c>
      <c r="AD259" s="32" t="s">
        <v>1225</v>
      </c>
      <c r="AE259" s="32" t="s">
        <v>1225</v>
      </c>
      <c r="AF259" s="32" t="s">
        <v>1225</v>
      </c>
      <c r="AG259" s="32" t="s">
        <v>1225</v>
      </c>
      <c r="AH259" s="32" t="s">
        <v>1225</v>
      </c>
      <c r="AI259" s="32" t="s">
        <v>1225</v>
      </c>
      <c r="AJ259" s="32" t="s">
        <v>1225</v>
      </c>
      <c r="AK259" s="32" t="s">
        <v>1225</v>
      </c>
      <c r="AL259" s="32" t="s">
        <v>1225</v>
      </c>
      <c r="AM259" s="32" t="s">
        <v>1225</v>
      </c>
      <c r="AN259" s="32" t="s">
        <v>1225</v>
      </c>
      <c r="AO259" s="32" t="s">
        <v>1225</v>
      </c>
      <c r="AP259" s="32" t="s">
        <v>1225</v>
      </c>
      <c r="AQ259" s="32" t="s">
        <v>1225</v>
      </c>
      <c r="AR259" s="32" t="s">
        <v>1225</v>
      </c>
      <c r="AS259" s="32" t="s">
        <v>1225</v>
      </c>
      <c r="AT259" s="32" t="s">
        <v>1225</v>
      </c>
      <c r="AU259" s="32" t="s">
        <v>1225</v>
      </c>
      <c r="AV259" s="32" t="s">
        <v>1225</v>
      </c>
      <c r="AW259" s="32" t="s">
        <v>1272</v>
      </c>
      <c r="AX259" s="32">
        <v>2020</v>
      </c>
      <c r="AY259" s="32">
        <v>116</v>
      </c>
      <c r="AZ259" s="32" t="s">
        <v>1225</v>
      </c>
      <c r="BA259" s="32" t="s">
        <v>1225</v>
      </c>
      <c r="BB259" s="32" t="s">
        <v>1225</v>
      </c>
      <c r="BC259" s="32" t="s">
        <v>1225</v>
      </c>
      <c r="BD259" s="32" t="s">
        <v>1225</v>
      </c>
      <c r="BE259" s="32" t="s">
        <v>1225</v>
      </c>
      <c r="BF259" s="32" t="s">
        <v>1225</v>
      </c>
      <c r="BG259" s="32">
        <v>105540</v>
      </c>
      <c r="BH259" s="32" t="s">
        <v>2989</v>
      </c>
      <c r="BI259" s="32" t="str">
        <f>HYPERLINK("http://dx.doi.org/10.1016/j.ijepes.2019.105540","http://dx.doi.org/10.1016/j.ijepes.2019.105540")</f>
        <v>http://dx.doi.org/10.1016/j.ijepes.2019.105540</v>
      </c>
      <c r="BJ259" s="32" t="s">
        <v>1225</v>
      </c>
      <c r="BK259" s="32" t="s">
        <v>1225</v>
      </c>
      <c r="BL259" s="32" t="s">
        <v>1225</v>
      </c>
      <c r="BM259" s="32" t="s">
        <v>1225</v>
      </c>
      <c r="BN259" s="32" t="s">
        <v>1225</v>
      </c>
      <c r="BO259" s="32" t="s">
        <v>1225</v>
      </c>
      <c r="BP259" s="32" t="s">
        <v>1225</v>
      </c>
      <c r="BQ259" s="32" t="s">
        <v>1225</v>
      </c>
      <c r="BR259" s="32" t="s">
        <v>1225</v>
      </c>
      <c r="BS259" s="32" t="s">
        <v>1225</v>
      </c>
      <c r="BT259" s="32" t="s">
        <v>1225</v>
      </c>
      <c r="BU259" s="32" t="s">
        <v>1225</v>
      </c>
      <c r="BV259" s="32" t="s">
        <v>1225</v>
      </c>
      <c r="BW259" s="32" t="str">
        <f t="shared" si="8"/>
        <v>View Full Record in Web of Science</v>
      </c>
      <c r="BY259" s="41" t="str">
        <f>IF(Deletion!J259=TRUE,"Yes","No")</f>
        <v>Yes</v>
      </c>
    </row>
    <row r="260" spans="1:77" x14ac:dyDescent="0.15">
      <c r="A260" s="32">
        <f t="shared" si="7"/>
        <v>259</v>
      </c>
      <c r="D260" s="32" t="s">
        <v>1223</v>
      </c>
      <c r="E260" s="32" t="s">
        <v>2990</v>
      </c>
      <c r="F260" s="32" t="s">
        <v>1225</v>
      </c>
      <c r="G260" s="32" t="s">
        <v>1225</v>
      </c>
      <c r="H260" s="32" t="s">
        <v>1225</v>
      </c>
      <c r="I260" s="32" t="s">
        <v>2991</v>
      </c>
      <c r="J260" s="32" t="s">
        <v>1225</v>
      </c>
      <c r="K260" s="32" t="s">
        <v>1225</v>
      </c>
      <c r="L260" s="32" t="s">
        <v>2992</v>
      </c>
      <c r="M260" s="32" t="s">
        <v>124</v>
      </c>
      <c r="N260" s="32" t="s">
        <v>1225</v>
      </c>
      <c r="O260" s="32" t="s">
        <v>1225</v>
      </c>
      <c r="P260" s="32" t="s">
        <v>1225</v>
      </c>
      <c r="Q260" s="32" t="s">
        <v>1227</v>
      </c>
      <c r="R260" s="32" t="s">
        <v>1225</v>
      </c>
      <c r="S260" s="32" t="s">
        <v>1225</v>
      </c>
      <c r="T260" s="32" t="s">
        <v>1225</v>
      </c>
      <c r="U260" s="32" t="s">
        <v>1225</v>
      </c>
      <c r="V260" s="32" t="s">
        <v>1225</v>
      </c>
      <c r="W260" s="32" t="s">
        <v>2993</v>
      </c>
      <c r="X260" s="32" t="s">
        <v>2994</v>
      </c>
      <c r="Y260" s="32" t="s">
        <v>2995</v>
      </c>
      <c r="Z260" s="32" t="s">
        <v>1225</v>
      </c>
      <c r="AA260" s="32" t="s">
        <v>1225</v>
      </c>
      <c r="AB260" s="32" t="s">
        <v>1225</v>
      </c>
      <c r="AC260" s="32" t="s">
        <v>1225</v>
      </c>
      <c r="AD260" s="32" t="s">
        <v>1225</v>
      </c>
      <c r="AE260" s="32" t="s">
        <v>1225</v>
      </c>
      <c r="AF260" s="32" t="s">
        <v>1225</v>
      </c>
      <c r="AG260" s="32" t="s">
        <v>1225</v>
      </c>
      <c r="AH260" s="32" t="s">
        <v>1225</v>
      </c>
      <c r="AI260" s="32" t="s">
        <v>1225</v>
      </c>
      <c r="AJ260" s="32" t="s">
        <v>1225</v>
      </c>
      <c r="AK260" s="32" t="s">
        <v>1225</v>
      </c>
      <c r="AL260" s="32" t="s">
        <v>1225</v>
      </c>
      <c r="AM260" s="32" t="s">
        <v>1225</v>
      </c>
      <c r="AN260" s="32" t="s">
        <v>1225</v>
      </c>
      <c r="AO260" s="32" t="s">
        <v>1225</v>
      </c>
      <c r="AP260" s="32" t="s">
        <v>1225</v>
      </c>
      <c r="AQ260" s="32" t="s">
        <v>1225</v>
      </c>
      <c r="AR260" s="32" t="s">
        <v>1225</v>
      </c>
      <c r="AS260" s="32" t="s">
        <v>1225</v>
      </c>
      <c r="AT260" s="32" t="s">
        <v>1225</v>
      </c>
      <c r="AU260" s="32" t="s">
        <v>1225</v>
      </c>
      <c r="AV260" s="32" t="s">
        <v>1225</v>
      </c>
      <c r="AW260" s="32" t="s">
        <v>1272</v>
      </c>
      <c r="AX260" s="32">
        <v>2016</v>
      </c>
      <c r="AY260" s="32">
        <v>7</v>
      </c>
      <c r="AZ260" s="32">
        <v>2</v>
      </c>
      <c r="BA260" s="32" t="s">
        <v>1225</v>
      </c>
      <c r="BB260" s="32" t="s">
        <v>1225</v>
      </c>
      <c r="BC260" s="32" t="s">
        <v>1511</v>
      </c>
      <c r="BD260" s="32" t="s">
        <v>1225</v>
      </c>
      <c r="BE260" s="32">
        <v>948</v>
      </c>
      <c r="BF260" s="32">
        <v>957</v>
      </c>
      <c r="BG260" s="32" t="s">
        <v>1225</v>
      </c>
      <c r="BH260" s="32" t="s">
        <v>2996</v>
      </c>
      <c r="BI260" s="32" t="str">
        <f>HYPERLINK("http://dx.doi.org/10.1109/TSG.2015.2421299","http://dx.doi.org/10.1109/TSG.2015.2421299")</f>
        <v>http://dx.doi.org/10.1109/TSG.2015.2421299</v>
      </c>
      <c r="BJ260" s="32" t="s">
        <v>1225</v>
      </c>
      <c r="BK260" s="32" t="s">
        <v>1225</v>
      </c>
      <c r="BL260" s="32" t="s">
        <v>1225</v>
      </c>
      <c r="BM260" s="32" t="s">
        <v>1225</v>
      </c>
      <c r="BN260" s="32" t="s">
        <v>1225</v>
      </c>
      <c r="BO260" s="32" t="s">
        <v>1225</v>
      </c>
      <c r="BP260" s="32" t="s">
        <v>1225</v>
      </c>
      <c r="BQ260" s="32" t="s">
        <v>1225</v>
      </c>
      <c r="BR260" s="32" t="s">
        <v>1225</v>
      </c>
      <c r="BS260" s="32" t="s">
        <v>1225</v>
      </c>
      <c r="BT260" s="32" t="s">
        <v>1225</v>
      </c>
      <c r="BU260" s="32" t="s">
        <v>1225</v>
      </c>
      <c r="BV260" s="32" t="s">
        <v>1225</v>
      </c>
      <c r="BW260" s="32" t="str">
        <f t="shared" si="8"/>
        <v>View Full Record in Web of Science</v>
      </c>
      <c r="BY260" s="41" t="str">
        <f>IF(Deletion!J260=TRUE,"Yes","No")</f>
        <v>Yes</v>
      </c>
    </row>
    <row r="261" spans="1:77" x14ac:dyDescent="0.15">
      <c r="A261" s="32">
        <f t="shared" ref="A261:A324" si="9">A260+1</f>
        <v>260</v>
      </c>
      <c r="D261" s="32" t="s">
        <v>1223</v>
      </c>
      <c r="E261" s="32" t="s">
        <v>2997</v>
      </c>
      <c r="F261" s="32" t="s">
        <v>1225</v>
      </c>
      <c r="G261" s="32" t="s">
        <v>1225</v>
      </c>
      <c r="H261" s="32" t="s">
        <v>1225</v>
      </c>
      <c r="I261" s="32" t="s">
        <v>2998</v>
      </c>
      <c r="J261" s="32" t="s">
        <v>1225</v>
      </c>
      <c r="K261" s="32" t="s">
        <v>1225</v>
      </c>
      <c r="L261" s="32" t="s">
        <v>2999</v>
      </c>
      <c r="M261" s="32" t="s">
        <v>124</v>
      </c>
      <c r="N261" s="32" t="s">
        <v>1225</v>
      </c>
      <c r="O261" s="32" t="s">
        <v>1225</v>
      </c>
      <c r="P261" s="32" t="s">
        <v>1225</v>
      </c>
      <c r="Q261" s="32" t="s">
        <v>1227</v>
      </c>
      <c r="R261" s="32" t="s">
        <v>1225</v>
      </c>
      <c r="S261" s="32" t="s">
        <v>1225</v>
      </c>
      <c r="T261" s="32" t="s">
        <v>1225</v>
      </c>
      <c r="U261" s="32" t="s">
        <v>1225</v>
      </c>
      <c r="V261" s="32" t="s">
        <v>1225</v>
      </c>
      <c r="W261" s="32" t="s">
        <v>3000</v>
      </c>
      <c r="X261" s="32" t="s">
        <v>3001</v>
      </c>
      <c r="Y261" s="32" t="s">
        <v>3002</v>
      </c>
      <c r="Z261" s="32" t="s">
        <v>1225</v>
      </c>
      <c r="AA261" s="32" t="s">
        <v>1225</v>
      </c>
      <c r="AB261" s="32" t="s">
        <v>1225</v>
      </c>
      <c r="AC261" s="32" t="s">
        <v>1225</v>
      </c>
      <c r="AD261" s="32" t="s">
        <v>1225</v>
      </c>
      <c r="AE261" s="32" t="s">
        <v>1225</v>
      </c>
      <c r="AF261" s="32" t="s">
        <v>1225</v>
      </c>
      <c r="AG261" s="32" t="s">
        <v>1225</v>
      </c>
      <c r="AH261" s="32" t="s">
        <v>1225</v>
      </c>
      <c r="AI261" s="32" t="s">
        <v>1225</v>
      </c>
      <c r="AJ261" s="32" t="s">
        <v>1225</v>
      </c>
      <c r="AK261" s="32" t="s">
        <v>1225</v>
      </c>
      <c r="AL261" s="32" t="s">
        <v>1225</v>
      </c>
      <c r="AM261" s="32" t="s">
        <v>1225</v>
      </c>
      <c r="AN261" s="32" t="s">
        <v>1225</v>
      </c>
      <c r="AO261" s="32" t="s">
        <v>1225</v>
      </c>
      <c r="AP261" s="32" t="s">
        <v>1225</v>
      </c>
      <c r="AQ261" s="32" t="s">
        <v>1225</v>
      </c>
      <c r="AR261" s="32" t="s">
        <v>1225</v>
      </c>
      <c r="AS261" s="32" t="s">
        <v>1225</v>
      </c>
      <c r="AT261" s="32" t="s">
        <v>1225</v>
      </c>
      <c r="AU261" s="32" t="s">
        <v>1225</v>
      </c>
      <c r="AV261" s="32" t="s">
        <v>1225</v>
      </c>
      <c r="AW261" s="32" t="s">
        <v>1229</v>
      </c>
      <c r="AX261" s="32">
        <v>2020</v>
      </c>
      <c r="AY261" s="32">
        <v>11</v>
      </c>
      <c r="AZ261" s="32">
        <v>6</v>
      </c>
      <c r="BA261" s="32" t="s">
        <v>1225</v>
      </c>
      <c r="BB261" s="32" t="s">
        <v>1225</v>
      </c>
      <c r="BC261" s="32" t="s">
        <v>1225</v>
      </c>
      <c r="BD261" s="32" t="s">
        <v>1225</v>
      </c>
      <c r="BE261" s="32">
        <v>4916</v>
      </c>
      <c r="BF261" s="32">
        <v>4927</v>
      </c>
      <c r="BG261" s="32" t="s">
        <v>1225</v>
      </c>
      <c r="BH261" s="32" t="s">
        <v>3003</v>
      </c>
      <c r="BI261" s="32" t="str">
        <f>HYPERLINK("http://dx.doi.org/10.1109/TSG.2020.2998080","http://dx.doi.org/10.1109/TSG.2020.2998080")</f>
        <v>http://dx.doi.org/10.1109/TSG.2020.2998080</v>
      </c>
      <c r="BJ261" s="32" t="s">
        <v>1225</v>
      </c>
      <c r="BK261" s="32" t="s">
        <v>1225</v>
      </c>
      <c r="BL261" s="32" t="s">
        <v>1225</v>
      </c>
      <c r="BM261" s="32" t="s">
        <v>1225</v>
      </c>
      <c r="BN261" s="32" t="s">
        <v>1225</v>
      </c>
      <c r="BO261" s="32" t="s">
        <v>1225</v>
      </c>
      <c r="BP261" s="32" t="s">
        <v>1225</v>
      </c>
      <c r="BQ261" s="32" t="s">
        <v>1225</v>
      </c>
      <c r="BR261" s="32" t="s">
        <v>1225</v>
      </c>
      <c r="BS261" s="32" t="s">
        <v>1225</v>
      </c>
      <c r="BT261" s="32" t="s">
        <v>1225</v>
      </c>
      <c r="BU261" s="32" t="s">
        <v>1225</v>
      </c>
      <c r="BV261" s="32" t="s">
        <v>1225</v>
      </c>
      <c r="BW261" s="32" t="str">
        <f t="shared" si="8"/>
        <v>View Full Record in Web of Science</v>
      </c>
      <c r="BY261" s="41" t="str">
        <f>IF(Deletion!J261=TRUE,"Yes","No")</f>
        <v>Yes</v>
      </c>
    </row>
    <row r="262" spans="1:77" x14ac:dyDescent="0.15">
      <c r="A262" s="32">
        <f t="shared" si="9"/>
        <v>261</v>
      </c>
      <c r="D262" s="32" t="s">
        <v>1223</v>
      </c>
      <c r="E262" s="32" t="s">
        <v>3004</v>
      </c>
      <c r="F262" s="32" t="s">
        <v>1225</v>
      </c>
      <c r="G262" s="32" t="s">
        <v>1225</v>
      </c>
      <c r="H262" s="32" t="s">
        <v>1225</v>
      </c>
      <c r="I262" s="32" t="s">
        <v>3005</v>
      </c>
      <c r="J262" s="32" t="s">
        <v>1225</v>
      </c>
      <c r="K262" s="32" t="s">
        <v>1225</v>
      </c>
      <c r="L262" s="32" t="s">
        <v>3006</v>
      </c>
      <c r="M262" s="32" t="s">
        <v>422</v>
      </c>
      <c r="N262" s="32" t="s">
        <v>1225</v>
      </c>
      <c r="O262" s="32" t="s">
        <v>1225</v>
      </c>
      <c r="P262" s="32" t="s">
        <v>1225</v>
      </c>
      <c r="Q262" s="32" t="s">
        <v>1227</v>
      </c>
      <c r="R262" s="32" t="s">
        <v>1225</v>
      </c>
      <c r="S262" s="32" t="s">
        <v>1225</v>
      </c>
      <c r="T262" s="32" t="s">
        <v>1225</v>
      </c>
      <c r="U262" s="32" t="s">
        <v>1225</v>
      </c>
      <c r="V262" s="32" t="s">
        <v>1225</v>
      </c>
      <c r="W262" s="32" t="s">
        <v>3007</v>
      </c>
      <c r="X262" s="32" t="s">
        <v>3008</v>
      </c>
      <c r="Y262" s="32" t="s">
        <v>3009</v>
      </c>
      <c r="Z262" s="32" t="s">
        <v>1225</v>
      </c>
      <c r="AA262" s="32" t="s">
        <v>1225</v>
      </c>
      <c r="AB262" s="32" t="s">
        <v>1225</v>
      </c>
      <c r="AC262" s="32" t="s">
        <v>1225</v>
      </c>
      <c r="AD262" s="32" t="s">
        <v>1225</v>
      </c>
      <c r="AE262" s="32" t="s">
        <v>1225</v>
      </c>
      <c r="AF262" s="32" t="s">
        <v>1225</v>
      </c>
      <c r="AG262" s="32" t="s">
        <v>1225</v>
      </c>
      <c r="AH262" s="32" t="s">
        <v>1225</v>
      </c>
      <c r="AI262" s="32" t="s">
        <v>1225</v>
      </c>
      <c r="AJ262" s="32" t="s">
        <v>1225</v>
      </c>
      <c r="AK262" s="32" t="s">
        <v>1225</v>
      </c>
      <c r="AL262" s="32" t="s">
        <v>1225</v>
      </c>
      <c r="AM262" s="32" t="s">
        <v>1225</v>
      </c>
      <c r="AN262" s="32" t="s">
        <v>1225</v>
      </c>
      <c r="AO262" s="32" t="s">
        <v>1225</v>
      </c>
      <c r="AP262" s="32" t="s">
        <v>1225</v>
      </c>
      <c r="AQ262" s="32" t="s">
        <v>1225</v>
      </c>
      <c r="AR262" s="32" t="s">
        <v>1225</v>
      </c>
      <c r="AS262" s="32" t="s">
        <v>1225</v>
      </c>
      <c r="AT262" s="32" t="s">
        <v>1225</v>
      </c>
      <c r="AU262" s="32" t="s">
        <v>1225</v>
      </c>
      <c r="AV262" s="32" t="s">
        <v>1225</v>
      </c>
      <c r="AW262" s="32" t="s">
        <v>1465</v>
      </c>
      <c r="AX262" s="32">
        <v>2022</v>
      </c>
      <c r="AY262" s="32">
        <v>15</v>
      </c>
      <c r="AZ262" s="32">
        <v>3</v>
      </c>
      <c r="BA262" s="32" t="s">
        <v>1225</v>
      </c>
      <c r="BB262" s="32" t="s">
        <v>1225</v>
      </c>
      <c r="BC262" s="32" t="s">
        <v>1225</v>
      </c>
      <c r="BD262" s="32" t="s">
        <v>1225</v>
      </c>
      <c r="BE262" s="32" t="s">
        <v>1225</v>
      </c>
      <c r="BF262" s="32" t="s">
        <v>1225</v>
      </c>
      <c r="BG262" s="32">
        <v>816</v>
      </c>
      <c r="BH262" s="32" t="s">
        <v>3010</v>
      </c>
      <c r="BI262" s="32" t="str">
        <f>HYPERLINK("http://dx.doi.org/10.3390/en15030816","http://dx.doi.org/10.3390/en15030816")</f>
        <v>http://dx.doi.org/10.3390/en15030816</v>
      </c>
      <c r="BJ262" s="32" t="s">
        <v>1225</v>
      </c>
      <c r="BK262" s="32" t="s">
        <v>1225</v>
      </c>
      <c r="BL262" s="32" t="s">
        <v>1225</v>
      </c>
      <c r="BM262" s="32" t="s">
        <v>1225</v>
      </c>
      <c r="BN262" s="32" t="s">
        <v>1225</v>
      </c>
      <c r="BO262" s="32" t="s">
        <v>1225</v>
      </c>
      <c r="BP262" s="32" t="s">
        <v>1225</v>
      </c>
      <c r="BQ262" s="32" t="s">
        <v>1225</v>
      </c>
      <c r="BR262" s="32" t="s">
        <v>1225</v>
      </c>
      <c r="BS262" s="32" t="s">
        <v>1225</v>
      </c>
      <c r="BT262" s="32" t="s">
        <v>1225</v>
      </c>
      <c r="BU262" s="32" t="s">
        <v>1225</v>
      </c>
      <c r="BV262" s="32" t="s">
        <v>1225</v>
      </c>
      <c r="BW262" s="32" t="str">
        <f t="shared" si="8"/>
        <v>View Full Record in Web of Science</v>
      </c>
      <c r="BY262" s="41" t="str">
        <f>IF(Deletion!J262=TRUE,"Yes","No")</f>
        <v>Yes</v>
      </c>
    </row>
    <row r="263" spans="1:77" x14ac:dyDescent="0.15">
      <c r="A263" s="32">
        <f t="shared" si="9"/>
        <v>262</v>
      </c>
      <c r="D263" s="32" t="s">
        <v>1223</v>
      </c>
      <c r="E263" s="32" t="s">
        <v>3011</v>
      </c>
      <c r="F263" s="32" t="s">
        <v>1225</v>
      </c>
      <c r="G263" s="32" t="s">
        <v>1225</v>
      </c>
      <c r="H263" s="32" t="s">
        <v>1225</v>
      </c>
      <c r="I263" s="32" t="s">
        <v>3012</v>
      </c>
      <c r="J263" s="32" t="s">
        <v>1225</v>
      </c>
      <c r="K263" s="32" t="s">
        <v>1225</v>
      </c>
      <c r="L263" s="32" t="s">
        <v>3013</v>
      </c>
      <c r="M263" s="32" t="s">
        <v>1322</v>
      </c>
      <c r="N263" s="32" t="s">
        <v>1225</v>
      </c>
      <c r="O263" s="32" t="s">
        <v>1225</v>
      </c>
      <c r="P263" s="32" t="s">
        <v>1225</v>
      </c>
      <c r="Q263" s="32" t="s">
        <v>1227</v>
      </c>
      <c r="R263" s="32" t="s">
        <v>1225</v>
      </c>
      <c r="S263" s="32" t="s">
        <v>1225</v>
      </c>
      <c r="T263" s="32" t="s">
        <v>1225</v>
      </c>
      <c r="U263" s="32" t="s">
        <v>1225</v>
      </c>
      <c r="V263" s="32" t="s">
        <v>1225</v>
      </c>
      <c r="W263" s="32" t="s">
        <v>3014</v>
      </c>
      <c r="X263" s="32" t="s">
        <v>3015</v>
      </c>
      <c r="Y263" s="32" t="s">
        <v>3016</v>
      </c>
      <c r="Z263" s="32" t="s">
        <v>1225</v>
      </c>
      <c r="AA263" s="32" t="s">
        <v>1225</v>
      </c>
      <c r="AB263" s="32" t="s">
        <v>1225</v>
      </c>
      <c r="AC263" s="32" t="s">
        <v>1225</v>
      </c>
      <c r="AD263" s="32" t="s">
        <v>1225</v>
      </c>
      <c r="AE263" s="32" t="s">
        <v>1225</v>
      </c>
      <c r="AF263" s="32" t="s">
        <v>1225</v>
      </c>
      <c r="AG263" s="32" t="s">
        <v>1225</v>
      </c>
      <c r="AH263" s="32" t="s">
        <v>1225</v>
      </c>
      <c r="AI263" s="32" t="s">
        <v>1225</v>
      </c>
      <c r="AJ263" s="32" t="s">
        <v>1225</v>
      </c>
      <c r="AK263" s="32" t="s">
        <v>1225</v>
      </c>
      <c r="AL263" s="32" t="s">
        <v>1225</v>
      </c>
      <c r="AM263" s="32" t="s">
        <v>1225</v>
      </c>
      <c r="AN263" s="32" t="s">
        <v>1225</v>
      </c>
      <c r="AO263" s="32" t="s">
        <v>1225</v>
      </c>
      <c r="AP263" s="32" t="s">
        <v>1225</v>
      </c>
      <c r="AQ263" s="32" t="s">
        <v>1225</v>
      </c>
      <c r="AR263" s="32" t="s">
        <v>1225</v>
      </c>
      <c r="AS263" s="32" t="s">
        <v>1225</v>
      </c>
      <c r="AT263" s="32" t="s">
        <v>1225</v>
      </c>
      <c r="AU263" s="32" t="s">
        <v>1225</v>
      </c>
      <c r="AV263" s="32" t="s">
        <v>1225</v>
      </c>
      <c r="AW263" s="32" t="s">
        <v>1317</v>
      </c>
      <c r="AX263" s="32">
        <v>2020</v>
      </c>
      <c r="AY263" s="32">
        <v>8</v>
      </c>
      <c r="AZ263" s="32">
        <v>1</v>
      </c>
      <c r="BA263" s="32" t="s">
        <v>1225</v>
      </c>
      <c r="BB263" s="32" t="s">
        <v>1225</v>
      </c>
      <c r="BC263" s="32" t="s">
        <v>1225</v>
      </c>
      <c r="BD263" s="32" t="s">
        <v>1225</v>
      </c>
      <c r="BE263" s="32">
        <v>124</v>
      </c>
      <c r="BF263" s="32">
        <v>132</v>
      </c>
      <c r="BG263" s="32" t="s">
        <v>1225</v>
      </c>
      <c r="BH263" s="32" t="s">
        <v>3017</v>
      </c>
      <c r="BI263" s="32" t="str">
        <f>HYPERLINK("http://dx.doi.org/10.35833/MPCE.2018.000502","http://dx.doi.org/10.35833/MPCE.2018.000502")</f>
        <v>http://dx.doi.org/10.35833/MPCE.2018.000502</v>
      </c>
      <c r="BJ263" s="32" t="s">
        <v>1225</v>
      </c>
      <c r="BK263" s="32" t="s">
        <v>1225</v>
      </c>
      <c r="BL263" s="32" t="s">
        <v>1225</v>
      </c>
      <c r="BM263" s="32" t="s">
        <v>1225</v>
      </c>
      <c r="BN263" s="32" t="s">
        <v>1225</v>
      </c>
      <c r="BO263" s="32" t="s">
        <v>1225</v>
      </c>
      <c r="BP263" s="32" t="s">
        <v>1225</v>
      </c>
      <c r="BQ263" s="32" t="s">
        <v>1225</v>
      </c>
      <c r="BR263" s="32" t="s">
        <v>1225</v>
      </c>
      <c r="BS263" s="32" t="s">
        <v>1225</v>
      </c>
      <c r="BT263" s="32" t="s">
        <v>1225</v>
      </c>
      <c r="BU263" s="32" t="s">
        <v>1225</v>
      </c>
      <c r="BV263" s="32" t="s">
        <v>1225</v>
      </c>
      <c r="BW263" s="32" t="str">
        <f t="shared" si="8"/>
        <v>View Full Record in Web of Science</v>
      </c>
      <c r="BY263" s="41" t="str">
        <f>IF(Deletion!J263=TRUE,"Yes","No")</f>
        <v>Yes</v>
      </c>
    </row>
    <row r="264" spans="1:77" x14ac:dyDescent="0.15">
      <c r="A264" s="32">
        <f t="shared" si="9"/>
        <v>263</v>
      </c>
      <c r="D264" s="32" t="s">
        <v>1223</v>
      </c>
      <c r="E264" s="32" t="s">
        <v>3018</v>
      </c>
      <c r="F264" s="32" t="s">
        <v>1225</v>
      </c>
      <c r="G264" s="32" t="s">
        <v>1225</v>
      </c>
      <c r="H264" s="32" t="s">
        <v>1225</v>
      </c>
      <c r="I264" s="32" t="s">
        <v>3019</v>
      </c>
      <c r="J264" s="32" t="s">
        <v>1225</v>
      </c>
      <c r="K264" s="32" t="s">
        <v>1225</v>
      </c>
      <c r="L264" s="32" t="s">
        <v>3020</v>
      </c>
      <c r="M264" s="32" t="s">
        <v>422</v>
      </c>
      <c r="N264" s="32" t="s">
        <v>1225</v>
      </c>
      <c r="O264" s="32" t="s">
        <v>1225</v>
      </c>
      <c r="P264" s="32" t="s">
        <v>1225</v>
      </c>
      <c r="Q264" s="32" t="s">
        <v>1227</v>
      </c>
      <c r="R264" s="32" t="s">
        <v>1225</v>
      </c>
      <c r="S264" s="32" t="s">
        <v>1225</v>
      </c>
      <c r="T264" s="32" t="s">
        <v>1225</v>
      </c>
      <c r="U264" s="32" t="s">
        <v>1225</v>
      </c>
      <c r="V264" s="32" t="s">
        <v>1225</v>
      </c>
      <c r="W264" s="32" t="s">
        <v>3021</v>
      </c>
      <c r="X264" s="32" t="s">
        <v>3022</v>
      </c>
      <c r="Y264" s="32" t="s">
        <v>3023</v>
      </c>
      <c r="Z264" s="32" t="s">
        <v>1225</v>
      </c>
      <c r="AA264" s="32" t="s">
        <v>1225</v>
      </c>
      <c r="AB264" s="32" t="s">
        <v>1225</v>
      </c>
      <c r="AC264" s="32" t="s">
        <v>1225</v>
      </c>
      <c r="AD264" s="32" t="s">
        <v>1225</v>
      </c>
      <c r="AE264" s="32" t="s">
        <v>1225</v>
      </c>
      <c r="AF264" s="32" t="s">
        <v>1225</v>
      </c>
      <c r="AG264" s="32" t="s">
        <v>1225</v>
      </c>
      <c r="AH264" s="32" t="s">
        <v>1225</v>
      </c>
      <c r="AI264" s="32" t="s">
        <v>1225</v>
      </c>
      <c r="AJ264" s="32" t="s">
        <v>1225</v>
      </c>
      <c r="AK264" s="32" t="s">
        <v>1225</v>
      </c>
      <c r="AL264" s="32" t="s">
        <v>1225</v>
      </c>
      <c r="AM264" s="32" t="s">
        <v>1225</v>
      </c>
      <c r="AN264" s="32" t="s">
        <v>1225</v>
      </c>
      <c r="AO264" s="32" t="s">
        <v>1225</v>
      </c>
      <c r="AP264" s="32" t="s">
        <v>1225</v>
      </c>
      <c r="AQ264" s="32" t="s">
        <v>1225</v>
      </c>
      <c r="AR264" s="32" t="s">
        <v>1225</v>
      </c>
      <c r="AS264" s="32" t="s">
        <v>1225</v>
      </c>
      <c r="AT264" s="32" t="s">
        <v>1225</v>
      </c>
      <c r="AU264" s="32" t="s">
        <v>1225</v>
      </c>
      <c r="AV264" s="32" t="s">
        <v>1225</v>
      </c>
      <c r="AW264" s="32" t="s">
        <v>1317</v>
      </c>
      <c r="AX264" s="32">
        <v>2017</v>
      </c>
      <c r="AY264" s="32">
        <v>10</v>
      </c>
      <c r="AZ264" s="32">
        <v>1</v>
      </c>
      <c r="BA264" s="32" t="s">
        <v>1225</v>
      </c>
      <c r="BB264" s="32" t="s">
        <v>1225</v>
      </c>
      <c r="BC264" s="32" t="s">
        <v>1225</v>
      </c>
      <c r="BD264" s="32" t="s">
        <v>1225</v>
      </c>
      <c r="BE264" s="32" t="s">
        <v>1225</v>
      </c>
      <c r="BF264" s="32" t="s">
        <v>1225</v>
      </c>
      <c r="BG264" s="32">
        <v>37</v>
      </c>
      <c r="BH264" s="32" t="s">
        <v>3024</v>
      </c>
      <c r="BI264" s="32" t="str">
        <f>HYPERLINK("http://dx.doi.org/10.3390/en10010037","http://dx.doi.org/10.3390/en10010037")</f>
        <v>http://dx.doi.org/10.3390/en10010037</v>
      </c>
      <c r="BJ264" s="32" t="s">
        <v>1225</v>
      </c>
      <c r="BK264" s="32" t="s">
        <v>1225</v>
      </c>
      <c r="BL264" s="32" t="s">
        <v>1225</v>
      </c>
      <c r="BM264" s="32" t="s">
        <v>1225</v>
      </c>
      <c r="BN264" s="32" t="s">
        <v>1225</v>
      </c>
      <c r="BO264" s="32" t="s">
        <v>1225</v>
      </c>
      <c r="BP264" s="32" t="s">
        <v>1225</v>
      </c>
      <c r="BQ264" s="32" t="s">
        <v>1225</v>
      </c>
      <c r="BR264" s="32" t="s">
        <v>1225</v>
      </c>
      <c r="BS264" s="32" t="s">
        <v>1225</v>
      </c>
      <c r="BT264" s="32" t="s">
        <v>1225</v>
      </c>
      <c r="BU264" s="32" t="s">
        <v>1225</v>
      </c>
      <c r="BV264" s="32" t="s">
        <v>1225</v>
      </c>
      <c r="BW264" s="32" t="str">
        <f t="shared" si="8"/>
        <v>View Full Record in Web of Science</v>
      </c>
      <c r="BY264" s="41" t="str">
        <f>IF(Deletion!J264=TRUE,"Yes","No")</f>
        <v>Yes</v>
      </c>
    </row>
    <row r="265" spans="1:77" x14ac:dyDescent="0.15">
      <c r="A265" s="32">
        <f t="shared" si="9"/>
        <v>264</v>
      </c>
      <c r="D265" s="32" t="s">
        <v>1223</v>
      </c>
      <c r="E265" s="32" t="s">
        <v>3025</v>
      </c>
      <c r="F265" s="32" t="s">
        <v>1225</v>
      </c>
      <c r="G265" s="32" t="s">
        <v>1225</v>
      </c>
      <c r="H265" s="32" t="s">
        <v>1225</v>
      </c>
      <c r="I265" s="32" t="s">
        <v>3026</v>
      </c>
      <c r="J265" s="32" t="s">
        <v>1225</v>
      </c>
      <c r="K265" s="32" t="s">
        <v>1225</v>
      </c>
      <c r="L265" s="32" t="s">
        <v>3027</v>
      </c>
      <c r="M265" s="32" t="s">
        <v>313</v>
      </c>
      <c r="N265" s="32" t="s">
        <v>1225</v>
      </c>
      <c r="O265" s="32" t="s">
        <v>1225</v>
      </c>
      <c r="P265" s="32" t="s">
        <v>1225</v>
      </c>
      <c r="Q265" s="32" t="s">
        <v>1227</v>
      </c>
      <c r="R265" s="32" t="s">
        <v>1225</v>
      </c>
      <c r="S265" s="32" t="s">
        <v>1225</v>
      </c>
      <c r="T265" s="32" t="s">
        <v>1225</v>
      </c>
      <c r="U265" s="32" t="s">
        <v>1225</v>
      </c>
      <c r="V265" s="32" t="s">
        <v>1225</v>
      </c>
      <c r="W265" s="32" t="s">
        <v>3028</v>
      </c>
      <c r="X265" s="32" t="s">
        <v>3029</v>
      </c>
      <c r="Y265" s="32" t="s">
        <v>3030</v>
      </c>
      <c r="Z265" s="32" t="s">
        <v>1225</v>
      </c>
      <c r="AA265" s="32" t="s">
        <v>1225</v>
      </c>
      <c r="AB265" s="32" t="s">
        <v>1225</v>
      </c>
      <c r="AC265" s="32" t="s">
        <v>1225</v>
      </c>
      <c r="AD265" s="32" t="s">
        <v>1225</v>
      </c>
      <c r="AE265" s="32" t="s">
        <v>1225</v>
      </c>
      <c r="AF265" s="32" t="s">
        <v>1225</v>
      </c>
      <c r="AG265" s="32" t="s">
        <v>1225</v>
      </c>
      <c r="AH265" s="32" t="s">
        <v>1225</v>
      </c>
      <c r="AI265" s="32" t="s">
        <v>1225</v>
      </c>
      <c r="AJ265" s="32" t="s">
        <v>1225</v>
      </c>
      <c r="AK265" s="32" t="s">
        <v>1225</v>
      </c>
      <c r="AL265" s="32" t="s">
        <v>1225</v>
      </c>
      <c r="AM265" s="32" t="s">
        <v>1225</v>
      </c>
      <c r="AN265" s="32" t="s">
        <v>1225</v>
      </c>
      <c r="AO265" s="32" t="s">
        <v>1225</v>
      </c>
      <c r="AP265" s="32" t="s">
        <v>1225</v>
      </c>
      <c r="AQ265" s="32" t="s">
        <v>1225</v>
      </c>
      <c r="AR265" s="32" t="s">
        <v>1225</v>
      </c>
      <c r="AS265" s="32" t="s">
        <v>1225</v>
      </c>
      <c r="AT265" s="32" t="s">
        <v>1225</v>
      </c>
      <c r="AU265" s="32" t="s">
        <v>1225</v>
      </c>
      <c r="AV265" s="32" t="s">
        <v>1225</v>
      </c>
      <c r="AW265" s="32" t="s">
        <v>1256</v>
      </c>
      <c r="AX265" s="32">
        <v>2016</v>
      </c>
      <c r="AY265" s="32">
        <v>83</v>
      </c>
      <c r="AZ265" s="32" t="s">
        <v>1225</v>
      </c>
      <c r="BA265" s="32" t="s">
        <v>1225</v>
      </c>
      <c r="BB265" s="32" t="s">
        <v>1225</v>
      </c>
      <c r="BC265" s="32" t="s">
        <v>1225</v>
      </c>
      <c r="BD265" s="32" t="s">
        <v>1225</v>
      </c>
      <c r="BE265" s="32">
        <v>458</v>
      </c>
      <c r="BF265" s="32">
        <v>469</v>
      </c>
      <c r="BG265" s="32" t="s">
        <v>1225</v>
      </c>
      <c r="BH265" s="32" t="s">
        <v>3031</v>
      </c>
      <c r="BI265" s="32" t="str">
        <f>HYPERLINK("http://dx.doi.org/10.1016/j.ijepes.2016.04.039","http://dx.doi.org/10.1016/j.ijepes.2016.04.039")</f>
        <v>http://dx.doi.org/10.1016/j.ijepes.2016.04.039</v>
      </c>
      <c r="BJ265" s="32" t="s">
        <v>1225</v>
      </c>
      <c r="BK265" s="32" t="s">
        <v>1225</v>
      </c>
      <c r="BL265" s="32" t="s">
        <v>1225</v>
      </c>
      <c r="BM265" s="32" t="s">
        <v>1225</v>
      </c>
      <c r="BN265" s="32" t="s">
        <v>1225</v>
      </c>
      <c r="BO265" s="32" t="s">
        <v>1225</v>
      </c>
      <c r="BP265" s="32" t="s">
        <v>1225</v>
      </c>
      <c r="BQ265" s="32" t="s">
        <v>1225</v>
      </c>
      <c r="BR265" s="32" t="s">
        <v>1225</v>
      </c>
      <c r="BS265" s="32" t="s">
        <v>1225</v>
      </c>
      <c r="BT265" s="32" t="s">
        <v>1225</v>
      </c>
      <c r="BU265" s="32" t="s">
        <v>1225</v>
      </c>
      <c r="BV265" s="32" t="s">
        <v>1225</v>
      </c>
      <c r="BW265" s="32" t="str">
        <f t="shared" si="8"/>
        <v>View Full Record in Web of Science</v>
      </c>
      <c r="BY265" s="41" t="str">
        <f>IF(Deletion!J265=TRUE,"Yes","No")</f>
        <v>Yes</v>
      </c>
    </row>
    <row r="266" spans="1:77" x14ac:dyDescent="0.15">
      <c r="A266" s="32">
        <f t="shared" si="9"/>
        <v>265</v>
      </c>
      <c r="D266" s="32" t="s">
        <v>1223</v>
      </c>
      <c r="E266" s="32" t="s">
        <v>3032</v>
      </c>
      <c r="F266" s="32" t="s">
        <v>1225</v>
      </c>
      <c r="G266" s="32" t="s">
        <v>1225</v>
      </c>
      <c r="H266" s="32" t="s">
        <v>1225</v>
      </c>
      <c r="I266" s="32" t="s">
        <v>3033</v>
      </c>
      <c r="J266" s="32" t="s">
        <v>1225</v>
      </c>
      <c r="K266" s="32" t="s">
        <v>1225</v>
      </c>
      <c r="L266" s="32" t="s">
        <v>3034</v>
      </c>
      <c r="M266" s="32" t="s">
        <v>422</v>
      </c>
      <c r="N266" s="32" t="s">
        <v>1225</v>
      </c>
      <c r="O266" s="32" t="s">
        <v>1225</v>
      </c>
      <c r="P266" s="32" t="s">
        <v>1225</v>
      </c>
      <c r="Q266" s="32" t="s">
        <v>1227</v>
      </c>
      <c r="R266" s="32" t="s">
        <v>1225</v>
      </c>
      <c r="S266" s="32" t="s">
        <v>1225</v>
      </c>
      <c r="T266" s="32" t="s">
        <v>1225</v>
      </c>
      <c r="U266" s="32" t="s">
        <v>1225</v>
      </c>
      <c r="V266" s="32" t="s">
        <v>1225</v>
      </c>
      <c r="W266" s="32" t="s">
        <v>3035</v>
      </c>
      <c r="X266" s="32" t="s">
        <v>3036</v>
      </c>
      <c r="Y266" s="32" t="s">
        <v>3037</v>
      </c>
      <c r="Z266" s="32" t="s">
        <v>1225</v>
      </c>
      <c r="AA266" s="32" t="s">
        <v>1225</v>
      </c>
      <c r="AB266" s="32" t="s">
        <v>1225</v>
      </c>
      <c r="AC266" s="32" t="s">
        <v>1225</v>
      </c>
      <c r="AD266" s="32" t="s">
        <v>1225</v>
      </c>
      <c r="AE266" s="32" t="s">
        <v>1225</v>
      </c>
      <c r="AF266" s="32" t="s">
        <v>1225</v>
      </c>
      <c r="AG266" s="32" t="s">
        <v>1225</v>
      </c>
      <c r="AH266" s="32" t="s">
        <v>1225</v>
      </c>
      <c r="AI266" s="32" t="s">
        <v>1225</v>
      </c>
      <c r="AJ266" s="32" t="s">
        <v>1225</v>
      </c>
      <c r="AK266" s="32" t="s">
        <v>1225</v>
      </c>
      <c r="AL266" s="32" t="s">
        <v>1225</v>
      </c>
      <c r="AM266" s="32" t="s">
        <v>1225</v>
      </c>
      <c r="AN266" s="32" t="s">
        <v>1225</v>
      </c>
      <c r="AO266" s="32" t="s">
        <v>1225</v>
      </c>
      <c r="AP266" s="32" t="s">
        <v>1225</v>
      </c>
      <c r="AQ266" s="32" t="s">
        <v>1225</v>
      </c>
      <c r="AR266" s="32" t="s">
        <v>1225</v>
      </c>
      <c r="AS266" s="32" t="s">
        <v>1225</v>
      </c>
      <c r="AT266" s="32" t="s">
        <v>1225</v>
      </c>
      <c r="AU266" s="32" t="s">
        <v>1225</v>
      </c>
      <c r="AV266" s="32" t="s">
        <v>1225</v>
      </c>
      <c r="AW266" s="32" t="s">
        <v>3038</v>
      </c>
      <c r="AX266" s="32">
        <v>2019</v>
      </c>
      <c r="AY266" s="32">
        <v>12</v>
      </c>
      <c r="AZ266" s="32">
        <v>8</v>
      </c>
      <c r="BA266" s="32" t="s">
        <v>1225</v>
      </c>
      <c r="BB266" s="32" t="s">
        <v>1225</v>
      </c>
      <c r="BC266" s="32" t="s">
        <v>1225</v>
      </c>
      <c r="BD266" s="32" t="s">
        <v>1225</v>
      </c>
      <c r="BE266" s="32" t="s">
        <v>1225</v>
      </c>
      <c r="BF266" s="32" t="s">
        <v>1225</v>
      </c>
      <c r="BG266" s="32">
        <v>1500</v>
      </c>
      <c r="BH266" s="32" t="s">
        <v>3039</v>
      </c>
      <c r="BI266" s="32" t="str">
        <f>HYPERLINK("http://dx.doi.org/10.3390/en12081500","http://dx.doi.org/10.3390/en12081500")</f>
        <v>http://dx.doi.org/10.3390/en12081500</v>
      </c>
      <c r="BJ266" s="32" t="s">
        <v>1225</v>
      </c>
      <c r="BK266" s="32" t="s">
        <v>1225</v>
      </c>
      <c r="BL266" s="32" t="s">
        <v>1225</v>
      </c>
      <c r="BM266" s="32" t="s">
        <v>1225</v>
      </c>
      <c r="BN266" s="32" t="s">
        <v>1225</v>
      </c>
      <c r="BO266" s="32" t="s">
        <v>1225</v>
      </c>
      <c r="BP266" s="32" t="s">
        <v>1225</v>
      </c>
      <c r="BQ266" s="32" t="s">
        <v>1225</v>
      </c>
      <c r="BR266" s="32" t="s">
        <v>1225</v>
      </c>
      <c r="BS266" s="32" t="s">
        <v>1225</v>
      </c>
      <c r="BT266" s="32" t="s">
        <v>1225</v>
      </c>
      <c r="BU266" s="32" t="s">
        <v>1225</v>
      </c>
      <c r="BV266" s="32" t="s">
        <v>1225</v>
      </c>
      <c r="BW266" s="32" t="str">
        <f t="shared" si="8"/>
        <v>View Full Record in Web of Science</v>
      </c>
      <c r="BY266" s="41" t="str">
        <f>IF(Deletion!J266=TRUE,"Yes","No")</f>
        <v>Yes</v>
      </c>
    </row>
    <row r="267" spans="1:77" x14ac:dyDescent="0.15">
      <c r="A267" s="32">
        <f t="shared" si="9"/>
        <v>266</v>
      </c>
      <c r="D267" s="32" t="s">
        <v>1223</v>
      </c>
      <c r="E267" s="32" t="s">
        <v>3040</v>
      </c>
      <c r="F267" s="32" t="s">
        <v>1225</v>
      </c>
      <c r="G267" s="32" t="s">
        <v>1225</v>
      </c>
      <c r="H267" s="32" t="s">
        <v>1225</v>
      </c>
      <c r="I267" s="32" t="s">
        <v>3041</v>
      </c>
      <c r="J267" s="32" t="s">
        <v>1225</v>
      </c>
      <c r="K267" s="32" t="s">
        <v>1225</v>
      </c>
      <c r="L267" s="32" t="s">
        <v>3042</v>
      </c>
      <c r="M267" s="32" t="s">
        <v>422</v>
      </c>
      <c r="N267" s="32" t="s">
        <v>1225</v>
      </c>
      <c r="O267" s="32" t="s">
        <v>1225</v>
      </c>
      <c r="P267" s="32" t="s">
        <v>1225</v>
      </c>
      <c r="Q267" s="32" t="s">
        <v>1227</v>
      </c>
      <c r="R267" s="32" t="s">
        <v>1225</v>
      </c>
      <c r="S267" s="32" t="s">
        <v>1225</v>
      </c>
      <c r="T267" s="32" t="s">
        <v>1225</v>
      </c>
      <c r="U267" s="32" t="s">
        <v>1225</v>
      </c>
      <c r="V267" s="32" t="s">
        <v>1225</v>
      </c>
      <c r="W267" s="32" t="s">
        <v>3043</v>
      </c>
      <c r="X267" s="32" t="s">
        <v>3044</v>
      </c>
      <c r="Y267" s="32" t="s">
        <v>3045</v>
      </c>
      <c r="Z267" s="32" t="s">
        <v>1225</v>
      </c>
      <c r="AA267" s="32" t="s">
        <v>1225</v>
      </c>
      <c r="AB267" s="32" t="s">
        <v>1225</v>
      </c>
      <c r="AC267" s="32" t="s">
        <v>1225</v>
      </c>
      <c r="AD267" s="32" t="s">
        <v>1225</v>
      </c>
      <c r="AE267" s="32" t="s">
        <v>1225</v>
      </c>
      <c r="AF267" s="32" t="s">
        <v>1225</v>
      </c>
      <c r="AG267" s="32" t="s">
        <v>1225</v>
      </c>
      <c r="AH267" s="32" t="s">
        <v>1225</v>
      </c>
      <c r="AI267" s="32" t="s">
        <v>1225</v>
      </c>
      <c r="AJ267" s="32" t="s">
        <v>1225</v>
      </c>
      <c r="AK267" s="32" t="s">
        <v>1225</v>
      </c>
      <c r="AL267" s="32" t="s">
        <v>1225</v>
      </c>
      <c r="AM267" s="32" t="s">
        <v>1225</v>
      </c>
      <c r="AN267" s="32" t="s">
        <v>1225</v>
      </c>
      <c r="AO267" s="32" t="s">
        <v>1225</v>
      </c>
      <c r="AP267" s="32" t="s">
        <v>1225</v>
      </c>
      <c r="AQ267" s="32" t="s">
        <v>1225</v>
      </c>
      <c r="AR267" s="32" t="s">
        <v>1225</v>
      </c>
      <c r="AS267" s="32" t="s">
        <v>1225</v>
      </c>
      <c r="AT267" s="32" t="s">
        <v>1225</v>
      </c>
      <c r="AU267" s="32" t="s">
        <v>1225</v>
      </c>
      <c r="AV267" s="32" t="s">
        <v>1225</v>
      </c>
      <c r="AW267" s="32" t="s">
        <v>1298</v>
      </c>
      <c r="AX267" s="32">
        <v>2021</v>
      </c>
      <c r="AY267" s="32">
        <v>14</v>
      </c>
      <c r="AZ267" s="32">
        <v>17</v>
      </c>
      <c r="BA267" s="32" t="s">
        <v>1225</v>
      </c>
      <c r="BB267" s="32" t="s">
        <v>1225</v>
      </c>
      <c r="BC267" s="32" t="s">
        <v>1225</v>
      </c>
      <c r="BD267" s="32" t="s">
        <v>1225</v>
      </c>
      <c r="BE267" s="32" t="s">
        <v>1225</v>
      </c>
      <c r="BF267" s="32" t="s">
        <v>1225</v>
      </c>
      <c r="BG267" s="32">
        <v>5441</v>
      </c>
      <c r="BH267" s="32" t="s">
        <v>3046</v>
      </c>
      <c r="BI267" s="32" t="str">
        <f>HYPERLINK("http://dx.doi.org/10.3390/en14175441","http://dx.doi.org/10.3390/en14175441")</f>
        <v>http://dx.doi.org/10.3390/en14175441</v>
      </c>
      <c r="BJ267" s="32" t="s">
        <v>1225</v>
      </c>
      <c r="BK267" s="32" t="s">
        <v>1225</v>
      </c>
      <c r="BL267" s="32" t="s">
        <v>1225</v>
      </c>
      <c r="BM267" s="32" t="s">
        <v>1225</v>
      </c>
      <c r="BN267" s="32" t="s">
        <v>1225</v>
      </c>
      <c r="BO267" s="32" t="s">
        <v>1225</v>
      </c>
      <c r="BP267" s="32" t="s">
        <v>1225</v>
      </c>
      <c r="BQ267" s="32" t="s">
        <v>1225</v>
      </c>
      <c r="BR267" s="32" t="s">
        <v>1225</v>
      </c>
      <c r="BS267" s="32" t="s">
        <v>1225</v>
      </c>
      <c r="BT267" s="32" t="s">
        <v>1225</v>
      </c>
      <c r="BU267" s="32" t="s">
        <v>1225</v>
      </c>
      <c r="BV267" s="32" t="s">
        <v>1225</v>
      </c>
      <c r="BW267" s="32" t="str">
        <f t="shared" si="8"/>
        <v>View Full Record in Web of Science</v>
      </c>
      <c r="BY267" s="41" t="str">
        <f>IF(Deletion!J267=TRUE,"Yes","No")</f>
        <v>Yes</v>
      </c>
    </row>
    <row r="268" spans="1:77" x14ac:dyDescent="0.15">
      <c r="A268" s="38">
        <f t="shared" si="9"/>
        <v>267</v>
      </c>
      <c r="B268" s="38" t="s">
        <v>1413</v>
      </c>
      <c r="C268" s="38" t="s">
        <v>1413</v>
      </c>
      <c r="D268" s="38" t="s">
        <v>1223</v>
      </c>
      <c r="E268" s="38" t="s">
        <v>3047</v>
      </c>
      <c r="F268" s="32" t="s">
        <v>1225</v>
      </c>
      <c r="G268" s="32" t="s">
        <v>1225</v>
      </c>
      <c r="H268" s="32" t="s">
        <v>1225</v>
      </c>
      <c r="I268" s="38" t="s">
        <v>3048</v>
      </c>
      <c r="J268" s="32" t="s">
        <v>1225</v>
      </c>
      <c r="K268" s="32" t="s">
        <v>1225</v>
      </c>
      <c r="L268" s="38" t="s">
        <v>3049</v>
      </c>
      <c r="M268" s="38" t="s">
        <v>3050</v>
      </c>
      <c r="N268" s="32" t="s">
        <v>1225</v>
      </c>
      <c r="O268" s="32" t="s">
        <v>1225</v>
      </c>
      <c r="P268" s="32" t="s">
        <v>1225</v>
      </c>
      <c r="Q268" s="38" t="s">
        <v>1417</v>
      </c>
      <c r="R268" s="32" t="s">
        <v>1225</v>
      </c>
      <c r="S268" s="32" t="s">
        <v>1225</v>
      </c>
      <c r="T268" s="32" t="s">
        <v>1225</v>
      </c>
      <c r="U268" s="32" t="s">
        <v>1225</v>
      </c>
      <c r="V268" s="32" t="s">
        <v>1225</v>
      </c>
      <c r="W268" s="38" t="s">
        <v>3051</v>
      </c>
      <c r="X268" s="38" t="s">
        <v>3052</v>
      </c>
      <c r="Y268" s="38" t="s">
        <v>3053</v>
      </c>
      <c r="Z268" s="32" t="s">
        <v>1225</v>
      </c>
      <c r="AA268" s="32" t="s">
        <v>1225</v>
      </c>
      <c r="AB268" s="32" t="s">
        <v>1225</v>
      </c>
      <c r="AC268" s="32" t="s">
        <v>1225</v>
      </c>
      <c r="AD268" s="32" t="s">
        <v>1225</v>
      </c>
      <c r="AE268" s="32" t="s">
        <v>1225</v>
      </c>
      <c r="AF268" s="32" t="s">
        <v>1225</v>
      </c>
      <c r="AG268" s="32" t="s">
        <v>1225</v>
      </c>
      <c r="AH268" s="32" t="s">
        <v>1225</v>
      </c>
      <c r="AI268" s="32" t="s">
        <v>1225</v>
      </c>
      <c r="AJ268" s="32" t="s">
        <v>1225</v>
      </c>
      <c r="AK268" s="32" t="s">
        <v>1225</v>
      </c>
      <c r="AL268" s="32" t="s">
        <v>1225</v>
      </c>
      <c r="AM268" s="32" t="s">
        <v>1225</v>
      </c>
      <c r="AN268" s="32" t="s">
        <v>1225</v>
      </c>
      <c r="AO268" s="32" t="s">
        <v>1225</v>
      </c>
      <c r="AP268" s="32" t="s">
        <v>1225</v>
      </c>
      <c r="AQ268" s="32" t="s">
        <v>1225</v>
      </c>
      <c r="AR268" s="32" t="s">
        <v>1225</v>
      </c>
      <c r="AS268" s="32" t="s">
        <v>1225</v>
      </c>
      <c r="AT268" s="32" t="s">
        <v>1225</v>
      </c>
      <c r="AU268" s="32" t="s">
        <v>1225</v>
      </c>
      <c r="AV268" s="32" t="s">
        <v>1225</v>
      </c>
      <c r="AW268" s="38" t="s">
        <v>1356</v>
      </c>
      <c r="AX268" s="38">
        <v>2022</v>
      </c>
      <c r="AY268" s="32">
        <v>52</v>
      </c>
      <c r="AZ268" s="32" t="s">
        <v>1225</v>
      </c>
      <c r="BA268" s="32" t="s">
        <v>2643</v>
      </c>
      <c r="BB268" s="32" t="s">
        <v>1225</v>
      </c>
      <c r="BC268" s="32" t="s">
        <v>1225</v>
      </c>
      <c r="BD268" s="32" t="s">
        <v>1225</v>
      </c>
      <c r="BE268" s="32" t="s">
        <v>1225</v>
      </c>
      <c r="BF268" s="32" t="s">
        <v>1225</v>
      </c>
      <c r="BG268" s="32">
        <v>102177</v>
      </c>
      <c r="BH268" s="38" t="s">
        <v>3054</v>
      </c>
      <c r="BI268" s="38" t="str">
        <f>HYPERLINK("http://dx.doi.org/10.1016/j.seta.2022.102177","http://dx.doi.org/10.1016/j.seta.2022.102177")</f>
        <v>http://dx.doi.org/10.1016/j.seta.2022.102177</v>
      </c>
      <c r="BJ268" s="32" t="s">
        <v>1225</v>
      </c>
      <c r="BK268" s="32" t="s">
        <v>1225</v>
      </c>
      <c r="BL268" s="32" t="s">
        <v>1225</v>
      </c>
      <c r="BM268" s="32" t="s">
        <v>1225</v>
      </c>
      <c r="BN268" s="32" t="s">
        <v>1225</v>
      </c>
      <c r="BO268" s="32" t="s">
        <v>1225</v>
      </c>
      <c r="BP268" s="32" t="s">
        <v>1225</v>
      </c>
      <c r="BQ268" s="32" t="s">
        <v>1225</v>
      </c>
      <c r="BR268" s="32" t="s">
        <v>1225</v>
      </c>
      <c r="BS268" s="32" t="s">
        <v>1225</v>
      </c>
      <c r="BT268" s="32" t="s">
        <v>1225</v>
      </c>
      <c r="BU268" s="32" t="s">
        <v>1225</v>
      </c>
      <c r="BV268" s="32" t="s">
        <v>1225</v>
      </c>
      <c r="BW268" s="32" t="str">
        <f t="shared" si="8"/>
        <v>View Full Record in Web of Science</v>
      </c>
      <c r="BY268" s="41" t="str">
        <f>IF(Deletion!J268=TRUE,"Yes","No")</f>
        <v>No</v>
      </c>
    </row>
    <row r="269" spans="1:77" x14ac:dyDescent="0.15">
      <c r="A269" s="32">
        <f t="shared" si="9"/>
        <v>268</v>
      </c>
      <c r="D269" s="32" t="s">
        <v>1223</v>
      </c>
      <c r="E269" s="32" t="s">
        <v>3055</v>
      </c>
      <c r="F269" s="32" t="s">
        <v>1225</v>
      </c>
      <c r="G269" s="32" t="s">
        <v>1225</v>
      </c>
      <c r="H269" s="32" t="s">
        <v>1225</v>
      </c>
      <c r="I269" s="32" t="s">
        <v>3056</v>
      </c>
      <c r="J269" s="32" t="s">
        <v>1225</v>
      </c>
      <c r="K269" s="32" t="s">
        <v>1225</v>
      </c>
      <c r="L269" s="32" t="s">
        <v>3057</v>
      </c>
      <c r="M269" s="32" t="s">
        <v>302</v>
      </c>
      <c r="N269" s="32" t="s">
        <v>1225</v>
      </c>
      <c r="O269" s="32" t="s">
        <v>1225</v>
      </c>
      <c r="P269" s="32" t="s">
        <v>1225</v>
      </c>
      <c r="Q269" s="32" t="s">
        <v>1227</v>
      </c>
      <c r="R269" s="32" t="s">
        <v>1225</v>
      </c>
      <c r="S269" s="32" t="s">
        <v>1225</v>
      </c>
      <c r="T269" s="32" t="s">
        <v>1225</v>
      </c>
      <c r="U269" s="32" t="s">
        <v>1225</v>
      </c>
      <c r="V269" s="32" t="s">
        <v>1225</v>
      </c>
      <c r="W269" s="32" t="s">
        <v>3058</v>
      </c>
      <c r="X269" s="32" t="s">
        <v>3059</v>
      </c>
      <c r="Y269" s="32" t="s">
        <v>3060</v>
      </c>
      <c r="Z269" s="32" t="s">
        <v>1225</v>
      </c>
      <c r="AA269" s="32" t="s">
        <v>1225</v>
      </c>
      <c r="AB269" s="32" t="s">
        <v>1225</v>
      </c>
      <c r="AC269" s="32" t="s">
        <v>1225</v>
      </c>
      <c r="AD269" s="32" t="s">
        <v>1225</v>
      </c>
      <c r="AE269" s="32" t="s">
        <v>1225</v>
      </c>
      <c r="AF269" s="32" t="s">
        <v>1225</v>
      </c>
      <c r="AG269" s="32" t="s">
        <v>1225</v>
      </c>
      <c r="AH269" s="32" t="s">
        <v>1225</v>
      </c>
      <c r="AI269" s="32" t="s">
        <v>1225</v>
      </c>
      <c r="AJ269" s="32" t="s">
        <v>1225</v>
      </c>
      <c r="AK269" s="32" t="s">
        <v>1225</v>
      </c>
      <c r="AL269" s="32" t="s">
        <v>1225</v>
      </c>
      <c r="AM269" s="32" t="s">
        <v>1225</v>
      </c>
      <c r="AN269" s="32" t="s">
        <v>1225</v>
      </c>
      <c r="AO269" s="32" t="s">
        <v>1225</v>
      </c>
      <c r="AP269" s="32" t="s">
        <v>1225</v>
      </c>
      <c r="AQ269" s="32" t="s">
        <v>1225</v>
      </c>
      <c r="AR269" s="32" t="s">
        <v>1225</v>
      </c>
      <c r="AS269" s="32" t="s">
        <v>1225</v>
      </c>
      <c r="AT269" s="32" t="s">
        <v>1225</v>
      </c>
      <c r="AU269" s="32" t="s">
        <v>1225</v>
      </c>
      <c r="AV269" s="32" t="s">
        <v>1225</v>
      </c>
      <c r="AW269" s="32" t="s">
        <v>1298</v>
      </c>
      <c r="AX269" s="32">
        <v>2020</v>
      </c>
      <c r="AY269" s="32">
        <v>20</v>
      </c>
      <c r="AZ269" s="32">
        <v>17</v>
      </c>
      <c r="BA269" s="32" t="s">
        <v>1225</v>
      </c>
      <c r="BB269" s="32" t="s">
        <v>1225</v>
      </c>
      <c r="BC269" s="32" t="s">
        <v>1225</v>
      </c>
      <c r="BD269" s="32" t="s">
        <v>1225</v>
      </c>
      <c r="BE269" s="32" t="s">
        <v>1225</v>
      </c>
      <c r="BF269" s="32" t="s">
        <v>1225</v>
      </c>
      <c r="BG269" s="32">
        <v>4842</v>
      </c>
      <c r="BH269" s="32" t="s">
        <v>3061</v>
      </c>
      <c r="BI269" s="32" t="str">
        <f>HYPERLINK("http://dx.doi.org/10.3390/s20174842","http://dx.doi.org/10.3390/s20174842")</f>
        <v>http://dx.doi.org/10.3390/s20174842</v>
      </c>
      <c r="BJ269" s="32" t="s">
        <v>1225</v>
      </c>
      <c r="BK269" s="32" t="s">
        <v>1225</v>
      </c>
      <c r="BL269" s="32" t="s">
        <v>1225</v>
      </c>
      <c r="BM269" s="32" t="s">
        <v>1225</v>
      </c>
      <c r="BN269" s="32" t="s">
        <v>1225</v>
      </c>
      <c r="BO269" s="32" t="s">
        <v>1225</v>
      </c>
      <c r="BP269" s="32" t="s">
        <v>1225</v>
      </c>
      <c r="BQ269" s="32" t="s">
        <v>1225</v>
      </c>
      <c r="BR269" s="32" t="s">
        <v>1225</v>
      </c>
      <c r="BS269" s="32" t="s">
        <v>1225</v>
      </c>
      <c r="BT269" s="32" t="s">
        <v>1225</v>
      </c>
      <c r="BU269" s="32" t="s">
        <v>1225</v>
      </c>
      <c r="BV269" s="32" t="s">
        <v>1225</v>
      </c>
      <c r="BW269" s="32" t="str">
        <f t="shared" si="8"/>
        <v>View Full Record in Web of Science</v>
      </c>
      <c r="BY269" s="41" t="str">
        <f>IF(Deletion!J269=TRUE,"Yes","No")</f>
        <v>Yes</v>
      </c>
    </row>
    <row r="270" spans="1:77" x14ac:dyDescent="0.15">
      <c r="A270" s="38">
        <f t="shared" si="9"/>
        <v>269</v>
      </c>
      <c r="B270" s="38" t="s">
        <v>1413</v>
      </c>
      <c r="C270" s="38" t="s">
        <v>1413</v>
      </c>
      <c r="D270" s="38" t="s">
        <v>1223</v>
      </c>
      <c r="E270" s="38" t="s">
        <v>2246</v>
      </c>
      <c r="F270" s="32" t="s">
        <v>1225</v>
      </c>
      <c r="G270" s="32" t="s">
        <v>1225</v>
      </c>
      <c r="H270" s="32" t="s">
        <v>1225</v>
      </c>
      <c r="I270" s="38" t="s">
        <v>2247</v>
      </c>
      <c r="J270" s="32" t="s">
        <v>1225</v>
      </c>
      <c r="K270" s="32" t="s">
        <v>1225</v>
      </c>
      <c r="L270" s="38" t="s">
        <v>3062</v>
      </c>
      <c r="M270" s="38" t="s">
        <v>1451</v>
      </c>
      <c r="N270" s="32" t="s">
        <v>1225</v>
      </c>
      <c r="O270" s="32" t="s">
        <v>1225</v>
      </c>
      <c r="P270" s="32" t="s">
        <v>1225</v>
      </c>
      <c r="Q270" s="38" t="s">
        <v>1227</v>
      </c>
      <c r="R270" s="32" t="s">
        <v>1225</v>
      </c>
      <c r="S270" s="32" t="s">
        <v>1225</v>
      </c>
      <c r="T270" s="32" t="s">
        <v>1225</v>
      </c>
      <c r="U270" s="32" t="s">
        <v>1225</v>
      </c>
      <c r="V270" s="32" t="s">
        <v>1225</v>
      </c>
      <c r="W270" s="38" t="s">
        <v>3063</v>
      </c>
      <c r="X270" s="38" t="s">
        <v>3064</v>
      </c>
      <c r="Y270" s="38" t="s">
        <v>3065</v>
      </c>
      <c r="Z270" s="32" t="s">
        <v>1225</v>
      </c>
      <c r="AA270" s="32" t="s">
        <v>1225</v>
      </c>
      <c r="AB270" s="32" t="s">
        <v>1225</v>
      </c>
      <c r="AC270" s="32" t="s">
        <v>1225</v>
      </c>
      <c r="AD270" s="32" t="s">
        <v>1225</v>
      </c>
      <c r="AE270" s="32" t="s">
        <v>1225</v>
      </c>
      <c r="AF270" s="32" t="s">
        <v>1225</v>
      </c>
      <c r="AG270" s="32" t="s">
        <v>1225</v>
      </c>
      <c r="AH270" s="32" t="s">
        <v>1225</v>
      </c>
      <c r="AI270" s="32" t="s">
        <v>1225</v>
      </c>
      <c r="AJ270" s="32" t="s">
        <v>1225</v>
      </c>
      <c r="AK270" s="32" t="s">
        <v>1225</v>
      </c>
      <c r="AL270" s="32" t="s">
        <v>1225</v>
      </c>
      <c r="AM270" s="32" t="s">
        <v>1225</v>
      </c>
      <c r="AN270" s="32" t="s">
        <v>1225</v>
      </c>
      <c r="AO270" s="32" t="s">
        <v>1225</v>
      </c>
      <c r="AP270" s="32" t="s">
        <v>1225</v>
      </c>
      <c r="AQ270" s="32" t="s">
        <v>1225</v>
      </c>
      <c r="AR270" s="32" t="s">
        <v>1225</v>
      </c>
      <c r="AS270" s="32" t="s">
        <v>1225</v>
      </c>
      <c r="AT270" s="32" t="s">
        <v>1225</v>
      </c>
      <c r="AU270" s="32" t="s">
        <v>1225</v>
      </c>
      <c r="AV270" s="32" t="s">
        <v>1225</v>
      </c>
      <c r="AW270" s="38" t="s">
        <v>1239</v>
      </c>
      <c r="AX270" s="38">
        <v>2021</v>
      </c>
      <c r="AY270" s="32">
        <v>145</v>
      </c>
      <c r="AZ270" s="32" t="s">
        <v>1225</v>
      </c>
      <c r="BA270" s="32" t="s">
        <v>1225</v>
      </c>
      <c r="BB270" s="32" t="s">
        <v>1225</v>
      </c>
      <c r="BC270" s="32" t="s">
        <v>1225</v>
      </c>
      <c r="BD270" s="32" t="s">
        <v>1225</v>
      </c>
      <c r="BE270" s="32" t="s">
        <v>1225</v>
      </c>
      <c r="BF270" s="32" t="s">
        <v>1225</v>
      </c>
      <c r="BG270" s="32">
        <v>111060</v>
      </c>
      <c r="BH270" s="38" t="s">
        <v>3066</v>
      </c>
      <c r="BI270" s="38" t="str">
        <f>HYPERLINK("http://dx.doi.org/10.1016/j.rser.2021.111060","http://dx.doi.org/10.1016/j.rser.2021.111060")</f>
        <v>http://dx.doi.org/10.1016/j.rser.2021.111060</v>
      </c>
      <c r="BJ270" s="32" t="s">
        <v>1225</v>
      </c>
      <c r="BK270" s="32" t="s">
        <v>1395</v>
      </c>
      <c r="BL270" s="32" t="s">
        <v>1225</v>
      </c>
      <c r="BM270" s="32" t="s">
        <v>1225</v>
      </c>
      <c r="BN270" s="32" t="s">
        <v>1225</v>
      </c>
      <c r="BO270" s="32" t="s">
        <v>1225</v>
      </c>
      <c r="BP270" s="32" t="s">
        <v>1225</v>
      </c>
      <c r="BQ270" s="32" t="s">
        <v>1225</v>
      </c>
      <c r="BR270" s="32" t="s">
        <v>1225</v>
      </c>
      <c r="BS270" s="32" t="s">
        <v>1225</v>
      </c>
      <c r="BT270" s="32" t="s">
        <v>1225</v>
      </c>
      <c r="BU270" s="32" t="s">
        <v>1225</v>
      </c>
      <c r="BV270" s="32" t="s">
        <v>1225</v>
      </c>
      <c r="BW270" s="32" t="str">
        <f t="shared" si="8"/>
        <v>View Full Record in Web of Science</v>
      </c>
      <c r="BY270" s="41" t="str">
        <f>IF(Deletion!J270=TRUE,"Yes","No")</f>
        <v>No</v>
      </c>
    </row>
    <row r="271" spans="1:77" x14ac:dyDescent="0.15">
      <c r="A271" s="32">
        <f t="shared" si="9"/>
        <v>270</v>
      </c>
      <c r="D271" s="32" t="s">
        <v>1223</v>
      </c>
      <c r="E271" s="32" t="s">
        <v>3067</v>
      </c>
      <c r="F271" s="32" t="s">
        <v>1225</v>
      </c>
      <c r="G271" s="32" t="s">
        <v>1225</v>
      </c>
      <c r="H271" s="32" t="s">
        <v>1225</v>
      </c>
      <c r="I271" s="32" t="s">
        <v>3068</v>
      </c>
      <c r="J271" s="32" t="s">
        <v>1225</v>
      </c>
      <c r="K271" s="32" t="s">
        <v>1225</v>
      </c>
      <c r="L271" s="32" t="s">
        <v>3069</v>
      </c>
      <c r="M271" s="32" t="s">
        <v>422</v>
      </c>
      <c r="N271" s="32" t="s">
        <v>1225</v>
      </c>
      <c r="O271" s="32" t="s">
        <v>1225</v>
      </c>
      <c r="P271" s="32" t="s">
        <v>1225</v>
      </c>
      <c r="Q271" s="32" t="s">
        <v>1227</v>
      </c>
      <c r="R271" s="32" t="s">
        <v>1225</v>
      </c>
      <c r="S271" s="32" t="s">
        <v>1225</v>
      </c>
      <c r="T271" s="32" t="s">
        <v>1225</v>
      </c>
      <c r="U271" s="32" t="s">
        <v>1225</v>
      </c>
      <c r="V271" s="32" t="s">
        <v>1225</v>
      </c>
      <c r="W271" s="32" t="s">
        <v>3070</v>
      </c>
      <c r="X271" s="32" t="s">
        <v>1225</v>
      </c>
      <c r="Y271" s="32" t="s">
        <v>3071</v>
      </c>
      <c r="Z271" s="32" t="s">
        <v>1225</v>
      </c>
      <c r="AA271" s="32" t="s">
        <v>1225</v>
      </c>
      <c r="AB271" s="32" t="s">
        <v>1225</v>
      </c>
      <c r="AC271" s="32" t="s">
        <v>1225</v>
      </c>
      <c r="AD271" s="32" t="s">
        <v>1225</v>
      </c>
      <c r="AE271" s="32" t="s">
        <v>1225</v>
      </c>
      <c r="AF271" s="32" t="s">
        <v>1225</v>
      </c>
      <c r="AG271" s="32" t="s">
        <v>1225</v>
      </c>
      <c r="AH271" s="32" t="s">
        <v>1225</v>
      </c>
      <c r="AI271" s="32" t="s">
        <v>1225</v>
      </c>
      <c r="AJ271" s="32" t="s">
        <v>1225</v>
      </c>
      <c r="AK271" s="32" t="s">
        <v>1225</v>
      </c>
      <c r="AL271" s="32" t="s">
        <v>1225</v>
      </c>
      <c r="AM271" s="32" t="s">
        <v>1225</v>
      </c>
      <c r="AN271" s="32" t="s">
        <v>1225</v>
      </c>
      <c r="AO271" s="32" t="s">
        <v>1225</v>
      </c>
      <c r="AP271" s="32" t="s">
        <v>1225</v>
      </c>
      <c r="AQ271" s="32" t="s">
        <v>1225</v>
      </c>
      <c r="AR271" s="32" t="s">
        <v>1225</v>
      </c>
      <c r="AS271" s="32" t="s">
        <v>1225</v>
      </c>
      <c r="AT271" s="32" t="s">
        <v>1225</v>
      </c>
      <c r="AU271" s="32" t="s">
        <v>1225</v>
      </c>
      <c r="AV271" s="32" t="s">
        <v>1225</v>
      </c>
      <c r="AW271" s="32" t="s">
        <v>1229</v>
      </c>
      <c r="AX271" s="32">
        <v>2021</v>
      </c>
      <c r="AY271" s="32">
        <v>14</v>
      </c>
      <c r="AZ271" s="32">
        <v>22</v>
      </c>
      <c r="BA271" s="32" t="s">
        <v>1225</v>
      </c>
      <c r="BB271" s="32" t="s">
        <v>1225</v>
      </c>
      <c r="BC271" s="32" t="s">
        <v>1225</v>
      </c>
      <c r="BD271" s="32" t="s">
        <v>1225</v>
      </c>
      <c r="BE271" s="32" t="s">
        <v>1225</v>
      </c>
      <c r="BF271" s="32" t="s">
        <v>1225</v>
      </c>
      <c r="BG271" s="32">
        <v>7755</v>
      </c>
      <c r="BH271" s="32" t="s">
        <v>3072</v>
      </c>
      <c r="BI271" s="32" t="str">
        <f>HYPERLINK("http://dx.doi.org/10.3390/en14227755","http://dx.doi.org/10.3390/en14227755")</f>
        <v>http://dx.doi.org/10.3390/en14227755</v>
      </c>
      <c r="BJ271" s="32" t="s">
        <v>1225</v>
      </c>
      <c r="BK271" s="32" t="s">
        <v>1225</v>
      </c>
      <c r="BL271" s="32" t="s">
        <v>1225</v>
      </c>
      <c r="BM271" s="32" t="s">
        <v>1225</v>
      </c>
      <c r="BN271" s="32" t="s">
        <v>1225</v>
      </c>
      <c r="BO271" s="32" t="s">
        <v>1225</v>
      </c>
      <c r="BP271" s="32" t="s">
        <v>1225</v>
      </c>
      <c r="BQ271" s="32" t="s">
        <v>1225</v>
      </c>
      <c r="BR271" s="32" t="s">
        <v>1225</v>
      </c>
      <c r="BS271" s="32" t="s">
        <v>1225</v>
      </c>
      <c r="BT271" s="32" t="s">
        <v>1225</v>
      </c>
      <c r="BU271" s="32" t="s">
        <v>1225</v>
      </c>
      <c r="BV271" s="32" t="s">
        <v>1225</v>
      </c>
      <c r="BW271" s="32" t="str">
        <f t="shared" si="8"/>
        <v>View Full Record in Web of Science</v>
      </c>
      <c r="BY271" s="41" t="str">
        <f>IF(Deletion!J271=TRUE,"Yes","No")</f>
        <v>Yes</v>
      </c>
    </row>
    <row r="272" spans="1:77" x14ac:dyDescent="0.15">
      <c r="A272" s="32">
        <f t="shared" si="9"/>
        <v>271</v>
      </c>
      <c r="D272" s="32" t="s">
        <v>1223</v>
      </c>
      <c r="E272" s="32" t="s">
        <v>3073</v>
      </c>
      <c r="F272" s="32" t="s">
        <v>1225</v>
      </c>
      <c r="G272" s="32" t="s">
        <v>1225</v>
      </c>
      <c r="H272" s="32" t="s">
        <v>1225</v>
      </c>
      <c r="I272" s="32" t="s">
        <v>3074</v>
      </c>
      <c r="J272" s="32" t="s">
        <v>1225</v>
      </c>
      <c r="K272" s="32" t="s">
        <v>1225</v>
      </c>
      <c r="L272" s="32" t="s">
        <v>3075</v>
      </c>
      <c r="M272" s="32" t="s">
        <v>553</v>
      </c>
      <c r="N272" s="32" t="s">
        <v>1225</v>
      </c>
      <c r="O272" s="32" t="s">
        <v>1225</v>
      </c>
      <c r="P272" s="32" t="s">
        <v>1225</v>
      </c>
      <c r="Q272" s="32" t="s">
        <v>1227</v>
      </c>
      <c r="R272" s="32" t="s">
        <v>1225</v>
      </c>
      <c r="S272" s="32" t="s">
        <v>1225</v>
      </c>
      <c r="T272" s="32" t="s">
        <v>1225</v>
      </c>
      <c r="U272" s="32" t="s">
        <v>1225</v>
      </c>
      <c r="V272" s="32" t="s">
        <v>1225</v>
      </c>
      <c r="W272" s="32" t="s">
        <v>3076</v>
      </c>
      <c r="X272" s="32" t="s">
        <v>3077</v>
      </c>
      <c r="Y272" s="32" t="s">
        <v>3078</v>
      </c>
      <c r="Z272" s="32" t="s">
        <v>1225</v>
      </c>
      <c r="AA272" s="32" t="s">
        <v>1225</v>
      </c>
      <c r="AB272" s="32" t="s">
        <v>1225</v>
      </c>
      <c r="AC272" s="32" t="s">
        <v>1225</v>
      </c>
      <c r="AD272" s="32" t="s">
        <v>1225</v>
      </c>
      <c r="AE272" s="32" t="s">
        <v>1225</v>
      </c>
      <c r="AF272" s="32" t="s">
        <v>1225</v>
      </c>
      <c r="AG272" s="32" t="s">
        <v>1225</v>
      </c>
      <c r="AH272" s="32" t="s">
        <v>1225</v>
      </c>
      <c r="AI272" s="32" t="s">
        <v>1225</v>
      </c>
      <c r="AJ272" s="32" t="s">
        <v>1225</v>
      </c>
      <c r="AK272" s="32" t="s">
        <v>1225</v>
      </c>
      <c r="AL272" s="32" t="s">
        <v>1225</v>
      </c>
      <c r="AM272" s="32" t="s">
        <v>1225</v>
      </c>
      <c r="AN272" s="32" t="s">
        <v>1225</v>
      </c>
      <c r="AO272" s="32" t="s">
        <v>1225</v>
      </c>
      <c r="AP272" s="32" t="s">
        <v>1225</v>
      </c>
      <c r="AQ272" s="32" t="s">
        <v>1225</v>
      </c>
      <c r="AR272" s="32" t="s">
        <v>1225</v>
      </c>
      <c r="AS272" s="32" t="s">
        <v>1225</v>
      </c>
      <c r="AT272" s="32" t="s">
        <v>1225</v>
      </c>
      <c r="AU272" s="32" t="s">
        <v>1225</v>
      </c>
      <c r="AV272" s="32" t="s">
        <v>1225</v>
      </c>
      <c r="AW272" s="32" t="s">
        <v>1356</v>
      </c>
      <c r="AX272" s="32">
        <v>2020</v>
      </c>
      <c r="AY272" s="32">
        <v>85</v>
      </c>
      <c r="AZ272" s="32" t="s">
        <v>1225</v>
      </c>
      <c r="BA272" s="32" t="s">
        <v>1225</v>
      </c>
      <c r="BB272" s="32" t="s">
        <v>1225</v>
      </c>
      <c r="BC272" s="32" t="s">
        <v>1225</v>
      </c>
      <c r="BD272" s="32" t="s">
        <v>1225</v>
      </c>
      <c r="BE272" s="32" t="s">
        <v>1225</v>
      </c>
      <c r="BF272" s="32" t="s">
        <v>1225</v>
      </c>
      <c r="BG272" s="32">
        <v>102452</v>
      </c>
      <c r="BH272" s="32" t="s">
        <v>3079</v>
      </c>
      <c r="BI272" s="32" t="str">
        <f>HYPERLINK("http://dx.doi.org/10.1016/j.trd.2020.102452","http://dx.doi.org/10.1016/j.trd.2020.102452")</f>
        <v>http://dx.doi.org/10.1016/j.trd.2020.102452</v>
      </c>
      <c r="BJ272" s="32" t="s">
        <v>1225</v>
      </c>
      <c r="BK272" s="32" t="s">
        <v>1225</v>
      </c>
      <c r="BL272" s="32" t="s">
        <v>1225</v>
      </c>
      <c r="BM272" s="32" t="s">
        <v>1225</v>
      </c>
      <c r="BN272" s="32" t="s">
        <v>1225</v>
      </c>
      <c r="BO272" s="32" t="s">
        <v>1225</v>
      </c>
      <c r="BP272" s="32" t="s">
        <v>1225</v>
      </c>
      <c r="BQ272" s="32" t="s">
        <v>1225</v>
      </c>
      <c r="BR272" s="32" t="s">
        <v>1225</v>
      </c>
      <c r="BS272" s="32" t="s">
        <v>1225</v>
      </c>
      <c r="BT272" s="32" t="s">
        <v>1225</v>
      </c>
      <c r="BU272" s="32" t="s">
        <v>1225</v>
      </c>
      <c r="BV272" s="32" t="s">
        <v>1225</v>
      </c>
      <c r="BW272" s="32" t="str">
        <f t="shared" si="8"/>
        <v>View Full Record in Web of Science</v>
      </c>
      <c r="BY272" s="41" t="str">
        <f>IF(Deletion!J272=TRUE,"Yes","No")</f>
        <v>Yes</v>
      </c>
    </row>
    <row r="273" spans="1:77" x14ac:dyDescent="0.15">
      <c r="A273" s="34">
        <f t="shared" si="9"/>
        <v>272</v>
      </c>
      <c r="B273" s="34" t="s">
        <v>4</v>
      </c>
      <c r="C273" s="34" t="s">
        <v>4</v>
      </c>
      <c r="D273" s="34" t="s">
        <v>1223</v>
      </c>
      <c r="E273" s="34" t="s">
        <v>3080</v>
      </c>
      <c r="F273" s="32" t="s">
        <v>1225</v>
      </c>
      <c r="G273" s="32" t="s">
        <v>1225</v>
      </c>
      <c r="H273" s="32" t="s">
        <v>1225</v>
      </c>
      <c r="I273" s="34" t="s">
        <v>3081</v>
      </c>
      <c r="J273" s="32" t="s">
        <v>1225</v>
      </c>
      <c r="K273" s="32" t="s">
        <v>1225</v>
      </c>
      <c r="L273" s="34" t="s">
        <v>3082</v>
      </c>
      <c r="M273" s="34" t="s">
        <v>3083</v>
      </c>
      <c r="N273" s="32" t="s">
        <v>1225</v>
      </c>
      <c r="O273" s="32" t="s">
        <v>1225</v>
      </c>
      <c r="P273" s="32" t="s">
        <v>1225</v>
      </c>
      <c r="Q273" s="34" t="s">
        <v>1227</v>
      </c>
      <c r="R273" s="32" t="s">
        <v>1225</v>
      </c>
      <c r="S273" s="32" t="s">
        <v>1225</v>
      </c>
      <c r="T273" s="32" t="s">
        <v>1225</v>
      </c>
      <c r="U273" s="32" t="s">
        <v>1225</v>
      </c>
      <c r="V273" s="32" t="s">
        <v>1225</v>
      </c>
      <c r="W273" s="34" t="s">
        <v>3084</v>
      </c>
      <c r="X273" s="34" t="s">
        <v>1225</v>
      </c>
      <c r="Y273" s="34" t="s">
        <v>3085</v>
      </c>
      <c r="Z273" s="32" t="s">
        <v>1225</v>
      </c>
      <c r="AA273" s="32" t="s">
        <v>1225</v>
      </c>
      <c r="AB273" s="32" t="s">
        <v>1225</v>
      </c>
      <c r="AC273" s="32" t="s">
        <v>1225</v>
      </c>
      <c r="AD273" s="32" t="s">
        <v>1225</v>
      </c>
      <c r="AE273" s="32" t="s">
        <v>1225</v>
      </c>
      <c r="AF273" s="32" t="s">
        <v>1225</v>
      </c>
      <c r="AG273" s="32" t="s">
        <v>1225</v>
      </c>
      <c r="AH273" s="32" t="s">
        <v>1225</v>
      </c>
      <c r="AI273" s="32" t="s">
        <v>1225</v>
      </c>
      <c r="AJ273" s="32" t="s">
        <v>1225</v>
      </c>
      <c r="AK273" s="32" t="s">
        <v>1225</v>
      </c>
      <c r="AL273" s="32" t="s">
        <v>1225</v>
      </c>
      <c r="AM273" s="32" t="s">
        <v>1225</v>
      </c>
      <c r="AN273" s="32" t="s">
        <v>1225</v>
      </c>
      <c r="AO273" s="32" t="s">
        <v>1225</v>
      </c>
      <c r="AP273" s="32" t="s">
        <v>1225</v>
      </c>
      <c r="AQ273" s="32" t="s">
        <v>1225</v>
      </c>
      <c r="AR273" s="32" t="s">
        <v>1225</v>
      </c>
      <c r="AS273" s="32" t="s">
        <v>1225</v>
      </c>
      <c r="AT273" s="32" t="s">
        <v>1225</v>
      </c>
      <c r="AU273" s="32" t="s">
        <v>1225</v>
      </c>
      <c r="AV273" s="32" t="s">
        <v>1225</v>
      </c>
      <c r="AW273" s="34" t="s">
        <v>1317</v>
      </c>
      <c r="AX273" s="34">
        <v>2021</v>
      </c>
      <c r="AY273" s="32">
        <v>68</v>
      </c>
      <c r="AZ273" s="32">
        <v>1</v>
      </c>
      <c r="BA273" s="32" t="s">
        <v>1225</v>
      </c>
      <c r="BB273" s="32" t="s">
        <v>1225</v>
      </c>
      <c r="BC273" s="32" t="s">
        <v>1225</v>
      </c>
      <c r="BD273" s="32" t="s">
        <v>1225</v>
      </c>
      <c r="BE273" s="32">
        <v>396</v>
      </c>
      <c r="BF273" s="32">
        <v>400</v>
      </c>
      <c r="BG273" s="32" t="s">
        <v>1225</v>
      </c>
      <c r="BH273" s="34" t="s">
        <v>3086</v>
      </c>
      <c r="BI273" s="34" t="str">
        <f>HYPERLINK("http://dx.doi.org/10.1109/TCSII.2020.2996161","http://dx.doi.org/10.1109/TCSII.2020.2996161")</f>
        <v>http://dx.doi.org/10.1109/TCSII.2020.2996161</v>
      </c>
      <c r="BJ273" s="32" t="s">
        <v>1225</v>
      </c>
      <c r="BK273" s="32" t="s">
        <v>1225</v>
      </c>
      <c r="BL273" s="32" t="s">
        <v>1225</v>
      </c>
      <c r="BM273" s="32" t="s">
        <v>1225</v>
      </c>
      <c r="BN273" s="32" t="s">
        <v>1225</v>
      </c>
      <c r="BO273" s="32" t="s">
        <v>1225</v>
      </c>
      <c r="BP273" s="32" t="s">
        <v>1225</v>
      </c>
      <c r="BQ273" s="32" t="s">
        <v>1225</v>
      </c>
      <c r="BR273" s="32" t="s">
        <v>1225</v>
      </c>
      <c r="BS273" s="32" t="s">
        <v>1225</v>
      </c>
      <c r="BT273" s="32" t="s">
        <v>1225</v>
      </c>
      <c r="BU273" s="32" t="s">
        <v>1225</v>
      </c>
      <c r="BV273" s="32" t="s">
        <v>1225</v>
      </c>
      <c r="BW273" s="32" t="str">
        <f t="shared" si="8"/>
        <v>View Full Record in Web of Science</v>
      </c>
      <c r="BY273" s="41" t="str">
        <f>IF(Deletion!J273=TRUE,"Yes","No")</f>
        <v>No</v>
      </c>
    </row>
    <row r="274" spans="1:77" x14ac:dyDescent="0.15">
      <c r="A274" s="34">
        <f t="shared" si="9"/>
        <v>273</v>
      </c>
      <c r="B274" s="34" t="s">
        <v>4</v>
      </c>
      <c r="C274" s="34" t="s">
        <v>4</v>
      </c>
      <c r="D274" s="34" t="s">
        <v>1223</v>
      </c>
      <c r="E274" s="34" t="s">
        <v>3087</v>
      </c>
      <c r="F274" s="32" t="s">
        <v>1225</v>
      </c>
      <c r="G274" s="32" t="s">
        <v>1225</v>
      </c>
      <c r="H274" s="32" t="s">
        <v>1225</v>
      </c>
      <c r="I274" s="34" t="s">
        <v>3088</v>
      </c>
      <c r="J274" s="32" t="s">
        <v>1225</v>
      </c>
      <c r="K274" s="32" t="s">
        <v>1225</v>
      </c>
      <c r="L274" s="34" t="s">
        <v>3089</v>
      </c>
      <c r="M274" s="34" t="s">
        <v>3090</v>
      </c>
      <c r="N274" s="32" t="s">
        <v>1225</v>
      </c>
      <c r="O274" s="32" t="s">
        <v>1225</v>
      </c>
      <c r="P274" s="32" t="s">
        <v>1225</v>
      </c>
      <c r="Q274" s="34" t="s">
        <v>1227</v>
      </c>
      <c r="R274" s="32" t="s">
        <v>1225</v>
      </c>
      <c r="S274" s="32" t="s">
        <v>1225</v>
      </c>
      <c r="T274" s="32" t="s">
        <v>1225</v>
      </c>
      <c r="U274" s="32" t="s">
        <v>1225</v>
      </c>
      <c r="V274" s="32" t="s">
        <v>1225</v>
      </c>
      <c r="W274" s="34" t="s">
        <v>3091</v>
      </c>
      <c r="X274" s="34" t="s">
        <v>3092</v>
      </c>
      <c r="Y274" s="34" t="s">
        <v>3093</v>
      </c>
      <c r="Z274" s="32" t="s">
        <v>1225</v>
      </c>
      <c r="AA274" s="32" t="s">
        <v>1225</v>
      </c>
      <c r="AB274" s="32" t="s">
        <v>1225</v>
      </c>
      <c r="AC274" s="32" t="s">
        <v>1225</v>
      </c>
      <c r="AD274" s="32" t="s">
        <v>1225</v>
      </c>
      <c r="AE274" s="32" t="s">
        <v>1225</v>
      </c>
      <c r="AF274" s="32" t="s">
        <v>1225</v>
      </c>
      <c r="AG274" s="32" t="s">
        <v>1225</v>
      </c>
      <c r="AH274" s="32" t="s">
        <v>1225</v>
      </c>
      <c r="AI274" s="32" t="s">
        <v>1225</v>
      </c>
      <c r="AJ274" s="32" t="s">
        <v>1225</v>
      </c>
      <c r="AK274" s="32" t="s">
        <v>1225</v>
      </c>
      <c r="AL274" s="32" t="s">
        <v>1225</v>
      </c>
      <c r="AM274" s="32" t="s">
        <v>1225</v>
      </c>
      <c r="AN274" s="32" t="s">
        <v>1225</v>
      </c>
      <c r="AO274" s="32" t="s">
        <v>1225</v>
      </c>
      <c r="AP274" s="32" t="s">
        <v>1225</v>
      </c>
      <c r="AQ274" s="32" t="s">
        <v>1225</v>
      </c>
      <c r="AR274" s="32" t="s">
        <v>1225</v>
      </c>
      <c r="AS274" s="32" t="s">
        <v>1225</v>
      </c>
      <c r="AT274" s="32" t="s">
        <v>1225</v>
      </c>
      <c r="AU274" s="32" t="s">
        <v>1225</v>
      </c>
      <c r="AV274" s="32" t="s">
        <v>1225</v>
      </c>
      <c r="AW274" s="34" t="s">
        <v>1465</v>
      </c>
      <c r="AX274" s="34">
        <v>2022</v>
      </c>
      <c r="AY274" s="32">
        <v>52</v>
      </c>
      <c r="AZ274" s="32">
        <v>3</v>
      </c>
      <c r="BA274" s="32" t="s">
        <v>1225</v>
      </c>
      <c r="BB274" s="32" t="s">
        <v>1225</v>
      </c>
      <c r="BC274" s="32" t="s">
        <v>1225</v>
      </c>
      <c r="BD274" s="32" t="s">
        <v>1225</v>
      </c>
      <c r="BE274" s="32">
        <v>2599</v>
      </c>
      <c r="BF274" s="32">
        <v>2620</v>
      </c>
      <c r="BG274" s="32" t="s">
        <v>1225</v>
      </c>
      <c r="BH274" s="34" t="s">
        <v>3094</v>
      </c>
      <c r="BI274" s="34" t="str">
        <f>HYPERLINK("http://dx.doi.org/10.1007/s10489-021-02494-0","http://dx.doi.org/10.1007/s10489-021-02494-0")</f>
        <v>http://dx.doi.org/10.1007/s10489-021-02494-0</v>
      </c>
      <c r="BJ274" s="32" t="s">
        <v>1225</v>
      </c>
      <c r="BK274" s="32" t="s">
        <v>1553</v>
      </c>
      <c r="BL274" s="32" t="s">
        <v>1225</v>
      </c>
      <c r="BM274" s="32" t="s">
        <v>1225</v>
      </c>
      <c r="BN274" s="32" t="s">
        <v>1225</v>
      </c>
      <c r="BO274" s="32" t="s">
        <v>1225</v>
      </c>
      <c r="BP274" s="32" t="s">
        <v>1225</v>
      </c>
      <c r="BQ274" s="32" t="s">
        <v>1225</v>
      </c>
      <c r="BR274" s="32" t="s">
        <v>1225</v>
      </c>
      <c r="BS274" s="32" t="s">
        <v>1225</v>
      </c>
      <c r="BT274" s="32" t="s">
        <v>1225</v>
      </c>
      <c r="BU274" s="32" t="s">
        <v>1225</v>
      </c>
      <c r="BV274" s="32" t="s">
        <v>1225</v>
      </c>
      <c r="BW274" s="32" t="str">
        <f t="shared" si="8"/>
        <v>View Full Record in Web of Science</v>
      </c>
      <c r="BY274" s="41" t="str">
        <f>IF(Deletion!J274=TRUE,"Yes","No")</f>
        <v>No</v>
      </c>
    </row>
    <row r="275" spans="1:77" x14ac:dyDescent="0.15">
      <c r="A275" s="32">
        <f t="shared" si="9"/>
        <v>274</v>
      </c>
      <c r="D275" s="32" t="s">
        <v>1223</v>
      </c>
      <c r="E275" s="32" t="s">
        <v>3095</v>
      </c>
      <c r="F275" s="32" t="s">
        <v>1225</v>
      </c>
      <c r="G275" s="32" t="s">
        <v>1225</v>
      </c>
      <c r="H275" s="32" t="s">
        <v>1225</v>
      </c>
      <c r="I275" s="32" t="s">
        <v>3096</v>
      </c>
      <c r="J275" s="32" t="s">
        <v>1225</v>
      </c>
      <c r="K275" s="32" t="s">
        <v>1225</v>
      </c>
      <c r="L275" s="32" t="s">
        <v>3097</v>
      </c>
      <c r="M275" s="32" t="s">
        <v>68</v>
      </c>
      <c r="N275" s="32" t="s">
        <v>1225</v>
      </c>
      <c r="O275" s="32" t="s">
        <v>1225</v>
      </c>
      <c r="P275" s="32" t="s">
        <v>1225</v>
      </c>
      <c r="Q275" s="32" t="s">
        <v>1227</v>
      </c>
      <c r="R275" s="32" t="s">
        <v>1225</v>
      </c>
      <c r="S275" s="32" t="s">
        <v>1225</v>
      </c>
      <c r="T275" s="32" t="s">
        <v>1225</v>
      </c>
      <c r="U275" s="32" t="s">
        <v>1225</v>
      </c>
      <c r="V275" s="32" t="s">
        <v>1225</v>
      </c>
      <c r="W275" s="32" t="s">
        <v>3098</v>
      </c>
      <c r="X275" s="32" t="s">
        <v>3099</v>
      </c>
      <c r="Y275" s="32" t="s">
        <v>3100</v>
      </c>
      <c r="Z275" s="32" t="s">
        <v>1225</v>
      </c>
      <c r="AA275" s="32" t="s">
        <v>1225</v>
      </c>
      <c r="AB275" s="32" t="s">
        <v>1225</v>
      </c>
      <c r="AC275" s="32" t="s">
        <v>1225</v>
      </c>
      <c r="AD275" s="32" t="s">
        <v>1225</v>
      </c>
      <c r="AE275" s="32" t="s">
        <v>1225</v>
      </c>
      <c r="AF275" s="32" t="s">
        <v>1225</v>
      </c>
      <c r="AG275" s="32" t="s">
        <v>1225</v>
      </c>
      <c r="AH275" s="32" t="s">
        <v>1225</v>
      </c>
      <c r="AI275" s="32" t="s">
        <v>1225</v>
      </c>
      <c r="AJ275" s="32" t="s">
        <v>1225</v>
      </c>
      <c r="AK275" s="32" t="s">
        <v>1225</v>
      </c>
      <c r="AL275" s="32" t="s">
        <v>1225</v>
      </c>
      <c r="AM275" s="32" t="s">
        <v>1225</v>
      </c>
      <c r="AN275" s="32" t="s">
        <v>1225</v>
      </c>
      <c r="AO275" s="32" t="s">
        <v>1225</v>
      </c>
      <c r="AP275" s="32" t="s">
        <v>1225</v>
      </c>
      <c r="AQ275" s="32" t="s">
        <v>1225</v>
      </c>
      <c r="AR275" s="32" t="s">
        <v>1225</v>
      </c>
      <c r="AS275" s="32" t="s">
        <v>1225</v>
      </c>
      <c r="AT275" s="32" t="s">
        <v>1225</v>
      </c>
      <c r="AU275" s="32" t="s">
        <v>1225</v>
      </c>
      <c r="AV275" s="32" t="s">
        <v>1225</v>
      </c>
      <c r="AW275" s="32" t="s">
        <v>1225</v>
      </c>
      <c r="AX275" s="32">
        <v>2022</v>
      </c>
      <c r="AY275" s="32">
        <v>10</v>
      </c>
      <c r="AZ275" s="32" t="s">
        <v>1225</v>
      </c>
      <c r="BA275" s="32" t="s">
        <v>1225</v>
      </c>
      <c r="BB275" s="32" t="s">
        <v>1225</v>
      </c>
      <c r="BC275" s="32" t="s">
        <v>1225</v>
      </c>
      <c r="BD275" s="32" t="s">
        <v>1225</v>
      </c>
      <c r="BE275" s="32">
        <v>62879</v>
      </c>
      <c r="BF275" s="32">
        <v>62892</v>
      </c>
      <c r="BG275" s="32" t="s">
        <v>1225</v>
      </c>
      <c r="BH275" s="32" t="s">
        <v>3101</v>
      </c>
      <c r="BI275" s="32" t="str">
        <f>HYPERLINK("http://dx.doi.org/10.1109/ACCESS.2022.3182700","http://dx.doi.org/10.1109/ACCESS.2022.3182700")</f>
        <v>http://dx.doi.org/10.1109/ACCESS.2022.3182700</v>
      </c>
      <c r="BJ275" s="32" t="s">
        <v>1225</v>
      </c>
      <c r="BK275" s="32" t="s">
        <v>1225</v>
      </c>
      <c r="BL275" s="32" t="s">
        <v>1225</v>
      </c>
      <c r="BM275" s="32" t="s">
        <v>1225</v>
      </c>
      <c r="BN275" s="32" t="s">
        <v>1225</v>
      </c>
      <c r="BO275" s="32" t="s">
        <v>1225</v>
      </c>
      <c r="BP275" s="32" t="s">
        <v>1225</v>
      </c>
      <c r="BQ275" s="32" t="s">
        <v>1225</v>
      </c>
      <c r="BR275" s="32" t="s">
        <v>1225</v>
      </c>
      <c r="BS275" s="32" t="s">
        <v>1225</v>
      </c>
      <c r="BT275" s="32" t="s">
        <v>1225</v>
      </c>
      <c r="BU275" s="32" t="s">
        <v>1225</v>
      </c>
      <c r="BV275" s="32" t="s">
        <v>1225</v>
      </c>
      <c r="BW275" s="32" t="str">
        <f t="shared" si="8"/>
        <v>View Full Record in Web of Science</v>
      </c>
      <c r="BY275" s="41" t="str">
        <f>IF(Deletion!J275=TRUE,"Yes","No")</f>
        <v>Yes</v>
      </c>
    </row>
    <row r="276" spans="1:77" x14ac:dyDescent="0.15">
      <c r="A276" s="32">
        <f t="shared" si="9"/>
        <v>275</v>
      </c>
      <c r="D276" s="32" t="s">
        <v>1223</v>
      </c>
      <c r="E276" s="32" t="s">
        <v>3102</v>
      </c>
      <c r="F276" s="32" t="s">
        <v>1225</v>
      </c>
      <c r="G276" s="32" t="s">
        <v>1225</v>
      </c>
      <c r="H276" s="32" t="s">
        <v>1225</v>
      </c>
      <c r="I276" s="32" t="s">
        <v>3103</v>
      </c>
      <c r="J276" s="32" t="s">
        <v>1225</v>
      </c>
      <c r="K276" s="32" t="s">
        <v>1225</v>
      </c>
      <c r="L276" s="32" t="s">
        <v>3104</v>
      </c>
      <c r="M276" s="32" t="s">
        <v>863</v>
      </c>
      <c r="N276" s="32" t="s">
        <v>1225</v>
      </c>
      <c r="O276" s="32" t="s">
        <v>1225</v>
      </c>
      <c r="P276" s="32" t="s">
        <v>1225</v>
      </c>
      <c r="Q276" s="32" t="s">
        <v>1227</v>
      </c>
      <c r="R276" s="32" t="s">
        <v>1225</v>
      </c>
      <c r="S276" s="32" t="s">
        <v>1225</v>
      </c>
      <c r="T276" s="32" t="s">
        <v>1225</v>
      </c>
      <c r="U276" s="32" t="s">
        <v>1225</v>
      </c>
      <c r="V276" s="32" t="s">
        <v>1225</v>
      </c>
      <c r="W276" s="32" t="s">
        <v>3105</v>
      </c>
      <c r="X276" s="32" t="s">
        <v>3106</v>
      </c>
      <c r="Y276" s="32" t="s">
        <v>3107</v>
      </c>
      <c r="Z276" s="32" t="s">
        <v>1225</v>
      </c>
      <c r="AA276" s="32" t="s">
        <v>1225</v>
      </c>
      <c r="AB276" s="32" t="s">
        <v>1225</v>
      </c>
      <c r="AC276" s="32" t="s">
        <v>1225</v>
      </c>
      <c r="AD276" s="32" t="s">
        <v>1225</v>
      </c>
      <c r="AE276" s="32" t="s">
        <v>1225</v>
      </c>
      <c r="AF276" s="32" t="s">
        <v>1225</v>
      </c>
      <c r="AG276" s="32" t="s">
        <v>1225</v>
      </c>
      <c r="AH276" s="32" t="s">
        <v>1225</v>
      </c>
      <c r="AI276" s="32" t="s">
        <v>1225</v>
      </c>
      <c r="AJ276" s="32" t="s">
        <v>1225</v>
      </c>
      <c r="AK276" s="32" t="s">
        <v>1225</v>
      </c>
      <c r="AL276" s="32" t="s">
        <v>1225</v>
      </c>
      <c r="AM276" s="32" t="s">
        <v>1225</v>
      </c>
      <c r="AN276" s="32" t="s">
        <v>1225</v>
      </c>
      <c r="AO276" s="32" t="s">
        <v>1225</v>
      </c>
      <c r="AP276" s="32" t="s">
        <v>1225</v>
      </c>
      <c r="AQ276" s="32" t="s">
        <v>1225</v>
      </c>
      <c r="AR276" s="32" t="s">
        <v>1225</v>
      </c>
      <c r="AS276" s="32" t="s">
        <v>1225</v>
      </c>
      <c r="AT276" s="32" t="s">
        <v>1225</v>
      </c>
      <c r="AU276" s="32" t="s">
        <v>1225</v>
      </c>
      <c r="AV276" s="32" t="s">
        <v>1225</v>
      </c>
      <c r="AW276" s="32" t="s">
        <v>1726</v>
      </c>
      <c r="AX276" s="32">
        <v>2016</v>
      </c>
      <c r="AY276" s="32">
        <v>7</v>
      </c>
      <c r="AZ276" s="32">
        <v>2</v>
      </c>
      <c r="BA276" s="32" t="s">
        <v>1225</v>
      </c>
      <c r="BB276" s="32" t="s">
        <v>1225</v>
      </c>
      <c r="BC276" s="32" t="s">
        <v>1225</v>
      </c>
      <c r="BD276" s="32" t="s">
        <v>1225</v>
      </c>
      <c r="BE276" s="32">
        <v>596</v>
      </c>
      <c r="BF276" s="32">
        <v>607</v>
      </c>
      <c r="BG276" s="32" t="s">
        <v>1225</v>
      </c>
      <c r="BH276" s="32" t="s">
        <v>3108</v>
      </c>
      <c r="BI276" s="32" t="str">
        <f>HYPERLINK("http://dx.doi.org/10.1109/TSTE.2015.2505502","http://dx.doi.org/10.1109/TSTE.2015.2505502")</f>
        <v>http://dx.doi.org/10.1109/TSTE.2015.2505502</v>
      </c>
      <c r="BJ276" s="32" t="s">
        <v>1225</v>
      </c>
      <c r="BK276" s="32" t="s">
        <v>1225</v>
      </c>
      <c r="BL276" s="32" t="s">
        <v>1225</v>
      </c>
      <c r="BM276" s="32" t="s">
        <v>1225</v>
      </c>
      <c r="BN276" s="32" t="s">
        <v>1225</v>
      </c>
      <c r="BO276" s="32" t="s">
        <v>1225</v>
      </c>
      <c r="BP276" s="32" t="s">
        <v>1225</v>
      </c>
      <c r="BQ276" s="32" t="s">
        <v>1225</v>
      </c>
      <c r="BR276" s="32" t="s">
        <v>1225</v>
      </c>
      <c r="BS276" s="32" t="s">
        <v>1225</v>
      </c>
      <c r="BT276" s="32" t="s">
        <v>1225</v>
      </c>
      <c r="BU276" s="32" t="s">
        <v>1225</v>
      </c>
      <c r="BV276" s="32" t="s">
        <v>1225</v>
      </c>
      <c r="BW276" s="32" t="str">
        <f t="shared" si="8"/>
        <v>View Full Record in Web of Science</v>
      </c>
      <c r="BY276" s="41" t="str">
        <f>IF(Deletion!J276=TRUE,"Yes","No")</f>
        <v>Yes</v>
      </c>
    </row>
    <row r="277" spans="1:77" x14ac:dyDescent="0.15">
      <c r="A277" s="32">
        <f t="shared" si="9"/>
        <v>276</v>
      </c>
      <c r="D277" s="32" t="s">
        <v>1223</v>
      </c>
      <c r="E277" s="32" t="s">
        <v>3109</v>
      </c>
      <c r="F277" s="32" t="s">
        <v>1225</v>
      </c>
      <c r="G277" s="32" t="s">
        <v>1225</v>
      </c>
      <c r="H277" s="32" t="s">
        <v>1225</v>
      </c>
      <c r="I277" s="32" t="s">
        <v>3110</v>
      </c>
      <c r="J277" s="32" t="s">
        <v>1225</v>
      </c>
      <c r="K277" s="32" t="s">
        <v>1225</v>
      </c>
      <c r="L277" s="32" t="s">
        <v>3111</v>
      </c>
      <c r="M277" s="32" t="s">
        <v>1322</v>
      </c>
      <c r="N277" s="32" t="s">
        <v>1225</v>
      </c>
      <c r="O277" s="32" t="s">
        <v>1225</v>
      </c>
      <c r="P277" s="32" t="s">
        <v>1225</v>
      </c>
      <c r="Q277" s="32" t="s">
        <v>1227</v>
      </c>
      <c r="R277" s="32" t="s">
        <v>1225</v>
      </c>
      <c r="S277" s="32" t="s">
        <v>1225</v>
      </c>
      <c r="T277" s="32" t="s">
        <v>1225</v>
      </c>
      <c r="U277" s="32" t="s">
        <v>1225</v>
      </c>
      <c r="V277" s="32" t="s">
        <v>1225</v>
      </c>
      <c r="W277" s="32" t="s">
        <v>3112</v>
      </c>
      <c r="X277" s="32" t="s">
        <v>3113</v>
      </c>
      <c r="Y277" s="32" t="s">
        <v>3114</v>
      </c>
      <c r="Z277" s="32" t="s">
        <v>1225</v>
      </c>
      <c r="AA277" s="32" t="s">
        <v>1225</v>
      </c>
      <c r="AB277" s="32" t="s">
        <v>1225</v>
      </c>
      <c r="AC277" s="32" t="s">
        <v>1225</v>
      </c>
      <c r="AD277" s="32" t="s">
        <v>1225</v>
      </c>
      <c r="AE277" s="32" t="s">
        <v>1225</v>
      </c>
      <c r="AF277" s="32" t="s">
        <v>1225</v>
      </c>
      <c r="AG277" s="32" t="s">
        <v>1225</v>
      </c>
      <c r="AH277" s="32" t="s">
        <v>1225</v>
      </c>
      <c r="AI277" s="32" t="s">
        <v>1225</v>
      </c>
      <c r="AJ277" s="32" t="s">
        <v>1225</v>
      </c>
      <c r="AK277" s="32" t="s">
        <v>1225</v>
      </c>
      <c r="AL277" s="32" t="s">
        <v>1225</v>
      </c>
      <c r="AM277" s="32" t="s">
        <v>1225</v>
      </c>
      <c r="AN277" s="32" t="s">
        <v>1225</v>
      </c>
      <c r="AO277" s="32" t="s">
        <v>1225</v>
      </c>
      <c r="AP277" s="32" t="s">
        <v>1225</v>
      </c>
      <c r="AQ277" s="32" t="s">
        <v>1225</v>
      </c>
      <c r="AR277" s="32" t="s">
        <v>1225</v>
      </c>
      <c r="AS277" s="32" t="s">
        <v>1225</v>
      </c>
      <c r="AT277" s="32" t="s">
        <v>1225</v>
      </c>
      <c r="AU277" s="32" t="s">
        <v>1225</v>
      </c>
      <c r="AV277" s="32" t="s">
        <v>1225</v>
      </c>
      <c r="AW277" s="32" t="s">
        <v>1317</v>
      </c>
      <c r="AX277" s="32">
        <v>2022</v>
      </c>
      <c r="AY277" s="32">
        <v>10</v>
      </c>
      <c r="AZ277" s="32">
        <v>1</v>
      </c>
      <c r="BA277" s="32" t="s">
        <v>1225</v>
      </c>
      <c r="BB277" s="32" t="s">
        <v>1225</v>
      </c>
      <c r="BC277" s="32" t="s">
        <v>1225</v>
      </c>
      <c r="BD277" s="32" t="s">
        <v>1225</v>
      </c>
      <c r="BE277" s="32">
        <v>149</v>
      </c>
      <c r="BF277" s="32">
        <v>162</v>
      </c>
      <c r="BG277" s="32" t="s">
        <v>1225</v>
      </c>
      <c r="BH277" s="32" t="s">
        <v>3115</v>
      </c>
      <c r="BI277" s="32" t="str">
        <f>HYPERLINK("http://dx.doi.org/10.35833/MPCE.2020.000109","http://dx.doi.org/10.35833/MPCE.2020.000109")</f>
        <v>http://dx.doi.org/10.35833/MPCE.2020.000109</v>
      </c>
      <c r="BJ277" s="32" t="s">
        <v>1225</v>
      </c>
      <c r="BK277" s="32" t="s">
        <v>1225</v>
      </c>
      <c r="BL277" s="32" t="s">
        <v>1225</v>
      </c>
      <c r="BM277" s="32" t="s">
        <v>1225</v>
      </c>
      <c r="BN277" s="32" t="s">
        <v>1225</v>
      </c>
      <c r="BO277" s="32" t="s">
        <v>1225</v>
      </c>
      <c r="BP277" s="32" t="s">
        <v>1225</v>
      </c>
      <c r="BQ277" s="32" t="s">
        <v>1225</v>
      </c>
      <c r="BR277" s="32" t="s">
        <v>1225</v>
      </c>
      <c r="BS277" s="32" t="s">
        <v>1225</v>
      </c>
      <c r="BT277" s="32" t="s">
        <v>1225</v>
      </c>
      <c r="BU277" s="32" t="s">
        <v>1225</v>
      </c>
      <c r="BV277" s="32" t="s">
        <v>1225</v>
      </c>
      <c r="BW277" s="32" t="str">
        <f t="shared" si="8"/>
        <v>View Full Record in Web of Science</v>
      </c>
      <c r="BY277" s="41" t="str">
        <f>IF(Deletion!J277=TRUE,"Yes","No")</f>
        <v>Yes</v>
      </c>
    </row>
    <row r="278" spans="1:77" x14ac:dyDescent="0.15">
      <c r="A278" s="32">
        <f t="shared" si="9"/>
        <v>277</v>
      </c>
      <c r="D278" s="32" t="s">
        <v>1223</v>
      </c>
      <c r="E278" s="32" t="s">
        <v>3116</v>
      </c>
      <c r="F278" s="32" t="s">
        <v>1225</v>
      </c>
      <c r="G278" s="32" t="s">
        <v>1225</v>
      </c>
      <c r="H278" s="32" t="s">
        <v>1225</v>
      </c>
      <c r="I278" s="32" t="s">
        <v>3117</v>
      </c>
      <c r="J278" s="32" t="s">
        <v>1225</v>
      </c>
      <c r="K278" s="32" t="s">
        <v>1225</v>
      </c>
      <c r="L278" s="32" t="s">
        <v>3118</v>
      </c>
      <c r="M278" s="32" t="s">
        <v>124</v>
      </c>
      <c r="N278" s="32" t="s">
        <v>1225</v>
      </c>
      <c r="O278" s="32" t="s">
        <v>1225</v>
      </c>
      <c r="P278" s="32" t="s">
        <v>1225</v>
      </c>
      <c r="Q278" s="32" t="s">
        <v>1227</v>
      </c>
      <c r="R278" s="32" t="s">
        <v>1225</v>
      </c>
      <c r="S278" s="32" t="s">
        <v>1225</v>
      </c>
      <c r="T278" s="32" t="s">
        <v>1225</v>
      </c>
      <c r="U278" s="32" t="s">
        <v>1225</v>
      </c>
      <c r="V278" s="32" t="s">
        <v>1225</v>
      </c>
      <c r="W278" s="32" t="s">
        <v>3119</v>
      </c>
      <c r="X278" s="32" t="s">
        <v>1225</v>
      </c>
      <c r="Y278" s="32" t="s">
        <v>3120</v>
      </c>
      <c r="Z278" s="32" t="s">
        <v>1225</v>
      </c>
      <c r="AA278" s="32" t="s">
        <v>1225</v>
      </c>
      <c r="AB278" s="32" t="s">
        <v>1225</v>
      </c>
      <c r="AC278" s="32" t="s">
        <v>1225</v>
      </c>
      <c r="AD278" s="32" t="s">
        <v>1225</v>
      </c>
      <c r="AE278" s="32" t="s">
        <v>1225</v>
      </c>
      <c r="AF278" s="32" t="s">
        <v>1225</v>
      </c>
      <c r="AG278" s="32" t="s">
        <v>1225</v>
      </c>
      <c r="AH278" s="32" t="s">
        <v>1225</v>
      </c>
      <c r="AI278" s="32" t="s">
        <v>1225</v>
      </c>
      <c r="AJ278" s="32" t="s">
        <v>1225</v>
      </c>
      <c r="AK278" s="32" t="s">
        <v>1225</v>
      </c>
      <c r="AL278" s="32" t="s">
        <v>1225</v>
      </c>
      <c r="AM278" s="32" t="s">
        <v>1225</v>
      </c>
      <c r="AN278" s="32" t="s">
        <v>1225</v>
      </c>
      <c r="AO278" s="32" t="s">
        <v>1225</v>
      </c>
      <c r="AP278" s="32" t="s">
        <v>1225</v>
      </c>
      <c r="AQ278" s="32" t="s">
        <v>1225</v>
      </c>
      <c r="AR278" s="32" t="s">
        <v>1225</v>
      </c>
      <c r="AS278" s="32" t="s">
        <v>1225</v>
      </c>
      <c r="AT278" s="32" t="s">
        <v>1225</v>
      </c>
      <c r="AU278" s="32" t="s">
        <v>1225</v>
      </c>
      <c r="AV278" s="32" t="s">
        <v>1225</v>
      </c>
      <c r="AW278" s="32" t="s">
        <v>1298</v>
      </c>
      <c r="AX278" s="32">
        <v>2012</v>
      </c>
      <c r="AY278" s="32">
        <v>3</v>
      </c>
      <c r="AZ278" s="32">
        <v>3</v>
      </c>
      <c r="BA278" s="32" t="s">
        <v>1225</v>
      </c>
      <c r="BB278" s="32" t="s">
        <v>1225</v>
      </c>
      <c r="BC278" s="32" t="s">
        <v>1225</v>
      </c>
      <c r="BD278" s="32" t="s">
        <v>1225</v>
      </c>
      <c r="BE278" s="32">
        <v>1095</v>
      </c>
      <c r="BF278" s="32">
        <v>1105</v>
      </c>
      <c r="BG278" s="32" t="s">
        <v>1225</v>
      </c>
      <c r="BH278" s="32" t="s">
        <v>3121</v>
      </c>
      <c r="BI278" s="32" t="str">
        <f>HYPERLINK("http://dx.doi.org/10.1109/TSG.2011.2173507","http://dx.doi.org/10.1109/TSG.2011.2173507")</f>
        <v>http://dx.doi.org/10.1109/TSG.2011.2173507</v>
      </c>
      <c r="BJ278" s="32" t="s">
        <v>1225</v>
      </c>
      <c r="BK278" s="32" t="s">
        <v>1225</v>
      </c>
      <c r="BL278" s="32" t="s">
        <v>1225</v>
      </c>
      <c r="BM278" s="32" t="s">
        <v>1225</v>
      </c>
      <c r="BN278" s="32" t="s">
        <v>1225</v>
      </c>
      <c r="BO278" s="32" t="s">
        <v>1225</v>
      </c>
      <c r="BP278" s="32" t="s">
        <v>1225</v>
      </c>
      <c r="BQ278" s="32" t="s">
        <v>1225</v>
      </c>
      <c r="BR278" s="32" t="s">
        <v>1225</v>
      </c>
      <c r="BS278" s="32" t="s">
        <v>1225</v>
      </c>
      <c r="BT278" s="32" t="s">
        <v>1225</v>
      </c>
      <c r="BU278" s="32" t="s">
        <v>1225</v>
      </c>
      <c r="BV278" s="32" t="s">
        <v>1225</v>
      </c>
      <c r="BW278" s="32" t="str">
        <f t="shared" si="8"/>
        <v>View Full Record in Web of Science</v>
      </c>
      <c r="BY278" s="41" t="str">
        <f>IF(Deletion!J278=TRUE,"Yes","No")</f>
        <v>Yes</v>
      </c>
    </row>
    <row r="279" spans="1:77" x14ac:dyDescent="0.15">
      <c r="A279" s="32">
        <f t="shared" si="9"/>
        <v>278</v>
      </c>
      <c r="D279" s="32" t="s">
        <v>1223</v>
      </c>
      <c r="E279" s="32" t="s">
        <v>3122</v>
      </c>
      <c r="F279" s="32" t="s">
        <v>1225</v>
      </c>
      <c r="G279" s="32" t="s">
        <v>1225</v>
      </c>
      <c r="H279" s="32" t="s">
        <v>1225</v>
      </c>
      <c r="I279" s="32" t="s">
        <v>3123</v>
      </c>
      <c r="J279" s="32" t="s">
        <v>1225</v>
      </c>
      <c r="K279" s="32" t="s">
        <v>1225</v>
      </c>
      <c r="L279" s="32" t="s">
        <v>3124</v>
      </c>
      <c r="M279" s="32" t="s">
        <v>124</v>
      </c>
      <c r="N279" s="32" t="s">
        <v>1225</v>
      </c>
      <c r="O279" s="32" t="s">
        <v>1225</v>
      </c>
      <c r="P279" s="32" t="s">
        <v>1225</v>
      </c>
      <c r="Q279" s="32" t="s">
        <v>1227</v>
      </c>
      <c r="R279" s="32" t="s">
        <v>1225</v>
      </c>
      <c r="S279" s="32" t="s">
        <v>1225</v>
      </c>
      <c r="T279" s="32" t="s">
        <v>1225</v>
      </c>
      <c r="U279" s="32" t="s">
        <v>1225</v>
      </c>
      <c r="V279" s="32" t="s">
        <v>1225</v>
      </c>
      <c r="W279" s="32" t="s">
        <v>3125</v>
      </c>
      <c r="X279" s="32" t="s">
        <v>1225</v>
      </c>
      <c r="Y279" s="32" t="s">
        <v>3126</v>
      </c>
      <c r="Z279" s="32" t="s">
        <v>1225</v>
      </c>
      <c r="AA279" s="32" t="s">
        <v>1225</v>
      </c>
      <c r="AB279" s="32" t="s">
        <v>1225</v>
      </c>
      <c r="AC279" s="32" t="s">
        <v>1225</v>
      </c>
      <c r="AD279" s="32" t="s">
        <v>1225</v>
      </c>
      <c r="AE279" s="32" t="s">
        <v>1225</v>
      </c>
      <c r="AF279" s="32" t="s">
        <v>1225</v>
      </c>
      <c r="AG279" s="32" t="s">
        <v>1225</v>
      </c>
      <c r="AH279" s="32" t="s">
        <v>1225</v>
      </c>
      <c r="AI279" s="32" t="s">
        <v>1225</v>
      </c>
      <c r="AJ279" s="32" t="s">
        <v>1225</v>
      </c>
      <c r="AK279" s="32" t="s">
        <v>1225</v>
      </c>
      <c r="AL279" s="32" t="s">
        <v>1225</v>
      </c>
      <c r="AM279" s="32" t="s">
        <v>1225</v>
      </c>
      <c r="AN279" s="32" t="s">
        <v>1225</v>
      </c>
      <c r="AO279" s="32" t="s">
        <v>1225</v>
      </c>
      <c r="AP279" s="32" t="s">
        <v>1225</v>
      </c>
      <c r="AQ279" s="32" t="s">
        <v>1225</v>
      </c>
      <c r="AR279" s="32" t="s">
        <v>1225</v>
      </c>
      <c r="AS279" s="32" t="s">
        <v>1225</v>
      </c>
      <c r="AT279" s="32" t="s">
        <v>1225</v>
      </c>
      <c r="AU279" s="32" t="s">
        <v>1225</v>
      </c>
      <c r="AV279" s="32" t="s">
        <v>1225</v>
      </c>
      <c r="AW279" s="32" t="s">
        <v>1317</v>
      </c>
      <c r="AX279" s="32">
        <v>2017</v>
      </c>
      <c r="AY279" s="32">
        <v>8</v>
      </c>
      <c r="AZ279" s="32">
        <v>1</v>
      </c>
      <c r="BA279" s="32" t="s">
        <v>1225</v>
      </c>
      <c r="BB279" s="32" t="s">
        <v>1225</v>
      </c>
      <c r="BC279" s="32" t="s">
        <v>1225</v>
      </c>
      <c r="BD279" s="32" t="s">
        <v>1225</v>
      </c>
      <c r="BE279" s="32">
        <v>149</v>
      </c>
      <c r="BF279" s="32">
        <v>157</v>
      </c>
      <c r="BG279" s="32" t="s">
        <v>1225</v>
      </c>
      <c r="BH279" s="32" t="s">
        <v>3127</v>
      </c>
      <c r="BI279" s="32" t="str">
        <f>HYPERLINK("http://dx.doi.org/10.1109/TSG.2015.2472597","http://dx.doi.org/10.1109/TSG.2015.2472597")</f>
        <v>http://dx.doi.org/10.1109/TSG.2015.2472597</v>
      </c>
      <c r="BJ279" s="32" t="s">
        <v>1225</v>
      </c>
      <c r="BK279" s="32" t="s">
        <v>1225</v>
      </c>
      <c r="BL279" s="32" t="s">
        <v>1225</v>
      </c>
      <c r="BM279" s="32" t="s">
        <v>1225</v>
      </c>
      <c r="BN279" s="32" t="s">
        <v>1225</v>
      </c>
      <c r="BO279" s="32" t="s">
        <v>1225</v>
      </c>
      <c r="BP279" s="32" t="s">
        <v>1225</v>
      </c>
      <c r="BQ279" s="32" t="s">
        <v>1225</v>
      </c>
      <c r="BR279" s="32" t="s">
        <v>1225</v>
      </c>
      <c r="BS279" s="32" t="s">
        <v>1225</v>
      </c>
      <c r="BT279" s="32" t="s">
        <v>1225</v>
      </c>
      <c r="BU279" s="32" t="s">
        <v>1225</v>
      </c>
      <c r="BV279" s="32" t="s">
        <v>1225</v>
      </c>
      <c r="BW279" s="32" t="str">
        <f t="shared" si="8"/>
        <v>View Full Record in Web of Science</v>
      </c>
      <c r="BY279" s="41" t="str">
        <f>IF(Deletion!J279=TRUE,"Yes","No")</f>
        <v>Yes</v>
      </c>
    </row>
    <row r="280" spans="1:77" x14ac:dyDescent="0.15">
      <c r="A280" s="32">
        <f t="shared" si="9"/>
        <v>279</v>
      </c>
      <c r="D280" s="32" t="s">
        <v>1223</v>
      </c>
      <c r="E280" s="32" t="s">
        <v>3128</v>
      </c>
      <c r="F280" s="32" t="s">
        <v>1225</v>
      </c>
      <c r="G280" s="32" t="s">
        <v>1225</v>
      </c>
      <c r="H280" s="32" t="s">
        <v>1225</v>
      </c>
      <c r="I280" s="32" t="s">
        <v>3129</v>
      </c>
      <c r="J280" s="32" t="s">
        <v>1225</v>
      </c>
      <c r="K280" s="32" t="s">
        <v>1225</v>
      </c>
      <c r="L280" s="32" t="s">
        <v>3130</v>
      </c>
      <c r="M280" s="32" t="s">
        <v>2164</v>
      </c>
      <c r="N280" s="32" t="s">
        <v>1225</v>
      </c>
      <c r="O280" s="32" t="s">
        <v>1225</v>
      </c>
      <c r="P280" s="32" t="s">
        <v>1225</v>
      </c>
      <c r="Q280" s="32" t="s">
        <v>1227</v>
      </c>
      <c r="R280" s="32" t="s">
        <v>1225</v>
      </c>
      <c r="S280" s="32" t="s">
        <v>1225</v>
      </c>
      <c r="T280" s="32" t="s">
        <v>1225</v>
      </c>
      <c r="U280" s="32" t="s">
        <v>1225</v>
      </c>
      <c r="V280" s="32" t="s">
        <v>1225</v>
      </c>
      <c r="W280" s="32" t="s">
        <v>3131</v>
      </c>
      <c r="X280" s="32" t="s">
        <v>1225</v>
      </c>
      <c r="Y280" s="32" t="s">
        <v>3132</v>
      </c>
      <c r="Z280" s="32" t="s">
        <v>1225</v>
      </c>
      <c r="AA280" s="32" t="s">
        <v>1225</v>
      </c>
      <c r="AB280" s="32" t="s">
        <v>1225</v>
      </c>
      <c r="AC280" s="32" t="s">
        <v>1225</v>
      </c>
      <c r="AD280" s="32" t="s">
        <v>1225</v>
      </c>
      <c r="AE280" s="32" t="s">
        <v>1225</v>
      </c>
      <c r="AF280" s="32" t="s">
        <v>1225</v>
      </c>
      <c r="AG280" s="32" t="s">
        <v>1225</v>
      </c>
      <c r="AH280" s="32" t="s">
        <v>1225</v>
      </c>
      <c r="AI280" s="32" t="s">
        <v>1225</v>
      </c>
      <c r="AJ280" s="32" t="s">
        <v>1225</v>
      </c>
      <c r="AK280" s="32" t="s">
        <v>1225</v>
      </c>
      <c r="AL280" s="32" t="s">
        <v>1225</v>
      </c>
      <c r="AM280" s="32" t="s">
        <v>1225</v>
      </c>
      <c r="AN280" s="32" t="s">
        <v>1225</v>
      </c>
      <c r="AO280" s="32" t="s">
        <v>1225</v>
      </c>
      <c r="AP280" s="32" t="s">
        <v>1225</v>
      </c>
      <c r="AQ280" s="32" t="s">
        <v>1225</v>
      </c>
      <c r="AR280" s="32" t="s">
        <v>1225</v>
      </c>
      <c r="AS280" s="32" t="s">
        <v>1225</v>
      </c>
      <c r="AT280" s="32" t="s">
        <v>1225</v>
      </c>
      <c r="AU280" s="32" t="s">
        <v>1225</v>
      </c>
      <c r="AV280" s="32" t="s">
        <v>1225</v>
      </c>
      <c r="AW280" s="32" t="s">
        <v>3133</v>
      </c>
      <c r="AX280" s="32">
        <v>2021</v>
      </c>
      <c r="AY280" s="32">
        <v>9</v>
      </c>
      <c r="AZ280" s="32">
        <v>14</v>
      </c>
      <c r="BA280" s="32" t="s">
        <v>1225</v>
      </c>
      <c r="BB280" s="32" t="s">
        <v>1225</v>
      </c>
      <c r="BC280" s="32" t="s">
        <v>1225</v>
      </c>
      <c r="BD280" s="32" t="s">
        <v>1225</v>
      </c>
      <c r="BE280" s="32">
        <v>12395</v>
      </c>
      <c r="BF280" s="32">
        <v>12412</v>
      </c>
      <c r="BG280" s="32" t="s">
        <v>1225</v>
      </c>
      <c r="BH280" s="32" t="s">
        <v>3134</v>
      </c>
      <c r="BI280" s="32" t="str">
        <f>HYPERLINK("http://dx.doi.org/10.1109/JIOT.2021.3135977","http://dx.doi.org/10.1109/JIOT.2021.3135977")</f>
        <v>http://dx.doi.org/10.1109/JIOT.2021.3135977</v>
      </c>
      <c r="BJ280" s="32" t="s">
        <v>1225</v>
      </c>
      <c r="BK280" s="32" t="s">
        <v>1225</v>
      </c>
      <c r="BL280" s="32" t="s">
        <v>1225</v>
      </c>
      <c r="BM280" s="32" t="s">
        <v>1225</v>
      </c>
      <c r="BN280" s="32" t="s">
        <v>1225</v>
      </c>
      <c r="BO280" s="32" t="s">
        <v>1225</v>
      </c>
      <c r="BP280" s="32" t="s">
        <v>1225</v>
      </c>
      <c r="BQ280" s="32" t="s">
        <v>1225</v>
      </c>
      <c r="BR280" s="32" t="s">
        <v>1225</v>
      </c>
      <c r="BS280" s="32" t="s">
        <v>1225</v>
      </c>
      <c r="BT280" s="32" t="s">
        <v>1225</v>
      </c>
      <c r="BU280" s="32" t="s">
        <v>1225</v>
      </c>
      <c r="BV280" s="32" t="s">
        <v>1225</v>
      </c>
      <c r="BW280" s="32" t="str">
        <f t="shared" si="8"/>
        <v>View Full Record in Web of Science</v>
      </c>
      <c r="BY280" s="41" t="str">
        <f>IF(Deletion!J280=TRUE,"Yes","No")</f>
        <v>Yes</v>
      </c>
    </row>
    <row r="281" spans="1:77" x14ac:dyDescent="0.15">
      <c r="A281" s="32">
        <f t="shared" si="9"/>
        <v>280</v>
      </c>
      <c r="D281" s="32" t="s">
        <v>1223</v>
      </c>
      <c r="E281" s="32" t="s">
        <v>3135</v>
      </c>
      <c r="F281" s="32" t="s">
        <v>1225</v>
      </c>
      <c r="G281" s="32" t="s">
        <v>1225</v>
      </c>
      <c r="H281" s="32" t="s">
        <v>1225</v>
      </c>
      <c r="I281" s="32" t="s">
        <v>3136</v>
      </c>
      <c r="J281" s="32" t="s">
        <v>1225</v>
      </c>
      <c r="K281" s="32" t="s">
        <v>1225</v>
      </c>
      <c r="L281" s="32" t="s">
        <v>3137</v>
      </c>
      <c r="M281" s="32" t="s">
        <v>3138</v>
      </c>
      <c r="N281" s="32" t="s">
        <v>1225</v>
      </c>
      <c r="O281" s="32" t="s">
        <v>1225</v>
      </c>
      <c r="P281" s="32" t="s">
        <v>1225</v>
      </c>
      <c r="Q281" s="32" t="s">
        <v>1227</v>
      </c>
      <c r="R281" s="32" t="s">
        <v>1225</v>
      </c>
      <c r="S281" s="32" t="s">
        <v>1225</v>
      </c>
      <c r="T281" s="32" t="s">
        <v>1225</v>
      </c>
      <c r="U281" s="32" t="s">
        <v>1225</v>
      </c>
      <c r="V281" s="32" t="s">
        <v>1225</v>
      </c>
      <c r="W281" s="32" t="s">
        <v>3139</v>
      </c>
      <c r="X281" s="32" t="s">
        <v>3140</v>
      </c>
      <c r="Y281" s="32" t="s">
        <v>3141</v>
      </c>
      <c r="Z281" s="32" t="s">
        <v>1225</v>
      </c>
      <c r="AA281" s="32" t="s">
        <v>1225</v>
      </c>
      <c r="AB281" s="32" t="s">
        <v>1225</v>
      </c>
      <c r="AC281" s="32" t="s">
        <v>1225</v>
      </c>
      <c r="AD281" s="32" t="s">
        <v>1225</v>
      </c>
      <c r="AE281" s="32" t="s">
        <v>1225</v>
      </c>
      <c r="AF281" s="32" t="s">
        <v>1225</v>
      </c>
      <c r="AG281" s="32" t="s">
        <v>1225</v>
      </c>
      <c r="AH281" s="32" t="s">
        <v>1225</v>
      </c>
      <c r="AI281" s="32" t="s">
        <v>1225</v>
      </c>
      <c r="AJ281" s="32" t="s">
        <v>1225</v>
      </c>
      <c r="AK281" s="32" t="s">
        <v>1225</v>
      </c>
      <c r="AL281" s="32" t="s">
        <v>1225</v>
      </c>
      <c r="AM281" s="32" t="s">
        <v>1225</v>
      </c>
      <c r="AN281" s="32" t="s">
        <v>1225</v>
      </c>
      <c r="AO281" s="32" t="s">
        <v>1225</v>
      </c>
      <c r="AP281" s="32" t="s">
        <v>1225</v>
      </c>
      <c r="AQ281" s="32" t="s">
        <v>1225</v>
      </c>
      <c r="AR281" s="32" t="s">
        <v>1225</v>
      </c>
      <c r="AS281" s="32" t="s">
        <v>1225</v>
      </c>
      <c r="AT281" s="32" t="s">
        <v>1225</v>
      </c>
      <c r="AU281" s="32" t="s">
        <v>1225</v>
      </c>
      <c r="AV281" s="32" t="s">
        <v>1225</v>
      </c>
      <c r="AW281" s="32" t="s">
        <v>1272</v>
      </c>
      <c r="AX281" s="32">
        <v>2022</v>
      </c>
      <c r="AY281" s="32">
        <v>12</v>
      </c>
      <c r="AZ281" s="32">
        <v>1</v>
      </c>
      <c r="BA281" s="32" t="s">
        <v>1225</v>
      </c>
      <c r="BB281" s="32" t="s">
        <v>1225</v>
      </c>
      <c r="BC281" s="32" t="s">
        <v>1225</v>
      </c>
      <c r="BD281" s="32" t="s">
        <v>1225</v>
      </c>
      <c r="BE281" s="32">
        <v>49</v>
      </c>
      <c r="BF281" s="32">
        <v>64</v>
      </c>
      <c r="BG281" s="32" t="s">
        <v>1225</v>
      </c>
      <c r="BH281" s="32" t="s">
        <v>3142</v>
      </c>
      <c r="BI281" s="32" t="str">
        <f>HYPERLINK("http://dx.doi.org/10.1049/els2.12037","http://dx.doi.org/10.1049/els2.12037")</f>
        <v>http://dx.doi.org/10.1049/els2.12037</v>
      </c>
      <c r="BJ281" s="32" t="s">
        <v>1225</v>
      </c>
      <c r="BK281" s="32" t="s">
        <v>1776</v>
      </c>
      <c r="BL281" s="32" t="s">
        <v>1225</v>
      </c>
      <c r="BM281" s="32" t="s">
        <v>1225</v>
      </c>
      <c r="BN281" s="32" t="s">
        <v>1225</v>
      </c>
      <c r="BO281" s="32" t="s">
        <v>1225</v>
      </c>
      <c r="BP281" s="32" t="s">
        <v>1225</v>
      </c>
      <c r="BQ281" s="32" t="s">
        <v>1225</v>
      </c>
      <c r="BR281" s="32" t="s">
        <v>1225</v>
      </c>
      <c r="BS281" s="32" t="s">
        <v>1225</v>
      </c>
      <c r="BT281" s="32" t="s">
        <v>1225</v>
      </c>
      <c r="BU281" s="32" t="s">
        <v>1225</v>
      </c>
      <c r="BV281" s="32" t="s">
        <v>1225</v>
      </c>
      <c r="BW281" s="32" t="str">
        <f t="shared" si="8"/>
        <v>View Full Record in Web of Science</v>
      </c>
      <c r="BY281" s="41" t="str">
        <f>IF(Deletion!J281=TRUE,"Yes","No")</f>
        <v>Yes</v>
      </c>
    </row>
    <row r="282" spans="1:77" x14ac:dyDescent="0.15">
      <c r="A282" s="34">
        <f t="shared" si="9"/>
        <v>281</v>
      </c>
      <c r="B282" s="34" t="s">
        <v>4</v>
      </c>
      <c r="C282" s="34" t="s">
        <v>4</v>
      </c>
      <c r="D282" s="34" t="s">
        <v>1223</v>
      </c>
      <c r="E282" s="34" t="s">
        <v>3143</v>
      </c>
      <c r="F282" s="32" t="s">
        <v>1225</v>
      </c>
      <c r="G282" s="32" t="s">
        <v>1225</v>
      </c>
      <c r="H282" s="32" t="s">
        <v>1225</v>
      </c>
      <c r="I282" s="34" t="s">
        <v>3144</v>
      </c>
      <c r="J282" s="32" t="s">
        <v>1225</v>
      </c>
      <c r="K282" s="32" t="s">
        <v>1225</v>
      </c>
      <c r="L282" s="34" t="s">
        <v>3145</v>
      </c>
      <c r="M282" s="34" t="s">
        <v>3146</v>
      </c>
      <c r="N282" s="32" t="s">
        <v>1225</v>
      </c>
      <c r="O282" s="32" t="s">
        <v>1225</v>
      </c>
      <c r="P282" s="32" t="s">
        <v>1225</v>
      </c>
      <c r="Q282" s="34" t="s">
        <v>1227</v>
      </c>
      <c r="R282" s="32" t="s">
        <v>1225</v>
      </c>
      <c r="S282" s="32" t="s">
        <v>1225</v>
      </c>
      <c r="T282" s="32" t="s">
        <v>1225</v>
      </c>
      <c r="U282" s="32" t="s">
        <v>1225</v>
      </c>
      <c r="V282" s="32" t="s">
        <v>1225</v>
      </c>
      <c r="W282" s="34" t="s">
        <v>3147</v>
      </c>
      <c r="X282" s="34" t="s">
        <v>3148</v>
      </c>
      <c r="Y282" s="34" t="s">
        <v>3149</v>
      </c>
      <c r="Z282" s="32" t="s">
        <v>1225</v>
      </c>
      <c r="AA282" s="32" t="s">
        <v>1225</v>
      </c>
      <c r="AB282" s="32" t="s">
        <v>1225</v>
      </c>
      <c r="AC282" s="32" t="s">
        <v>1225</v>
      </c>
      <c r="AD282" s="32" t="s">
        <v>1225</v>
      </c>
      <c r="AE282" s="32" t="s">
        <v>1225</v>
      </c>
      <c r="AF282" s="32" t="s">
        <v>1225</v>
      </c>
      <c r="AG282" s="32" t="s">
        <v>1225</v>
      </c>
      <c r="AH282" s="32" t="s">
        <v>1225</v>
      </c>
      <c r="AI282" s="32" t="s">
        <v>1225</v>
      </c>
      <c r="AJ282" s="32" t="s">
        <v>1225</v>
      </c>
      <c r="AK282" s="32" t="s">
        <v>1225</v>
      </c>
      <c r="AL282" s="32" t="s">
        <v>1225</v>
      </c>
      <c r="AM282" s="32" t="s">
        <v>1225</v>
      </c>
      <c r="AN282" s="32" t="s">
        <v>1225</v>
      </c>
      <c r="AO282" s="32" t="s">
        <v>1225</v>
      </c>
      <c r="AP282" s="32" t="s">
        <v>1225</v>
      </c>
      <c r="AQ282" s="32" t="s">
        <v>1225</v>
      </c>
      <c r="AR282" s="32" t="s">
        <v>1225</v>
      </c>
      <c r="AS282" s="32" t="s">
        <v>1225</v>
      </c>
      <c r="AT282" s="32" t="s">
        <v>1225</v>
      </c>
      <c r="AU282" s="32" t="s">
        <v>1225</v>
      </c>
      <c r="AV282" s="32" t="s">
        <v>1225</v>
      </c>
      <c r="AW282" s="34" t="s">
        <v>1239</v>
      </c>
      <c r="AX282" s="34">
        <v>2022</v>
      </c>
      <c r="AY282" s="32" t="s">
        <v>3150</v>
      </c>
      <c r="AZ282" s="32">
        <v>7</v>
      </c>
      <c r="BA282" s="32" t="s">
        <v>1225</v>
      </c>
      <c r="BB282" s="32" t="s">
        <v>1225</v>
      </c>
      <c r="BC282" s="32" t="s">
        <v>1225</v>
      </c>
      <c r="BD282" s="32" t="s">
        <v>1225</v>
      </c>
      <c r="BE282" s="32">
        <v>1038</v>
      </c>
      <c r="BF282" s="32">
        <v>1048</v>
      </c>
      <c r="BG282" s="32" t="s">
        <v>1225</v>
      </c>
      <c r="BH282" s="34" t="s">
        <v>3151</v>
      </c>
      <c r="BI282" s="34" t="str">
        <f>HYPERLINK("http://dx.doi.org/10.1587/transfun.2021EAP1133","http://dx.doi.org/10.1587/transfun.2021EAP1133")</f>
        <v>http://dx.doi.org/10.1587/transfun.2021EAP1133</v>
      </c>
      <c r="BJ282" s="32" t="s">
        <v>1225</v>
      </c>
      <c r="BK282" s="32" t="s">
        <v>1225</v>
      </c>
      <c r="BL282" s="32" t="s">
        <v>1225</v>
      </c>
      <c r="BM282" s="32" t="s">
        <v>1225</v>
      </c>
      <c r="BN282" s="32" t="s">
        <v>1225</v>
      </c>
      <c r="BO282" s="32" t="s">
        <v>1225</v>
      </c>
      <c r="BP282" s="32" t="s">
        <v>1225</v>
      </c>
      <c r="BQ282" s="32" t="s">
        <v>1225</v>
      </c>
      <c r="BR282" s="32" t="s">
        <v>1225</v>
      </c>
      <c r="BS282" s="32" t="s">
        <v>1225</v>
      </c>
      <c r="BT282" s="32" t="s">
        <v>1225</v>
      </c>
      <c r="BU282" s="32" t="s">
        <v>1225</v>
      </c>
      <c r="BV282" s="32" t="s">
        <v>1225</v>
      </c>
      <c r="BW282" s="32" t="str">
        <f t="shared" si="8"/>
        <v>View Full Record in Web of Science</v>
      </c>
      <c r="BY282" s="41" t="str">
        <f>IF(Deletion!J282=TRUE,"Yes","No")</f>
        <v>No</v>
      </c>
    </row>
    <row r="283" spans="1:77" x14ac:dyDescent="0.15">
      <c r="A283" s="32">
        <f t="shared" si="9"/>
        <v>282</v>
      </c>
      <c r="D283" s="32" t="s">
        <v>1223</v>
      </c>
      <c r="E283" s="32" t="s">
        <v>3152</v>
      </c>
      <c r="F283" s="32" t="s">
        <v>1225</v>
      </c>
      <c r="G283" s="32" t="s">
        <v>1225</v>
      </c>
      <c r="H283" s="32" t="s">
        <v>1225</v>
      </c>
      <c r="I283" s="32" t="s">
        <v>3153</v>
      </c>
      <c r="J283" s="32" t="s">
        <v>1225</v>
      </c>
      <c r="K283" s="32" t="s">
        <v>1225</v>
      </c>
      <c r="L283" s="32" t="s">
        <v>3154</v>
      </c>
      <c r="M283" s="32" t="s">
        <v>1586</v>
      </c>
      <c r="N283" s="32" t="s">
        <v>1225</v>
      </c>
      <c r="O283" s="32" t="s">
        <v>1225</v>
      </c>
      <c r="P283" s="32" t="s">
        <v>1225</v>
      </c>
      <c r="Q283" s="32" t="s">
        <v>1227</v>
      </c>
      <c r="R283" s="32" t="s">
        <v>1225</v>
      </c>
      <c r="S283" s="32" t="s">
        <v>1225</v>
      </c>
      <c r="T283" s="32" t="s">
        <v>1225</v>
      </c>
      <c r="U283" s="32" t="s">
        <v>1225</v>
      </c>
      <c r="V283" s="32" t="s">
        <v>1225</v>
      </c>
      <c r="W283" s="32" t="s">
        <v>3155</v>
      </c>
      <c r="X283" s="32" t="s">
        <v>1542</v>
      </c>
      <c r="Y283" s="32" t="s">
        <v>3156</v>
      </c>
      <c r="Z283" s="32" t="s">
        <v>1225</v>
      </c>
      <c r="AA283" s="32" t="s">
        <v>1225</v>
      </c>
      <c r="AB283" s="32" t="s">
        <v>1225</v>
      </c>
      <c r="AC283" s="32" t="s">
        <v>1225</v>
      </c>
      <c r="AD283" s="32" t="s">
        <v>1225</v>
      </c>
      <c r="AE283" s="32" t="s">
        <v>1225</v>
      </c>
      <c r="AF283" s="32" t="s">
        <v>1225</v>
      </c>
      <c r="AG283" s="32" t="s">
        <v>1225</v>
      </c>
      <c r="AH283" s="32" t="s">
        <v>1225</v>
      </c>
      <c r="AI283" s="32" t="s">
        <v>1225</v>
      </c>
      <c r="AJ283" s="32" t="s">
        <v>1225</v>
      </c>
      <c r="AK283" s="32" t="s">
        <v>1225</v>
      </c>
      <c r="AL283" s="32" t="s">
        <v>1225</v>
      </c>
      <c r="AM283" s="32" t="s">
        <v>1225</v>
      </c>
      <c r="AN283" s="32" t="s">
        <v>1225</v>
      </c>
      <c r="AO283" s="32" t="s">
        <v>1225</v>
      </c>
      <c r="AP283" s="32" t="s">
        <v>1225</v>
      </c>
      <c r="AQ283" s="32" t="s">
        <v>1225</v>
      </c>
      <c r="AR283" s="32" t="s">
        <v>1225</v>
      </c>
      <c r="AS283" s="32" t="s">
        <v>1225</v>
      </c>
      <c r="AT283" s="32" t="s">
        <v>1225</v>
      </c>
      <c r="AU283" s="32" t="s">
        <v>1225</v>
      </c>
      <c r="AV283" s="32" t="s">
        <v>1225</v>
      </c>
      <c r="AW283" s="32" t="s">
        <v>1465</v>
      </c>
      <c r="AX283" s="32">
        <v>2022</v>
      </c>
      <c r="AY283" s="32">
        <v>14</v>
      </c>
      <c r="AZ283" s="32">
        <v>3</v>
      </c>
      <c r="BA283" s="32" t="s">
        <v>1225</v>
      </c>
      <c r="BB283" s="32" t="s">
        <v>1225</v>
      </c>
      <c r="BC283" s="32" t="s">
        <v>1225</v>
      </c>
      <c r="BD283" s="32" t="s">
        <v>1225</v>
      </c>
      <c r="BE283" s="32" t="s">
        <v>1225</v>
      </c>
      <c r="BF283" s="32" t="s">
        <v>1225</v>
      </c>
      <c r="BG283" s="32">
        <v>1884</v>
      </c>
      <c r="BH283" s="32" t="s">
        <v>3157</v>
      </c>
      <c r="BI283" s="32" t="str">
        <f>HYPERLINK("http://dx.doi.org/10.3390/su14031884","http://dx.doi.org/10.3390/su14031884")</f>
        <v>http://dx.doi.org/10.3390/su14031884</v>
      </c>
      <c r="BJ283" s="32" t="s">
        <v>1225</v>
      </c>
      <c r="BK283" s="32" t="s">
        <v>1225</v>
      </c>
      <c r="BL283" s="32" t="s">
        <v>1225</v>
      </c>
      <c r="BM283" s="32" t="s">
        <v>1225</v>
      </c>
      <c r="BN283" s="32" t="s">
        <v>1225</v>
      </c>
      <c r="BO283" s="32" t="s">
        <v>1225</v>
      </c>
      <c r="BP283" s="32" t="s">
        <v>1225</v>
      </c>
      <c r="BQ283" s="32" t="s">
        <v>1225</v>
      </c>
      <c r="BR283" s="32" t="s">
        <v>1225</v>
      </c>
      <c r="BS283" s="32" t="s">
        <v>1225</v>
      </c>
      <c r="BT283" s="32" t="s">
        <v>1225</v>
      </c>
      <c r="BU283" s="32" t="s">
        <v>1225</v>
      </c>
      <c r="BV283" s="32" t="s">
        <v>1225</v>
      </c>
      <c r="BW283" s="32" t="str">
        <f t="shared" si="8"/>
        <v>View Full Record in Web of Science</v>
      </c>
      <c r="BY283" s="41" t="str">
        <f>IF(Deletion!J283=TRUE,"Yes","No")</f>
        <v>Yes</v>
      </c>
    </row>
    <row r="284" spans="1:77" x14ac:dyDescent="0.15">
      <c r="A284" s="32">
        <f t="shared" si="9"/>
        <v>283</v>
      </c>
      <c r="D284" s="32" t="s">
        <v>1223</v>
      </c>
      <c r="E284" s="32" t="s">
        <v>3158</v>
      </c>
      <c r="F284" s="32" t="s">
        <v>1225</v>
      </c>
      <c r="G284" s="32" t="s">
        <v>1225</v>
      </c>
      <c r="H284" s="32" t="s">
        <v>1225</v>
      </c>
      <c r="I284" s="32" t="s">
        <v>3159</v>
      </c>
      <c r="J284" s="32" t="s">
        <v>1225</v>
      </c>
      <c r="K284" s="32" t="s">
        <v>1225</v>
      </c>
      <c r="L284" s="32" t="s">
        <v>3160</v>
      </c>
      <c r="M284" s="32" t="s">
        <v>2044</v>
      </c>
      <c r="N284" s="32" t="s">
        <v>1225</v>
      </c>
      <c r="O284" s="32" t="s">
        <v>1225</v>
      </c>
      <c r="P284" s="32" t="s">
        <v>1225</v>
      </c>
      <c r="Q284" s="32" t="s">
        <v>1227</v>
      </c>
      <c r="R284" s="32" t="s">
        <v>1225</v>
      </c>
      <c r="S284" s="32" t="s">
        <v>1225</v>
      </c>
      <c r="T284" s="32" t="s">
        <v>1225</v>
      </c>
      <c r="U284" s="32" t="s">
        <v>1225</v>
      </c>
      <c r="V284" s="32" t="s">
        <v>1225</v>
      </c>
      <c r="W284" s="32" t="s">
        <v>3161</v>
      </c>
      <c r="X284" s="32" t="s">
        <v>1225</v>
      </c>
      <c r="Y284" s="32" t="s">
        <v>3162</v>
      </c>
      <c r="Z284" s="32" t="s">
        <v>1225</v>
      </c>
      <c r="AA284" s="32" t="s">
        <v>1225</v>
      </c>
      <c r="AB284" s="32" t="s">
        <v>1225</v>
      </c>
      <c r="AC284" s="32" t="s">
        <v>1225</v>
      </c>
      <c r="AD284" s="32" t="s">
        <v>1225</v>
      </c>
      <c r="AE284" s="32" t="s">
        <v>1225</v>
      </c>
      <c r="AF284" s="32" t="s">
        <v>1225</v>
      </c>
      <c r="AG284" s="32" t="s">
        <v>1225</v>
      </c>
      <c r="AH284" s="32" t="s">
        <v>1225</v>
      </c>
      <c r="AI284" s="32" t="s">
        <v>1225</v>
      </c>
      <c r="AJ284" s="32" t="s">
        <v>1225</v>
      </c>
      <c r="AK284" s="32" t="s">
        <v>1225</v>
      </c>
      <c r="AL284" s="32" t="s">
        <v>1225</v>
      </c>
      <c r="AM284" s="32" t="s">
        <v>1225</v>
      </c>
      <c r="AN284" s="32" t="s">
        <v>1225</v>
      </c>
      <c r="AO284" s="32" t="s">
        <v>1225</v>
      </c>
      <c r="AP284" s="32" t="s">
        <v>1225</v>
      </c>
      <c r="AQ284" s="32" t="s">
        <v>1225</v>
      </c>
      <c r="AR284" s="32" t="s">
        <v>1225</v>
      </c>
      <c r="AS284" s="32" t="s">
        <v>1225</v>
      </c>
      <c r="AT284" s="32" t="s">
        <v>1225</v>
      </c>
      <c r="AU284" s="32" t="s">
        <v>1225</v>
      </c>
      <c r="AV284" s="32" t="s">
        <v>1225</v>
      </c>
      <c r="AW284" s="32" t="s">
        <v>1239</v>
      </c>
      <c r="AX284" s="32">
        <v>2014</v>
      </c>
      <c r="AY284" s="32">
        <v>63</v>
      </c>
      <c r="AZ284" s="32">
        <v>6</v>
      </c>
      <c r="BA284" s="32" t="s">
        <v>1225</v>
      </c>
      <c r="BB284" s="32" t="s">
        <v>1225</v>
      </c>
      <c r="BC284" s="32" t="s">
        <v>1225</v>
      </c>
      <c r="BD284" s="32" t="s">
        <v>1225</v>
      </c>
      <c r="BE284" s="32">
        <v>2600</v>
      </c>
      <c r="BF284" s="32">
        <v>2612</v>
      </c>
      <c r="BG284" s="32" t="s">
        <v>1225</v>
      </c>
      <c r="BH284" s="32" t="s">
        <v>3163</v>
      </c>
      <c r="BI284" s="32" t="str">
        <f>HYPERLINK("http://dx.doi.org/10.1109/TVT.2013.2295591","http://dx.doi.org/10.1109/TVT.2013.2295591")</f>
        <v>http://dx.doi.org/10.1109/TVT.2013.2295591</v>
      </c>
      <c r="BJ284" s="32" t="s">
        <v>1225</v>
      </c>
      <c r="BK284" s="32" t="s">
        <v>1225</v>
      </c>
      <c r="BL284" s="32" t="s">
        <v>1225</v>
      </c>
      <c r="BM284" s="32" t="s">
        <v>1225</v>
      </c>
      <c r="BN284" s="32" t="s">
        <v>1225</v>
      </c>
      <c r="BO284" s="32" t="s">
        <v>1225</v>
      </c>
      <c r="BP284" s="32" t="s">
        <v>1225</v>
      </c>
      <c r="BQ284" s="32" t="s">
        <v>1225</v>
      </c>
      <c r="BR284" s="32" t="s">
        <v>1225</v>
      </c>
      <c r="BS284" s="32" t="s">
        <v>1225</v>
      </c>
      <c r="BT284" s="32" t="s">
        <v>1225</v>
      </c>
      <c r="BU284" s="32" t="s">
        <v>1225</v>
      </c>
      <c r="BV284" s="32" t="s">
        <v>1225</v>
      </c>
      <c r="BW284" s="32" t="str">
        <f t="shared" si="8"/>
        <v>View Full Record in Web of Science</v>
      </c>
      <c r="BY284" s="41" t="str">
        <f>IF(Deletion!J284=TRUE,"Yes","No")</f>
        <v>Yes</v>
      </c>
    </row>
    <row r="285" spans="1:77" x14ac:dyDescent="0.15">
      <c r="A285" s="32">
        <f t="shared" si="9"/>
        <v>284</v>
      </c>
      <c r="D285" s="32" t="s">
        <v>1223</v>
      </c>
      <c r="E285" s="32" t="s">
        <v>1712</v>
      </c>
      <c r="F285" s="32" t="s">
        <v>1225</v>
      </c>
      <c r="G285" s="32" t="s">
        <v>1225</v>
      </c>
      <c r="H285" s="32" t="s">
        <v>1225</v>
      </c>
      <c r="I285" s="32" t="s">
        <v>1713</v>
      </c>
      <c r="J285" s="32" t="s">
        <v>1225</v>
      </c>
      <c r="K285" s="32" t="s">
        <v>1225</v>
      </c>
      <c r="L285" s="32" t="s">
        <v>3164</v>
      </c>
      <c r="M285" s="32" t="s">
        <v>68</v>
      </c>
      <c r="N285" s="32" t="s">
        <v>1225</v>
      </c>
      <c r="O285" s="32" t="s">
        <v>1225</v>
      </c>
      <c r="P285" s="32" t="s">
        <v>1225</v>
      </c>
      <c r="Q285" s="32" t="s">
        <v>1227</v>
      </c>
      <c r="R285" s="32" t="s">
        <v>1225</v>
      </c>
      <c r="S285" s="32" t="s">
        <v>1225</v>
      </c>
      <c r="T285" s="32" t="s">
        <v>1225</v>
      </c>
      <c r="U285" s="32" t="s">
        <v>1225</v>
      </c>
      <c r="V285" s="32" t="s">
        <v>1225</v>
      </c>
      <c r="W285" s="32" t="s">
        <v>3165</v>
      </c>
      <c r="X285" s="32" t="s">
        <v>3166</v>
      </c>
      <c r="Y285" s="32" t="s">
        <v>3167</v>
      </c>
      <c r="Z285" s="32" t="s">
        <v>1225</v>
      </c>
      <c r="AA285" s="32" t="s">
        <v>1225</v>
      </c>
      <c r="AB285" s="32" t="s">
        <v>1225</v>
      </c>
      <c r="AC285" s="32" t="s">
        <v>1225</v>
      </c>
      <c r="AD285" s="32" t="s">
        <v>1225</v>
      </c>
      <c r="AE285" s="32" t="s">
        <v>1225</v>
      </c>
      <c r="AF285" s="32" t="s">
        <v>1225</v>
      </c>
      <c r="AG285" s="32" t="s">
        <v>1225</v>
      </c>
      <c r="AH285" s="32" t="s">
        <v>1225</v>
      </c>
      <c r="AI285" s="32" t="s">
        <v>1225</v>
      </c>
      <c r="AJ285" s="32" t="s">
        <v>1225</v>
      </c>
      <c r="AK285" s="32" t="s">
        <v>1225</v>
      </c>
      <c r="AL285" s="32" t="s">
        <v>1225</v>
      </c>
      <c r="AM285" s="32" t="s">
        <v>1225</v>
      </c>
      <c r="AN285" s="32" t="s">
        <v>1225</v>
      </c>
      <c r="AO285" s="32" t="s">
        <v>1225</v>
      </c>
      <c r="AP285" s="32" t="s">
        <v>1225</v>
      </c>
      <c r="AQ285" s="32" t="s">
        <v>1225</v>
      </c>
      <c r="AR285" s="32" t="s">
        <v>1225</v>
      </c>
      <c r="AS285" s="32" t="s">
        <v>1225</v>
      </c>
      <c r="AT285" s="32" t="s">
        <v>1225</v>
      </c>
      <c r="AU285" s="32" t="s">
        <v>1225</v>
      </c>
      <c r="AV285" s="32" t="s">
        <v>1225</v>
      </c>
      <c r="AW285" s="32" t="s">
        <v>1225</v>
      </c>
      <c r="AX285" s="32">
        <v>2021</v>
      </c>
      <c r="AY285" s="32">
        <v>9</v>
      </c>
      <c r="AZ285" s="32" t="s">
        <v>1225</v>
      </c>
      <c r="BA285" s="32" t="s">
        <v>1225</v>
      </c>
      <c r="BB285" s="32" t="s">
        <v>1225</v>
      </c>
      <c r="BC285" s="32" t="s">
        <v>1225</v>
      </c>
      <c r="BD285" s="32" t="s">
        <v>1225</v>
      </c>
      <c r="BE285" s="32">
        <v>121476</v>
      </c>
      <c r="BF285" s="32">
        <v>121492</v>
      </c>
      <c r="BG285" s="32" t="s">
        <v>1225</v>
      </c>
      <c r="BH285" s="32" t="s">
        <v>3168</v>
      </c>
      <c r="BI285" s="32" t="str">
        <f>HYPERLINK("http://dx.doi.org/10.1109/ACCESS.2021.3108817","http://dx.doi.org/10.1109/ACCESS.2021.3108817")</f>
        <v>http://dx.doi.org/10.1109/ACCESS.2021.3108817</v>
      </c>
      <c r="BJ285" s="32" t="s">
        <v>1225</v>
      </c>
      <c r="BK285" s="32" t="s">
        <v>1225</v>
      </c>
      <c r="BL285" s="32" t="s">
        <v>1225</v>
      </c>
      <c r="BM285" s="32" t="s">
        <v>1225</v>
      </c>
      <c r="BN285" s="32" t="s">
        <v>1225</v>
      </c>
      <c r="BO285" s="32" t="s">
        <v>1225</v>
      </c>
      <c r="BP285" s="32" t="s">
        <v>1225</v>
      </c>
      <c r="BQ285" s="32" t="s">
        <v>1225</v>
      </c>
      <c r="BR285" s="32" t="s">
        <v>1225</v>
      </c>
      <c r="BS285" s="32" t="s">
        <v>1225</v>
      </c>
      <c r="BT285" s="32" t="s">
        <v>1225</v>
      </c>
      <c r="BU285" s="32" t="s">
        <v>1225</v>
      </c>
      <c r="BV285" s="32" t="s">
        <v>1225</v>
      </c>
      <c r="BW285" s="32" t="str">
        <f t="shared" si="8"/>
        <v>View Full Record in Web of Science</v>
      </c>
      <c r="BY285" s="41" t="str">
        <f>IF(Deletion!J285=TRUE,"Yes","No")</f>
        <v>Yes</v>
      </c>
    </row>
    <row r="286" spans="1:77" x14ac:dyDescent="0.15">
      <c r="A286" s="32">
        <f t="shared" si="9"/>
        <v>285</v>
      </c>
      <c r="D286" s="32" t="s">
        <v>1223</v>
      </c>
      <c r="E286" s="32" t="s">
        <v>3169</v>
      </c>
      <c r="F286" s="32" t="s">
        <v>1225</v>
      </c>
      <c r="G286" s="32" t="s">
        <v>1225</v>
      </c>
      <c r="H286" s="32" t="s">
        <v>1225</v>
      </c>
      <c r="I286" s="32" t="s">
        <v>3170</v>
      </c>
      <c r="J286" s="32" t="s">
        <v>1225</v>
      </c>
      <c r="K286" s="32" t="s">
        <v>1225</v>
      </c>
      <c r="L286" s="32" t="s">
        <v>3171</v>
      </c>
      <c r="M286" s="32" t="s">
        <v>1322</v>
      </c>
      <c r="N286" s="32" t="s">
        <v>1225</v>
      </c>
      <c r="O286" s="32" t="s">
        <v>1225</v>
      </c>
      <c r="P286" s="32" t="s">
        <v>1225</v>
      </c>
      <c r="Q286" s="32" t="s">
        <v>1227</v>
      </c>
      <c r="R286" s="32" t="s">
        <v>1225</v>
      </c>
      <c r="S286" s="32" t="s">
        <v>1225</v>
      </c>
      <c r="T286" s="32" t="s">
        <v>1225</v>
      </c>
      <c r="U286" s="32" t="s">
        <v>1225</v>
      </c>
      <c r="V286" s="32" t="s">
        <v>1225</v>
      </c>
      <c r="W286" s="32" t="s">
        <v>3172</v>
      </c>
      <c r="X286" s="32" t="s">
        <v>3173</v>
      </c>
      <c r="Y286" s="32" t="s">
        <v>3174</v>
      </c>
      <c r="Z286" s="32" t="s">
        <v>1225</v>
      </c>
      <c r="AA286" s="32" t="s">
        <v>1225</v>
      </c>
      <c r="AB286" s="32" t="s">
        <v>1225</v>
      </c>
      <c r="AC286" s="32" t="s">
        <v>1225</v>
      </c>
      <c r="AD286" s="32" t="s">
        <v>1225</v>
      </c>
      <c r="AE286" s="32" t="s">
        <v>1225</v>
      </c>
      <c r="AF286" s="32" t="s">
        <v>1225</v>
      </c>
      <c r="AG286" s="32" t="s">
        <v>1225</v>
      </c>
      <c r="AH286" s="32" t="s">
        <v>1225</v>
      </c>
      <c r="AI286" s="32" t="s">
        <v>1225</v>
      </c>
      <c r="AJ286" s="32" t="s">
        <v>1225</v>
      </c>
      <c r="AK286" s="32" t="s">
        <v>1225</v>
      </c>
      <c r="AL286" s="32" t="s">
        <v>1225</v>
      </c>
      <c r="AM286" s="32" t="s">
        <v>1225</v>
      </c>
      <c r="AN286" s="32" t="s">
        <v>1225</v>
      </c>
      <c r="AO286" s="32" t="s">
        <v>1225</v>
      </c>
      <c r="AP286" s="32" t="s">
        <v>1225</v>
      </c>
      <c r="AQ286" s="32" t="s">
        <v>1225</v>
      </c>
      <c r="AR286" s="32" t="s">
        <v>1225</v>
      </c>
      <c r="AS286" s="32" t="s">
        <v>1225</v>
      </c>
      <c r="AT286" s="32" t="s">
        <v>1225</v>
      </c>
      <c r="AU286" s="32" t="s">
        <v>1225</v>
      </c>
      <c r="AV286" s="32" t="s">
        <v>1225</v>
      </c>
      <c r="AW286" s="32" t="s">
        <v>1229</v>
      </c>
      <c r="AX286" s="32">
        <v>2017</v>
      </c>
      <c r="AY286" s="32">
        <v>5</v>
      </c>
      <c r="AZ286" s="32">
        <v>6</v>
      </c>
      <c r="BA286" s="32" t="s">
        <v>1225</v>
      </c>
      <c r="BB286" s="32" t="s">
        <v>1225</v>
      </c>
      <c r="BC286" s="32" t="s">
        <v>1225</v>
      </c>
      <c r="BD286" s="32" t="s">
        <v>1225</v>
      </c>
      <c r="BE286" s="32">
        <v>1004</v>
      </c>
      <c r="BF286" s="32">
        <v>1015</v>
      </c>
      <c r="BG286" s="32" t="s">
        <v>1225</v>
      </c>
      <c r="BH286" s="32" t="s">
        <v>3175</v>
      </c>
      <c r="BI286" s="32" t="str">
        <f>HYPERLINK("http://dx.doi.org/10.1007/s40565-016-0224-5","http://dx.doi.org/10.1007/s40565-016-0224-5")</f>
        <v>http://dx.doi.org/10.1007/s40565-016-0224-5</v>
      </c>
      <c r="BJ286" s="32" t="s">
        <v>1225</v>
      </c>
      <c r="BK286" s="32" t="s">
        <v>1225</v>
      </c>
      <c r="BL286" s="32" t="s">
        <v>1225</v>
      </c>
      <c r="BM286" s="32" t="s">
        <v>1225</v>
      </c>
      <c r="BN286" s="32" t="s">
        <v>1225</v>
      </c>
      <c r="BO286" s="32" t="s">
        <v>1225</v>
      </c>
      <c r="BP286" s="32" t="s">
        <v>1225</v>
      </c>
      <c r="BQ286" s="32" t="s">
        <v>1225</v>
      </c>
      <c r="BR286" s="32" t="s">
        <v>1225</v>
      </c>
      <c r="BS286" s="32" t="s">
        <v>1225</v>
      </c>
      <c r="BT286" s="32" t="s">
        <v>1225</v>
      </c>
      <c r="BU286" s="32" t="s">
        <v>1225</v>
      </c>
      <c r="BV286" s="32" t="s">
        <v>1225</v>
      </c>
      <c r="BW286" s="32" t="str">
        <f t="shared" si="8"/>
        <v>View Full Record in Web of Science</v>
      </c>
      <c r="BY286" s="41" t="str">
        <f>IF(Deletion!J286=TRUE,"Yes","No")</f>
        <v>Yes</v>
      </c>
    </row>
    <row r="287" spans="1:77" x14ac:dyDescent="0.15">
      <c r="A287" s="34">
        <f t="shared" si="9"/>
        <v>286</v>
      </c>
      <c r="B287" s="34" t="s">
        <v>4</v>
      </c>
      <c r="C287" s="34" t="s">
        <v>4</v>
      </c>
      <c r="D287" s="34" t="s">
        <v>1223</v>
      </c>
      <c r="E287" s="34" t="s">
        <v>2012</v>
      </c>
      <c r="F287" s="32" t="s">
        <v>1225</v>
      </c>
      <c r="G287" s="32" t="s">
        <v>1225</v>
      </c>
      <c r="H287" s="32" t="s">
        <v>1225</v>
      </c>
      <c r="I287" s="34" t="s">
        <v>2013</v>
      </c>
      <c r="J287" s="32" t="s">
        <v>1225</v>
      </c>
      <c r="K287" s="32" t="s">
        <v>1225</v>
      </c>
      <c r="L287" s="34" t="s">
        <v>3176</v>
      </c>
      <c r="M287" s="34" t="s">
        <v>3177</v>
      </c>
      <c r="N287" s="32" t="s">
        <v>1225</v>
      </c>
      <c r="O287" s="32" t="s">
        <v>1225</v>
      </c>
      <c r="P287" s="32" t="s">
        <v>1225</v>
      </c>
      <c r="Q287" s="34" t="s">
        <v>1227</v>
      </c>
      <c r="R287" s="32" t="s">
        <v>1225</v>
      </c>
      <c r="S287" s="32" t="s">
        <v>1225</v>
      </c>
      <c r="T287" s="32" t="s">
        <v>1225</v>
      </c>
      <c r="U287" s="32" t="s">
        <v>1225</v>
      </c>
      <c r="V287" s="32" t="s">
        <v>1225</v>
      </c>
      <c r="W287" s="34" t="s">
        <v>3178</v>
      </c>
      <c r="X287" s="34" t="s">
        <v>1225</v>
      </c>
      <c r="Y287" s="34" t="s">
        <v>3179</v>
      </c>
      <c r="Z287" s="32" t="s">
        <v>1225</v>
      </c>
      <c r="AA287" s="32" t="s">
        <v>1225</v>
      </c>
      <c r="AB287" s="32" t="s">
        <v>1225</v>
      </c>
      <c r="AC287" s="32" t="s">
        <v>1225</v>
      </c>
      <c r="AD287" s="32" t="s">
        <v>1225</v>
      </c>
      <c r="AE287" s="32" t="s">
        <v>1225</v>
      </c>
      <c r="AF287" s="32" t="s">
        <v>1225</v>
      </c>
      <c r="AG287" s="32" t="s">
        <v>1225</v>
      </c>
      <c r="AH287" s="32" t="s">
        <v>1225</v>
      </c>
      <c r="AI287" s="32" t="s">
        <v>1225</v>
      </c>
      <c r="AJ287" s="32" t="s">
        <v>1225</v>
      </c>
      <c r="AK287" s="32" t="s">
        <v>1225</v>
      </c>
      <c r="AL287" s="32" t="s">
        <v>1225</v>
      </c>
      <c r="AM287" s="32" t="s">
        <v>1225</v>
      </c>
      <c r="AN287" s="32" t="s">
        <v>1225</v>
      </c>
      <c r="AO287" s="32" t="s">
        <v>1225</v>
      </c>
      <c r="AP287" s="32" t="s">
        <v>1225</v>
      </c>
      <c r="AQ287" s="32" t="s">
        <v>1225</v>
      </c>
      <c r="AR287" s="32" t="s">
        <v>1225</v>
      </c>
      <c r="AS287" s="32" t="s">
        <v>1225</v>
      </c>
      <c r="AT287" s="32" t="s">
        <v>1225</v>
      </c>
      <c r="AU287" s="32" t="s">
        <v>1225</v>
      </c>
      <c r="AV287" s="32" t="s">
        <v>1225</v>
      </c>
      <c r="AW287" s="34" t="s">
        <v>1225</v>
      </c>
      <c r="AX287" s="34">
        <v>2020</v>
      </c>
      <c r="AY287" s="32">
        <v>24</v>
      </c>
      <c r="AZ287" s="32">
        <v>2</v>
      </c>
      <c r="BA287" s="32" t="s">
        <v>1225</v>
      </c>
      <c r="BB287" s="32" t="s">
        <v>1225</v>
      </c>
      <c r="BC287" s="32" t="s">
        <v>1225</v>
      </c>
      <c r="BD287" s="32" t="s">
        <v>1225</v>
      </c>
      <c r="BE287" s="32">
        <v>75</v>
      </c>
      <c r="BF287" s="32">
        <v>92</v>
      </c>
      <c r="BG287" s="32" t="s">
        <v>1225</v>
      </c>
      <c r="BH287" s="34" t="s">
        <v>3180</v>
      </c>
      <c r="BI287" s="34" t="str">
        <f>HYPERLINK("http://dx.doi.org/10.3233/JID200007","http://dx.doi.org/10.3233/JID200007")</f>
        <v>http://dx.doi.org/10.3233/JID200007</v>
      </c>
      <c r="BJ287" s="32" t="s">
        <v>1225</v>
      </c>
      <c r="BK287" s="32" t="s">
        <v>1225</v>
      </c>
      <c r="BL287" s="32" t="s">
        <v>1225</v>
      </c>
      <c r="BM287" s="32" t="s">
        <v>1225</v>
      </c>
      <c r="BN287" s="32" t="s">
        <v>1225</v>
      </c>
      <c r="BO287" s="32" t="s">
        <v>1225</v>
      </c>
      <c r="BP287" s="32" t="s">
        <v>1225</v>
      </c>
      <c r="BQ287" s="32" t="s">
        <v>1225</v>
      </c>
      <c r="BR287" s="32" t="s">
        <v>1225</v>
      </c>
      <c r="BS287" s="32" t="s">
        <v>1225</v>
      </c>
      <c r="BT287" s="32" t="s">
        <v>1225</v>
      </c>
      <c r="BU287" s="32" t="s">
        <v>1225</v>
      </c>
      <c r="BV287" s="32" t="s">
        <v>1225</v>
      </c>
      <c r="BW287" s="32" t="str">
        <f t="shared" si="8"/>
        <v>View Full Record in Web of Science</v>
      </c>
      <c r="BY287" s="41" t="str">
        <f>IF(Deletion!J287=TRUE,"Yes","No")</f>
        <v>No</v>
      </c>
    </row>
    <row r="288" spans="1:77" x14ac:dyDescent="0.15">
      <c r="A288" s="32">
        <f t="shared" si="9"/>
        <v>287</v>
      </c>
      <c r="D288" s="32" t="s">
        <v>1223</v>
      </c>
      <c r="E288" s="32" t="s">
        <v>3181</v>
      </c>
      <c r="F288" s="32" t="s">
        <v>1225</v>
      </c>
      <c r="G288" s="32" t="s">
        <v>1225</v>
      </c>
      <c r="H288" s="32" t="s">
        <v>1225</v>
      </c>
      <c r="I288" s="32" t="s">
        <v>3182</v>
      </c>
      <c r="J288" s="32" t="s">
        <v>1225</v>
      </c>
      <c r="K288" s="32" t="s">
        <v>1225</v>
      </c>
      <c r="L288" s="32" t="s">
        <v>3183</v>
      </c>
      <c r="M288" s="32" t="s">
        <v>1562</v>
      </c>
      <c r="N288" s="32" t="s">
        <v>1225</v>
      </c>
      <c r="O288" s="32" t="s">
        <v>1225</v>
      </c>
      <c r="P288" s="32" t="s">
        <v>1225</v>
      </c>
      <c r="Q288" s="32" t="s">
        <v>1227</v>
      </c>
      <c r="R288" s="32" t="s">
        <v>1225</v>
      </c>
      <c r="S288" s="32" t="s">
        <v>1225</v>
      </c>
      <c r="T288" s="32" t="s">
        <v>1225</v>
      </c>
      <c r="U288" s="32" t="s">
        <v>1225</v>
      </c>
      <c r="V288" s="32" t="s">
        <v>1225</v>
      </c>
      <c r="W288" s="32" t="s">
        <v>3184</v>
      </c>
      <c r="X288" s="32" t="s">
        <v>3185</v>
      </c>
      <c r="Y288" s="32" t="s">
        <v>3186</v>
      </c>
      <c r="Z288" s="32" t="s">
        <v>1225</v>
      </c>
      <c r="AA288" s="32" t="s">
        <v>1225</v>
      </c>
      <c r="AB288" s="32" t="s">
        <v>1225</v>
      </c>
      <c r="AC288" s="32" t="s">
        <v>1225</v>
      </c>
      <c r="AD288" s="32" t="s">
        <v>1225</v>
      </c>
      <c r="AE288" s="32" t="s">
        <v>1225</v>
      </c>
      <c r="AF288" s="32" t="s">
        <v>1225</v>
      </c>
      <c r="AG288" s="32" t="s">
        <v>1225</v>
      </c>
      <c r="AH288" s="32" t="s">
        <v>1225</v>
      </c>
      <c r="AI288" s="32" t="s">
        <v>1225</v>
      </c>
      <c r="AJ288" s="32" t="s">
        <v>1225</v>
      </c>
      <c r="AK288" s="32" t="s">
        <v>1225</v>
      </c>
      <c r="AL288" s="32" t="s">
        <v>1225</v>
      </c>
      <c r="AM288" s="32" t="s">
        <v>1225</v>
      </c>
      <c r="AN288" s="32" t="s">
        <v>1225</v>
      </c>
      <c r="AO288" s="32" t="s">
        <v>1225</v>
      </c>
      <c r="AP288" s="32" t="s">
        <v>1225</v>
      </c>
      <c r="AQ288" s="32" t="s">
        <v>1225</v>
      </c>
      <c r="AR288" s="32" t="s">
        <v>1225</v>
      </c>
      <c r="AS288" s="32" t="s">
        <v>1225</v>
      </c>
      <c r="AT288" s="32" t="s">
        <v>1225</v>
      </c>
      <c r="AU288" s="32" t="s">
        <v>1225</v>
      </c>
      <c r="AV288" s="32" t="s">
        <v>1225</v>
      </c>
      <c r="AW288" s="32" t="s">
        <v>3187</v>
      </c>
      <c r="AX288" s="32">
        <v>2018</v>
      </c>
      <c r="AY288" s="32">
        <v>399</v>
      </c>
      <c r="AZ288" s="32" t="s">
        <v>1225</v>
      </c>
      <c r="BA288" s="32" t="s">
        <v>1225</v>
      </c>
      <c r="BB288" s="32" t="s">
        <v>1225</v>
      </c>
      <c r="BC288" s="32" t="s">
        <v>1225</v>
      </c>
      <c r="BD288" s="32" t="s">
        <v>1225</v>
      </c>
      <c r="BE288" s="32">
        <v>166</v>
      </c>
      <c r="BF288" s="32">
        <v>178</v>
      </c>
      <c r="BG288" s="32" t="s">
        <v>1225</v>
      </c>
      <c r="BH288" s="32" t="s">
        <v>3188</v>
      </c>
      <c r="BI288" s="32" t="str">
        <f>HYPERLINK("http://dx.doi.org/10.1016/j.jpowsour.2018.07.092","http://dx.doi.org/10.1016/j.jpowsour.2018.07.092")</f>
        <v>http://dx.doi.org/10.1016/j.jpowsour.2018.07.092</v>
      </c>
      <c r="BJ288" s="32" t="s">
        <v>1225</v>
      </c>
      <c r="BK288" s="32" t="s">
        <v>1225</v>
      </c>
      <c r="BL288" s="32" t="s">
        <v>1225</v>
      </c>
      <c r="BM288" s="32" t="s">
        <v>1225</v>
      </c>
      <c r="BN288" s="32" t="s">
        <v>1225</v>
      </c>
      <c r="BO288" s="32" t="s">
        <v>1225</v>
      </c>
      <c r="BP288" s="32" t="s">
        <v>1225</v>
      </c>
      <c r="BQ288" s="32" t="s">
        <v>1225</v>
      </c>
      <c r="BR288" s="32" t="s">
        <v>1225</v>
      </c>
      <c r="BS288" s="32" t="s">
        <v>1225</v>
      </c>
      <c r="BT288" s="32" t="s">
        <v>1225</v>
      </c>
      <c r="BU288" s="32" t="s">
        <v>1225</v>
      </c>
      <c r="BV288" s="32" t="s">
        <v>1225</v>
      </c>
      <c r="BW288" s="32" t="str">
        <f t="shared" si="8"/>
        <v>View Full Record in Web of Science</v>
      </c>
      <c r="BY288" s="41" t="str">
        <f>IF(Deletion!J288=TRUE,"Yes","No")</f>
        <v>Yes</v>
      </c>
    </row>
    <row r="289" spans="1:77" x14ac:dyDescent="0.15">
      <c r="A289" s="32">
        <f t="shared" si="9"/>
        <v>288</v>
      </c>
      <c r="D289" s="32" t="s">
        <v>1223</v>
      </c>
      <c r="E289" s="32" t="s">
        <v>3189</v>
      </c>
      <c r="F289" s="32" t="s">
        <v>1225</v>
      </c>
      <c r="G289" s="32" t="s">
        <v>1225</v>
      </c>
      <c r="H289" s="32" t="s">
        <v>1225</v>
      </c>
      <c r="I289" s="32" t="s">
        <v>3190</v>
      </c>
      <c r="J289" s="32" t="s">
        <v>1225</v>
      </c>
      <c r="K289" s="32" t="s">
        <v>1225</v>
      </c>
      <c r="L289" s="32" t="s">
        <v>3191</v>
      </c>
      <c r="M289" s="32" t="s">
        <v>422</v>
      </c>
      <c r="N289" s="32" t="s">
        <v>1225</v>
      </c>
      <c r="O289" s="32" t="s">
        <v>1225</v>
      </c>
      <c r="P289" s="32" t="s">
        <v>1225</v>
      </c>
      <c r="Q289" s="32" t="s">
        <v>1227</v>
      </c>
      <c r="R289" s="32" t="s">
        <v>1225</v>
      </c>
      <c r="S289" s="32" t="s">
        <v>1225</v>
      </c>
      <c r="T289" s="32" t="s">
        <v>1225</v>
      </c>
      <c r="U289" s="32" t="s">
        <v>1225</v>
      </c>
      <c r="V289" s="32" t="s">
        <v>1225</v>
      </c>
      <c r="W289" s="32" t="s">
        <v>3192</v>
      </c>
      <c r="X289" s="32" t="s">
        <v>3193</v>
      </c>
      <c r="Y289" s="32" t="s">
        <v>3194</v>
      </c>
      <c r="Z289" s="32" t="s">
        <v>1225</v>
      </c>
      <c r="AA289" s="32" t="s">
        <v>1225</v>
      </c>
      <c r="AB289" s="32" t="s">
        <v>1225</v>
      </c>
      <c r="AC289" s="32" t="s">
        <v>1225</v>
      </c>
      <c r="AD289" s="32" t="s">
        <v>1225</v>
      </c>
      <c r="AE289" s="32" t="s">
        <v>1225</v>
      </c>
      <c r="AF289" s="32" t="s">
        <v>1225</v>
      </c>
      <c r="AG289" s="32" t="s">
        <v>1225</v>
      </c>
      <c r="AH289" s="32" t="s">
        <v>1225</v>
      </c>
      <c r="AI289" s="32" t="s">
        <v>1225</v>
      </c>
      <c r="AJ289" s="32" t="s">
        <v>1225</v>
      </c>
      <c r="AK289" s="32" t="s">
        <v>1225</v>
      </c>
      <c r="AL289" s="32" t="s">
        <v>1225</v>
      </c>
      <c r="AM289" s="32" t="s">
        <v>1225</v>
      </c>
      <c r="AN289" s="32" t="s">
        <v>1225</v>
      </c>
      <c r="AO289" s="32" t="s">
        <v>1225</v>
      </c>
      <c r="AP289" s="32" t="s">
        <v>1225</v>
      </c>
      <c r="AQ289" s="32" t="s">
        <v>1225</v>
      </c>
      <c r="AR289" s="32" t="s">
        <v>1225</v>
      </c>
      <c r="AS289" s="32" t="s">
        <v>1225</v>
      </c>
      <c r="AT289" s="32" t="s">
        <v>1225</v>
      </c>
      <c r="AU289" s="32" t="s">
        <v>1225</v>
      </c>
      <c r="AV289" s="32" t="s">
        <v>1225</v>
      </c>
      <c r="AW289" s="32" t="s">
        <v>1285</v>
      </c>
      <c r="AX289" s="32">
        <v>2022</v>
      </c>
      <c r="AY289" s="32">
        <v>15</v>
      </c>
      <c r="AZ289" s="32">
        <v>10</v>
      </c>
      <c r="BA289" s="32" t="s">
        <v>1225</v>
      </c>
      <c r="BB289" s="32" t="s">
        <v>1225</v>
      </c>
      <c r="BC289" s="32" t="s">
        <v>1225</v>
      </c>
      <c r="BD289" s="32" t="s">
        <v>1225</v>
      </c>
      <c r="BE289" s="32" t="s">
        <v>1225</v>
      </c>
      <c r="BF289" s="32" t="s">
        <v>1225</v>
      </c>
      <c r="BG289" s="32">
        <v>3827</v>
      </c>
      <c r="BH289" s="32" t="s">
        <v>3195</v>
      </c>
      <c r="BI289" s="32" t="str">
        <f>HYPERLINK("http://dx.doi.org/10.3390/en15103827","http://dx.doi.org/10.3390/en15103827")</f>
        <v>http://dx.doi.org/10.3390/en15103827</v>
      </c>
      <c r="BJ289" s="32" t="s">
        <v>1225</v>
      </c>
      <c r="BK289" s="32" t="s">
        <v>1225</v>
      </c>
      <c r="BL289" s="32" t="s">
        <v>1225</v>
      </c>
      <c r="BM289" s="32" t="s">
        <v>1225</v>
      </c>
      <c r="BN289" s="32" t="s">
        <v>1225</v>
      </c>
      <c r="BO289" s="32" t="s">
        <v>1225</v>
      </c>
      <c r="BP289" s="32" t="s">
        <v>1225</v>
      </c>
      <c r="BQ289" s="32" t="s">
        <v>1225</v>
      </c>
      <c r="BR289" s="32" t="s">
        <v>1225</v>
      </c>
      <c r="BS289" s="32" t="s">
        <v>1225</v>
      </c>
      <c r="BT289" s="32" t="s">
        <v>1225</v>
      </c>
      <c r="BU289" s="32" t="s">
        <v>1225</v>
      </c>
      <c r="BV289" s="32" t="s">
        <v>1225</v>
      </c>
      <c r="BW289" s="32" t="str">
        <f t="shared" si="8"/>
        <v>View Full Record in Web of Science</v>
      </c>
      <c r="BY289" s="41" t="str">
        <f>IF(Deletion!J289=TRUE,"Yes","No")</f>
        <v>Yes</v>
      </c>
    </row>
    <row r="290" spans="1:77" x14ac:dyDescent="0.15">
      <c r="A290" s="34">
        <f t="shared" si="9"/>
        <v>289</v>
      </c>
      <c r="B290" s="34" t="s">
        <v>4</v>
      </c>
      <c r="C290" s="34" t="s">
        <v>4</v>
      </c>
      <c r="D290" s="34" t="s">
        <v>1223</v>
      </c>
      <c r="E290" s="34" t="s">
        <v>3196</v>
      </c>
      <c r="F290" s="32" t="s">
        <v>1225</v>
      </c>
      <c r="G290" s="32" t="s">
        <v>1225</v>
      </c>
      <c r="H290" s="32" t="s">
        <v>1225</v>
      </c>
      <c r="I290" s="34" t="s">
        <v>3197</v>
      </c>
      <c r="J290" s="32" t="s">
        <v>1225</v>
      </c>
      <c r="K290" s="32" t="s">
        <v>1225</v>
      </c>
      <c r="L290" s="34" t="s">
        <v>3198</v>
      </c>
      <c r="M290" s="34" t="s">
        <v>3199</v>
      </c>
      <c r="N290" s="32" t="s">
        <v>1225</v>
      </c>
      <c r="O290" s="32" t="s">
        <v>1225</v>
      </c>
      <c r="P290" s="32" t="s">
        <v>1225</v>
      </c>
      <c r="Q290" s="34" t="s">
        <v>1227</v>
      </c>
      <c r="R290" s="32" t="s">
        <v>1225</v>
      </c>
      <c r="S290" s="32" t="s">
        <v>1225</v>
      </c>
      <c r="T290" s="32" t="s">
        <v>1225</v>
      </c>
      <c r="U290" s="32" t="s">
        <v>1225</v>
      </c>
      <c r="V290" s="32" t="s">
        <v>1225</v>
      </c>
      <c r="W290" s="34" t="s">
        <v>3200</v>
      </c>
      <c r="X290" s="34" t="s">
        <v>3201</v>
      </c>
      <c r="Y290" s="34" t="s">
        <v>3202</v>
      </c>
      <c r="Z290" s="32" t="s">
        <v>1225</v>
      </c>
      <c r="AA290" s="32" t="s">
        <v>1225</v>
      </c>
      <c r="AB290" s="32" t="s">
        <v>1225</v>
      </c>
      <c r="AC290" s="32" t="s">
        <v>1225</v>
      </c>
      <c r="AD290" s="32" t="s">
        <v>1225</v>
      </c>
      <c r="AE290" s="32" t="s">
        <v>1225</v>
      </c>
      <c r="AF290" s="32" t="s">
        <v>1225</v>
      </c>
      <c r="AG290" s="32" t="s">
        <v>1225</v>
      </c>
      <c r="AH290" s="32" t="s">
        <v>1225</v>
      </c>
      <c r="AI290" s="32" t="s">
        <v>1225</v>
      </c>
      <c r="AJ290" s="32" t="s">
        <v>1225</v>
      </c>
      <c r="AK290" s="32" t="s">
        <v>1225</v>
      </c>
      <c r="AL290" s="32" t="s">
        <v>1225</v>
      </c>
      <c r="AM290" s="32" t="s">
        <v>1225</v>
      </c>
      <c r="AN290" s="32" t="s">
        <v>1225</v>
      </c>
      <c r="AO290" s="32" t="s">
        <v>1225</v>
      </c>
      <c r="AP290" s="32" t="s">
        <v>1225</v>
      </c>
      <c r="AQ290" s="32" t="s">
        <v>1225</v>
      </c>
      <c r="AR290" s="32" t="s">
        <v>1225</v>
      </c>
      <c r="AS290" s="32" t="s">
        <v>1225</v>
      </c>
      <c r="AT290" s="32" t="s">
        <v>1225</v>
      </c>
      <c r="AU290" s="32" t="s">
        <v>1225</v>
      </c>
      <c r="AV290" s="32" t="s">
        <v>1225</v>
      </c>
      <c r="AW290" s="34" t="s">
        <v>1272</v>
      </c>
      <c r="AX290" s="34">
        <v>2016</v>
      </c>
      <c r="AY290" s="32">
        <v>2</v>
      </c>
      <c r="AZ290" s="32">
        <v>1</v>
      </c>
      <c r="BA290" s="32" t="s">
        <v>1225</v>
      </c>
      <c r="BB290" s="32" t="s">
        <v>1225</v>
      </c>
      <c r="BC290" s="32" t="s">
        <v>1225</v>
      </c>
      <c r="BD290" s="32" t="s">
        <v>1225</v>
      </c>
      <c r="BE290" s="32">
        <v>47</v>
      </c>
      <c r="BF290" s="32">
        <v>53</v>
      </c>
      <c r="BG290" s="32" t="s">
        <v>1225</v>
      </c>
      <c r="BH290" s="34" t="s">
        <v>3203</v>
      </c>
      <c r="BI290" s="34" t="str">
        <f>HYPERLINK("http://dx.doi.org/10.17775/CSEEJPES.2016.00008","http://dx.doi.org/10.17775/CSEEJPES.2016.00008")</f>
        <v>http://dx.doi.org/10.17775/CSEEJPES.2016.00008</v>
      </c>
      <c r="BJ290" s="32" t="s">
        <v>1225</v>
      </c>
      <c r="BK290" s="32" t="s">
        <v>1225</v>
      </c>
      <c r="BL290" s="32" t="s">
        <v>1225</v>
      </c>
      <c r="BM290" s="32" t="s">
        <v>1225</v>
      </c>
      <c r="BN290" s="32" t="s">
        <v>1225</v>
      </c>
      <c r="BO290" s="32" t="s">
        <v>1225</v>
      </c>
      <c r="BP290" s="32" t="s">
        <v>1225</v>
      </c>
      <c r="BQ290" s="32" t="s">
        <v>1225</v>
      </c>
      <c r="BR290" s="32" t="s">
        <v>1225</v>
      </c>
      <c r="BS290" s="32" t="s">
        <v>1225</v>
      </c>
      <c r="BT290" s="32" t="s">
        <v>1225</v>
      </c>
      <c r="BU290" s="32" t="s">
        <v>1225</v>
      </c>
      <c r="BV290" s="32" t="s">
        <v>1225</v>
      </c>
      <c r="BW290" s="32" t="str">
        <f t="shared" si="8"/>
        <v>View Full Record in Web of Science</v>
      </c>
      <c r="BY290" s="41" t="str">
        <f>IF(Deletion!J290=TRUE,"Yes","No")</f>
        <v>No</v>
      </c>
    </row>
    <row r="291" spans="1:77" x14ac:dyDescent="0.15">
      <c r="A291" s="32">
        <f t="shared" si="9"/>
        <v>290</v>
      </c>
      <c r="D291" s="32" t="s">
        <v>1223</v>
      </c>
      <c r="E291" s="32" t="s">
        <v>3204</v>
      </c>
      <c r="F291" s="32" t="s">
        <v>1225</v>
      </c>
      <c r="G291" s="32" t="s">
        <v>1225</v>
      </c>
      <c r="H291" s="32" t="s">
        <v>1225</v>
      </c>
      <c r="I291" s="32" t="s">
        <v>3205</v>
      </c>
      <c r="J291" s="32" t="s">
        <v>1225</v>
      </c>
      <c r="K291" s="32" t="s">
        <v>1225</v>
      </c>
      <c r="L291" s="32" t="s">
        <v>3206</v>
      </c>
      <c r="M291" s="32" t="s">
        <v>302</v>
      </c>
      <c r="N291" s="32" t="s">
        <v>1225</v>
      </c>
      <c r="O291" s="32" t="s">
        <v>1225</v>
      </c>
      <c r="P291" s="32" t="s">
        <v>1225</v>
      </c>
      <c r="Q291" s="32" t="s">
        <v>1227</v>
      </c>
      <c r="R291" s="32" t="s">
        <v>1225</v>
      </c>
      <c r="S291" s="32" t="s">
        <v>1225</v>
      </c>
      <c r="T291" s="32" t="s">
        <v>1225</v>
      </c>
      <c r="U291" s="32" t="s">
        <v>1225</v>
      </c>
      <c r="V291" s="32" t="s">
        <v>1225</v>
      </c>
      <c r="W291" s="32" t="s">
        <v>3207</v>
      </c>
      <c r="X291" s="32" t="s">
        <v>3208</v>
      </c>
      <c r="Y291" s="32" t="s">
        <v>3209</v>
      </c>
      <c r="Z291" s="32" t="s">
        <v>1225</v>
      </c>
      <c r="AA291" s="32" t="s">
        <v>1225</v>
      </c>
      <c r="AB291" s="32" t="s">
        <v>1225</v>
      </c>
      <c r="AC291" s="32" t="s">
        <v>1225</v>
      </c>
      <c r="AD291" s="32" t="s">
        <v>1225</v>
      </c>
      <c r="AE291" s="32" t="s">
        <v>1225</v>
      </c>
      <c r="AF291" s="32" t="s">
        <v>1225</v>
      </c>
      <c r="AG291" s="32" t="s">
        <v>1225</v>
      </c>
      <c r="AH291" s="32" t="s">
        <v>1225</v>
      </c>
      <c r="AI291" s="32" t="s">
        <v>1225</v>
      </c>
      <c r="AJ291" s="32" t="s">
        <v>1225</v>
      </c>
      <c r="AK291" s="32" t="s">
        <v>1225</v>
      </c>
      <c r="AL291" s="32" t="s">
        <v>1225</v>
      </c>
      <c r="AM291" s="32" t="s">
        <v>1225</v>
      </c>
      <c r="AN291" s="32" t="s">
        <v>1225</v>
      </c>
      <c r="AO291" s="32" t="s">
        <v>1225</v>
      </c>
      <c r="AP291" s="32" t="s">
        <v>1225</v>
      </c>
      <c r="AQ291" s="32" t="s">
        <v>1225</v>
      </c>
      <c r="AR291" s="32" t="s">
        <v>1225</v>
      </c>
      <c r="AS291" s="32" t="s">
        <v>1225</v>
      </c>
      <c r="AT291" s="32" t="s">
        <v>1225</v>
      </c>
      <c r="AU291" s="32" t="s">
        <v>1225</v>
      </c>
      <c r="AV291" s="32" t="s">
        <v>1225</v>
      </c>
      <c r="AW291" s="32" t="s">
        <v>1647</v>
      </c>
      <c r="AX291" s="32">
        <v>2019</v>
      </c>
      <c r="AY291" s="32">
        <v>19</v>
      </c>
      <c r="AZ291" s="32">
        <v>13</v>
      </c>
      <c r="BA291" s="32" t="s">
        <v>1225</v>
      </c>
      <c r="BB291" s="32" t="s">
        <v>1225</v>
      </c>
      <c r="BC291" s="32" t="s">
        <v>1225</v>
      </c>
      <c r="BD291" s="32" t="s">
        <v>1225</v>
      </c>
      <c r="BE291" s="32" t="s">
        <v>1225</v>
      </c>
      <c r="BF291" s="32" t="s">
        <v>1225</v>
      </c>
      <c r="BG291" s="32">
        <v>3028</v>
      </c>
      <c r="BH291" s="32" t="s">
        <v>3210</v>
      </c>
      <c r="BI291" s="32" t="str">
        <f>HYPERLINK("http://dx.doi.org/10.3390/s19133028","http://dx.doi.org/10.3390/s19133028")</f>
        <v>http://dx.doi.org/10.3390/s19133028</v>
      </c>
      <c r="BJ291" s="32" t="s">
        <v>1225</v>
      </c>
      <c r="BK291" s="32" t="s">
        <v>1225</v>
      </c>
      <c r="BL291" s="32" t="s">
        <v>1225</v>
      </c>
      <c r="BM291" s="32" t="s">
        <v>1225</v>
      </c>
      <c r="BN291" s="32" t="s">
        <v>1225</v>
      </c>
      <c r="BO291" s="32" t="s">
        <v>1225</v>
      </c>
      <c r="BP291" s="32" t="s">
        <v>1225</v>
      </c>
      <c r="BQ291" s="32" t="s">
        <v>1225</v>
      </c>
      <c r="BR291" s="32" t="s">
        <v>1225</v>
      </c>
      <c r="BS291" s="32" t="s">
        <v>1225</v>
      </c>
      <c r="BT291" s="32" t="s">
        <v>1225</v>
      </c>
      <c r="BU291" s="32" t="s">
        <v>1225</v>
      </c>
      <c r="BV291" s="32" t="s">
        <v>1225</v>
      </c>
      <c r="BW291" s="32" t="str">
        <f t="shared" si="8"/>
        <v>View Full Record in Web of Science</v>
      </c>
      <c r="BY291" s="41" t="str">
        <f>IF(Deletion!J291=TRUE,"Yes","No")</f>
        <v>Yes</v>
      </c>
    </row>
    <row r="292" spans="1:77" x14ac:dyDescent="0.15">
      <c r="A292" s="32">
        <f t="shared" si="9"/>
        <v>291</v>
      </c>
      <c r="D292" s="32" t="s">
        <v>1223</v>
      </c>
      <c r="E292" s="32" t="s">
        <v>3211</v>
      </c>
      <c r="F292" s="32" t="s">
        <v>1225</v>
      </c>
      <c r="G292" s="32" t="s">
        <v>1225</v>
      </c>
      <c r="H292" s="32" t="s">
        <v>1225</v>
      </c>
      <c r="I292" s="32" t="s">
        <v>3212</v>
      </c>
      <c r="J292" s="32" t="s">
        <v>1225</v>
      </c>
      <c r="K292" s="32" t="s">
        <v>1225</v>
      </c>
      <c r="L292" s="32" t="s">
        <v>3213</v>
      </c>
      <c r="M292" s="32" t="s">
        <v>422</v>
      </c>
      <c r="N292" s="32" t="s">
        <v>1225</v>
      </c>
      <c r="O292" s="32" t="s">
        <v>1225</v>
      </c>
      <c r="P292" s="32" t="s">
        <v>1225</v>
      </c>
      <c r="Q292" s="32" t="s">
        <v>1227</v>
      </c>
      <c r="R292" s="32" t="s">
        <v>1225</v>
      </c>
      <c r="S292" s="32" t="s">
        <v>1225</v>
      </c>
      <c r="T292" s="32" t="s">
        <v>1225</v>
      </c>
      <c r="U292" s="32" t="s">
        <v>1225</v>
      </c>
      <c r="V292" s="32" t="s">
        <v>1225</v>
      </c>
      <c r="W292" s="32" t="s">
        <v>3214</v>
      </c>
      <c r="X292" s="32" t="s">
        <v>3215</v>
      </c>
      <c r="Y292" s="32" t="s">
        <v>3216</v>
      </c>
      <c r="Z292" s="32" t="s">
        <v>1225</v>
      </c>
      <c r="AA292" s="32" t="s">
        <v>1225</v>
      </c>
      <c r="AB292" s="32" t="s">
        <v>1225</v>
      </c>
      <c r="AC292" s="32" t="s">
        <v>1225</v>
      </c>
      <c r="AD292" s="32" t="s">
        <v>1225</v>
      </c>
      <c r="AE292" s="32" t="s">
        <v>1225</v>
      </c>
      <c r="AF292" s="32" t="s">
        <v>1225</v>
      </c>
      <c r="AG292" s="32" t="s">
        <v>1225</v>
      </c>
      <c r="AH292" s="32" t="s">
        <v>1225</v>
      </c>
      <c r="AI292" s="32" t="s">
        <v>1225</v>
      </c>
      <c r="AJ292" s="32" t="s">
        <v>1225</v>
      </c>
      <c r="AK292" s="32" t="s">
        <v>1225</v>
      </c>
      <c r="AL292" s="32" t="s">
        <v>1225</v>
      </c>
      <c r="AM292" s="32" t="s">
        <v>1225</v>
      </c>
      <c r="AN292" s="32" t="s">
        <v>1225</v>
      </c>
      <c r="AO292" s="32" t="s">
        <v>1225</v>
      </c>
      <c r="AP292" s="32" t="s">
        <v>1225</v>
      </c>
      <c r="AQ292" s="32" t="s">
        <v>1225</v>
      </c>
      <c r="AR292" s="32" t="s">
        <v>1225</v>
      </c>
      <c r="AS292" s="32" t="s">
        <v>1225</v>
      </c>
      <c r="AT292" s="32" t="s">
        <v>1225</v>
      </c>
      <c r="AU292" s="32" t="s">
        <v>1225</v>
      </c>
      <c r="AV292" s="32" t="s">
        <v>1225</v>
      </c>
      <c r="AW292" s="32" t="s">
        <v>1276</v>
      </c>
      <c r="AX292" s="32">
        <v>2018</v>
      </c>
      <c r="AY292" s="32">
        <v>11</v>
      </c>
      <c r="AZ292" s="32">
        <v>10</v>
      </c>
      <c r="BA292" s="32" t="s">
        <v>1225</v>
      </c>
      <c r="BB292" s="32" t="s">
        <v>1225</v>
      </c>
      <c r="BC292" s="32" t="s">
        <v>1225</v>
      </c>
      <c r="BD292" s="32" t="s">
        <v>1225</v>
      </c>
      <c r="BE292" s="32" t="s">
        <v>1225</v>
      </c>
      <c r="BF292" s="32" t="s">
        <v>1225</v>
      </c>
      <c r="BG292" s="32">
        <v>2685</v>
      </c>
      <c r="BH292" s="32" t="s">
        <v>3217</v>
      </c>
      <c r="BI292" s="32" t="str">
        <f>HYPERLINK("http://dx.doi.org/10.3390/en11102685","http://dx.doi.org/10.3390/en11102685")</f>
        <v>http://dx.doi.org/10.3390/en11102685</v>
      </c>
      <c r="BJ292" s="32" t="s">
        <v>1225</v>
      </c>
      <c r="BK292" s="32" t="s">
        <v>1225</v>
      </c>
      <c r="BL292" s="32" t="s">
        <v>1225</v>
      </c>
      <c r="BM292" s="32" t="s">
        <v>1225</v>
      </c>
      <c r="BN292" s="32" t="s">
        <v>1225</v>
      </c>
      <c r="BO292" s="32" t="s">
        <v>1225</v>
      </c>
      <c r="BP292" s="32" t="s">
        <v>1225</v>
      </c>
      <c r="BQ292" s="32" t="s">
        <v>1225</v>
      </c>
      <c r="BR292" s="32" t="s">
        <v>1225</v>
      </c>
      <c r="BS292" s="32" t="s">
        <v>1225</v>
      </c>
      <c r="BT292" s="32" t="s">
        <v>1225</v>
      </c>
      <c r="BU292" s="32" t="s">
        <v>1225</v>
      </c>
      <c r="BV292" s="32" t="s">
        <v>1225</v>
      </c>
      <c r="BW292" s="32" t="str">
        <f t="shared" si="8"/>
        <v>View Full Record in Web of Science</v>
      </c>
      <c r="BY292" s="41" t="str">
        <f>IF(Deletion!J292=TRUE,"Yes","No")</f>
        <v>Yes</v>
      </c>
    </row>
    <row r="293" spans="1:77" x14ac:dyDescent="0.15">
      <c r="A293" s="32">
        <f t="shared" si="9"/>
        <v>292</v>
      </c>
      <c r="D293" s="32" t="s">
        <v>1223</v>
      </c>
      <c r="E293" s="32" t="s">
        <v>3218</v>
      </c>
      <c r="F293" s="32" t="s">
        <v>1225</v>
      </c>
      <c r="G293" s="32" t="s">
        <v>1225</v>
      </c>
      <c r="H293" s="32" t="s">
        <v>1225</v>
      </c>
      <c r="I293" s="32" t="s">
        <v>3219</v>
      </c>
      <c r="J293" s="32" t="s">
        <v>1225</v>
      </c>
      <c r="K293" s="32" t="s">
        <v>1225</v>
      </c>
      <c r="L293" s="32" t="s">
        <v>3220</v>
      </c>
      <c r="M293" s="32" t="s">
        <v>124</v>
      </c>
      <c r="N293" s="32" t="s">
        <v>1225</v>
      </c>
      <c r="O293" s="32" t="s">
        <v>1225</v>
      </c>
      <c r="P293" s="32" t="s">
        <v>1225</v>
      </c>
      <c r="Q293" s="32" t="s">
        <v>1227</v>
      </c>
      <c r="R293" s="32" t="s">
        <v>1225</v>
      </c>
      <c r="S293" s="32" t="s">
        <v>1225</v>
      </c>
      <c r="T293" s="32" t="s">
        <v>1225</v>
      </c>
      <c r="U293" s="32" t="s">
        <v>1225</v>
      </c>
      <c r="V293" s="32" t="s">
        <v>1225</v>
      </c>
      <c r="W293" s="32" t="s">
        <v>3221</v>
      </c>
      <c r="X293" s="32" t="s">
        <v>3222</v>
      </c>
      <c r="Y293" s="32" t="s">
        <v>3223</v>
      </c>
      <c r="Z293" s="32" t="s">
        <v>1225</v>
      </c>
      <c r="AA293" s="32" t="s">
        <v>1225</v>
      </c>
      <c r="AB293" s="32" t="s">
        <v>1225</v>
      </c>
      <c r="AC293" s="32" t="s">
        <v>1225</v>
      </c>
      <c r="AD293" s="32" t="s">
        <v>1225</v>
      </c>
      <c r="AE293" s="32" t="s">
        <v>1225</v>
      </c>
      <c r="AF293" s="32" t="s">
        <v>1225</v>
      </c>
      <c r="AG293" s="32" t="s">
        <v>1225</v>
      </c>
      <c r="AH293" s="32" t="s">
        <v>1225</v>
      </c>
      <c r="AI293" s="32" t="s">
        <v>1225</v>
      </c>
      <c r="AJ293" s="32" t="s">
        <v>1225</v>
      </c>
      <c r="AK293" s="32" t="s">
        <v>1225</v>
      </c>
      <c r="AL293" s="32" t="s">
        <v>1225</v>
      </c>
      <c r="AM293" s="32" t="s">
        <v>1225</v>
      </c>
      <c r="AN293" s="32" t="s">
        <v>1225</v>
      </c>
      <c r="AO293" s="32" t="s">
        <v>1225</v>
      </c>
      <c r="AP293" s="32" t="s">
        <v>1225</v>
      </c>
      <c r="AQ293" s="32" t="s">
        <v>1225</v>
      </c>
      <c r="AR293" s="32" t="s">
        <v>1225</v>
      </c>
      <c r="AS293" s="32" t="s">
        <v>1225</v>
      </c>
      <c r="AT293" s="32" t="s">
        <v>1225</v>
      </c>
      <c r="AU293" s="32" t="s">
        <v>1225</v>
      </c>
      <c r="AV293" s="32" t="s">
        <v>1225</v>
      </c>
      <c r="AW293" s="32" t="s">
        <v>1239</v>
      </c>
      <c r="AX293" s="32">
        <v>2017</v>
      </c>
      <c r="AY293" s="32">
        <v>8</v>
      </c>
      <c r="AZ293" s="32">
        <v>4</v>
      </c>
      <c r="BA293" s="32" t="s">
        <v>1225</v>
      </c>
      <c r="BB293" s="32" t="s">
        <v>1225</v>
      </c>
      <c r="BC293" s="32" t="s">
        <v>1225</v>
      </c>
      <c r="BD293" s="32" t="s">
        <v>1225</v>
      </c>
      <c r="BE293" s="32">
        <v>1722</v>
      </c>
      <c r="BF293" s="32">
        <v>1730</v>
      </c>
      <c r="BG293" s="32" t="s">
        <v>1225</v>
      </c>
      <c r="BH293" s="32" t="s">
        <v>3224</v>
      </c>
      <c r="BI293" s="32" t="str">
        <f>HYPERLINK("http://dx.doi.org/10.1109/TSG.2015.2505298","http://dx.doi.org/10.1109/TSG.2015.2505298")</f>
        <v>http://dx.doi.org/10.1109/TSG.2015.2505298</v>
      </c>
      <c r="BJ293" s="32" t="s">
        <v>1225</v>
      </c>
      <c r="BK293" s="32" t="s">
        <v>1225</v>
      </c>
      <c r="BL293" s="32" t="s">
        <v>1225</v>
      </c>
      <c r="BM293" s="32" t="s">
        <v>1225</v>
      </c>
      <c r="BN293" s="32" t="s">
        <v>1225</v>
      </c>
      <c r="BO293" s="32" t="s">
        <v>1225</v>
      </c>
      <c r="BP293" s="32" t="s">
        <v>1225</v>
      </c>
      <c r="BQ293" s="32" t="s">
        <v>1225</v>
      </c>
      <c r="BR293" s="32" t="s">
        <v>1225</v>
      </c>
      <c r="BS293" s="32" t="s">
        <v>1225</v>
      </c>
      <c r="BT293" s="32" t="s">
        <v>1225</v>
      </c>
      <c r="BU293" s="32" t="s">
        <v>1225</v>
      </c>
      <c r="BV293" s="32" t="s">
        <v>1225</v>
      </c>
      <c r="BW293" s="32" t="str">
        <f t="shared" si="8"/>
        <v>View Full Record in Web of Science</v>
      </c>
      <c r="BY293" s="41" t="str">
        <f>IF(Deletion!J293=TRUE,"Yes","No")</f>
        <v>Yes</v>
      </c>
    </row>
    <row r="294" spans="1:77" x14ac:dyDescent="0.15">
      <c r="A294" s="32">
        <f t="shared" si="9"/>
        <v>293</v>
      </c>
      <c r="D294" s="32" t="s">
        <v>1223</v>
      </c>
      <c r="E294" s="32" t="s">
        <v>3225</v>
      </c>
      <c r="F294" s="32" t="s">
        <v>1225</v>
      </c>
      <c r="G294" s="32" t="s">
        <v>1225</v>
      </c>
      <c r="H294" s="32" t="s">
        <v>1225</v>
      </c>
      <c r="I294" s="32" t="s">
        <v>3226</v>
      </c>
      <c r="J294" s="32" t="s">
        <v>1225</v>
      </c>
      <c r="K294" s="32" t="s">
        <v>1225</v>
      </c>
      <c r="L294" s="32" t="s">
        <v>3227</v>
      </c>
      <c r="M294" s="32" t="s">
        <v>124</v>
      </c>
      <c r="N294" s="32" t="s">
        <v>1225</v>
      </c>
      <c r="O294" s="32" t="s">
        <v>1225</v>
      </c>
      <c r="P294" s="32" t="s">
        <v>1225</v>
      </c>
      <c r="Q294" s="32" t="s">
        <v>1227</v>
      </c>
      <c r="R294" s="32" t="s">
        <v>1225</v>
      </c>
      <c r="S294" s="32" t="s">
        <v>1225</v>
      </c>
      <c r="T294" s="32" t="s">
        <v>1225</v>
      </c>
      <c r="U294" s="32" t="s">
        <v>1225</v>
      </c>
      <c r="V294" s="32" t="s">
        <v>1225</v>
      </c>
      <c r="W294" s="32" t="s">
        <v>3228</v>
      </c>
      <c r="X294" s="32" t="s">
        <v>1225</v>
      </c>
      <c r="Y294" s="32" t="s">
        <v>3229</v>
      </c>
      <c r="Z294" s="32" t="s">
        <v>1225</v>
      </c>
      <c r="AA294" s="32" t="s">
        <v>1225</v>
      </c>
      <c r="AB294" s="32" t="s">
        <v>1225</v>
      </c>
      <c r="AC294" s="32" t="s">
        <v>1225</v>
      </c>
      <c r="AD294" s="32" t="s">
        <v>1225</v>
      </c>
      <c r="AE294" s="32" t="s">
        <v>1225</v>
      </c>
      <c r="AF294" s="32" t="s">
        <v>1225</v>
      </c>
      <c r="AG294" s="32" t="s">
        <v>1225</v>
      </c>
      <c r="AH294" s="32" t="s">
        <v>1225</v>
      </c>
      <c r="AI294" s="32" t="s">
        <v>1225</v>
      </c>
      <c r="AJ294" s="32" t="s">
        <v>1225</v>
      </c>
      <c r="AK294" s="32" t="s">
        <v>1225</v>
      </c>
      <c r="AL294" s="32" t="s">
        <v>1225</v>
      </c>
      <c r="AM294" s="32" t="s">
        <v>1225</v>
      </c>
      <c r="AN294" s="32" t="s">
        <v>1225</v>
      </c>
      <c r="AO294" s="32" t="s">
        <v>1225</v>
      </c>
      <c r="AP294" s="32" t="s">
        <v>1225</v>
      </c>
      <c r="AQ294" s="32" t="s">
        <v>1225</v>
      </c>
      <c r="AR294" s="32" t="s">
        <v>1225</v>
      </c>
      <c r="AS294" s="32" t="s">
        <v>1225</v>
      </c>
      <c r="AT294" s="32" t="s">
        <v>1225</v>
      </c>
      <c r="AU294" s="32" t="s">
        <v>1225</v>
      </c>
      <c r="AV294" s="32" t="s">
        <v>1225</v>
      </c>
      <c r="AW294" s="32" t="s">
        <v>1298</v>
      </c>
      <c r="AX294" s="32">
        <v>2021</v>
      </c>
      <c r="AY294" s="32">
        <v>12</v>
      </c>
      <c r="AZ294" s="32">
        <v>5</v>
      </c>
      <c r="BA294" s="32" t="s">
        <v>1225</v>
      </c>
      <c r="BB294" s="32" t="s">
        <v>1225</v>
      </c>
      <c r="BC294" s="32" t="s">
        <v>1225</v>
      </c>
      <c r="BD294" s="32" t="s">
        <v>1225</v>
      </c>
      <c r="BE294" s="32">
        <v>4339</v>
      </c>
      <c r="BF294" s="32">
        <v>4350</v>
      </c>
      <c r="BG294" s="32" t="s">
        <v>1225</v>
      </c>
      <c r="BH294" s="32" t="s">
        <v>3230</v>
      </c>
      <c r="BI294" s="32" t="str">
        <f>HYPERLINK("http://dx.doi.org/10.1109/TSG.2021.3074437","http://dx.doi.org/10.1109/TSG.2021.3074437")</f>
        <v>http://dx.doi.org/10.1109/TSG.2021.3074437</v>
      </c>
      <c r="BJ294" s="32" t="s">
        <v>1225</v>
      </c>
      <c r="BK294" s="32" t="s">
        <v>1225</v>
      </c>
      <c r="BL294" s="32" t="s">
        <v>1225</v>
      </c>
      <c r="BM294" s="32" t="s">
        <v>1225</v>
      </c>
      <c r="BN294" s="32" t="s">
        <v>1225</v>
      </c>
      <c r="BO294" s="32" t="s">
        <v>1225</v>
      </c>
      <c r="BP294" s="32" t="s">
        <v>1225</v>
      </c>
      <c r="BQ294" s="32" t="s">
        <v>1225</v>
      </c>
      <c r="BR294" s="32" t="s">
        <v>1225</v>
      </c>
      <c r="BS294" s="32" t="s">
        <v>1225</v>
      </c>
      <c r="BT294" s="32" t="s">
        <v>1225</v>
      </c>
      <c r="BU294" s="32" t="s">
        <v>1225</v>
      </c>
      <c r="BV294" s="32" t="s">
        <v>1225</v>
      </c>
      <c r="BW294" s="32" t="str">
        <f t="shared" si="8"/>
        <v>View Full Record in Web of Science</v>
      </c>
      <c r="BY294" s="41" t="str">
        <f>IF(Deletion!J294=TRUE,"Yes","No")</f>
        <v>Yes</v>
      </c>
    </row>
    <row r="295" spans="1:77" x14ac:dyDescent="0.15">
      <c r="A295" s="32">
        <f t="shared" si="9"/>
        <v>294</v>
      </c>
      <c r="D295" s="32" t="s">
        <v>1223</v>
      </c>
      <c r="E295" s="32" t="s">
        <v>3231</v>
      </c>
      <c r="F295" s="32" t="s">
        <v>1225</v>
      </c>
      <c r="G295" s="32" t="s">
        <v>1225</v>
      </c>
      <c r="H295" s="32" t="s">
        <v>1225</v>
      </c>
      <c r="I295" s="32" t="s">
        <v>3232</v>
      </c>
      <c r="J295" s="32" t="s">
        <v>1225</v>
      </c>
      <c r="K295" s="32" t="s">
        <v>1225</v>
      </c>
      <c r="L295" s="32" t="s">
        <v>3233</v>
      </c>
      <c r="M295" s="32" t="s">
        <v>1634</v>
      </c>
      <c r="N295" s="32" t="s">
        <v>1225</v>
      </c>
      <c r="O295" s="32" t="s">
        <v>1225</v>
      </c>
      <c r="P295" s="32" t="s">
        <v>1225</v>
      </c>
      <c r="Q295" s="32" t="s">
        <v>1227</v>
      </c>
      <c r="R295" s="32" t="s">
        <v>1225</v>
      </c>
      <c r="S295" s="32" t="s">
        <v>1225</v>
      </c>
      <c r="T295" s="32" t="s">
        <v>1225</v>
      </c>
      <c r="U295" s="32" t="s">
        <v>1225</v>
      </c>
      <c r="V295" s="32" t="s">
        <v>1225</v>
      </c>
      <c r="W295" s="32" t="s">
        <v>3234</v>
      </c>
      <c r="X295" s="32" t="s">
        <v>1225</v>
      </c>
      <c r="Y295" s="32" t="s">
        <v>3235</v>
      </c>
      <c r="Z295" s="32" t="s">
        <v>1225</v>
      </c>
      <c r="AA295" s="32" t="s">
        <v>1225</v>
      </c>
      <c r="AB295" s="32" t="s">
        <v>1225</v>
      </c>
      <c r="AC295" s="32" t="s">
        <v>1225</v>
      </c>
      <c r="AD295" s="32" t="s">
        <v>1225</v>
      </c>
      <c r="AE295" s="32" t="s">
        <v>1225</v>
      </c>
      <c r="AF295" s="32" t="s">
        <v>1225</v>
      </c>
      <c r="AG295" s="32" t="s">
        <v>1225</v>
      </c>
      <c r="AH295" s="32" t="s">
        <v>1225</v>
      </c>
      <c r="AI295" s="32" t="s">
        <v>1225</v>
      </c>
      <c r="AJ295" s="32" t="s">
        <v>1225</v>
      </c>
      <c r="AK295" s="32" t="s">
        <v>1225</v>
      </c>
      <c r="AL295" s="32" t="s">
        <v>1225</v>
      </c>
      <c r="AM295" s="32" t="s">
        <v>1225</v>
      </c>
      <c r="AN295" s="32" t="s">
        <v>1225</v>
      </c>
      <c r="AO295" s="32" t="s">
        <v>1225</v>
      </c>
      <c r="AP295" s="32" t="s">
        <v>1225</v>
      </c>
      <c r="AQ295" s="32" t="s">
        <v>1225</v>
      </c>
      <c r="AR295" s="32" t="s">
        <v>1225</v>
      </c>
      <c r="AS295" s="32" t="s">
        <v>1225</v>
      </c>
      <c r="AT295" s="32" t="s">
        <v>1225</v>
      </c>
      <c r="AU295" s="32" t="s">
        <v>1225</v>
      </c>
      <c r="AV295" s="32" t="s">
        <v>1225</v>
      </c>
      <c r="AW295" s="32" t="s">
        <v>1276</v>
      </c>
      <c r="AX295" s="32">
        <v>2019</v>
      </c>
      <c r="AY295" s="32">
        <v>9</v>
      </c>
      <c r="AZ295" s="32">
        <v>20</v>
      </c>
      <c r="BA295" s="32" t="s">
        <v>1225</v>
      </c>
      <c r="BB295" s="32" t="s">
        <v>1225</v>
      </c>
      <c r="BC295" s="32" t="s">
        <v>1225</v>
      </c>
      <c r="BD295" s="32" t="s">
        <v>1225</v>
      </c>
      <c r="BE295" s="32" t="s">
        <v>1225</v>
      </c>
      <c r="BF295" s="32" t="s">
        <v>1225</v>
      </c>
      <c r="BG295" s="32">
        <v>4337</v>
      </c>
      <c r="BH295" s="32" t="s">
        <v>3236</v>
      </c>
      <c r="BI295" s="32" t="str">
        <f>HYPERLINK("http://dx.doi.org/10.3390/app9204337","http://dx.doi.org/10.3390/app9204337")</f>
        <v>http://dx.doi.org/10.3390/app9204337</v>
      </c>
      <c r="BJ295" s="32" t="s">
        <v>1225</v>
      </c>
      <c r="BK295" s="32" t="s">
        <v>1225</v>
      </c>
      <c r="BL295" s="32" t="s">
        <v>1225</v>
      </c>
      <c r="BM295" s="32" t="s">
        <v>1225</v>
      </c>
      <c r="BN295" s="32" t="s">
        <v>1225</v>
      </c>
      <c r="BO295" s="32" t="s">
        <v>1225</v>
      </c>
      <c r="BP295" s="32" t="s">
        <v>1225</v>
      </c>
      <c r="BQ295" s="32" t="s">
        <v>1225</v>
      </c>
      <c r="BR295" s="32" t="s">
        <v>1225</v>
      </c>
      <c r="BS295" s="32" t="s">
        <v>1225</v>
      </c>
      <c r="BT295" s="32" t="s">
        <v>1225</v>
      </c>
      <c r="BU295" s="32" t="s">
        <v>1225</v>
      </c>
      <c r="BV295" s="32" t="s">
        <v>1225</v>
      </c>
      <c r="BW295" s="32" t="str">
        <f t="shared" si="8"/>
        <v>View Full Record in Web of Science</v>
      </c>
      <c r="BY295" s="41" t="str">
        <f>IF(Deletion!J295=TRUE,"Yes","No")</f>
        <v>Yes</v>
      </c>
    </row>
    <row r="296" spans="1:77" x14ac:dyDescent="0.15">
      <c r="A296" s="32">
        <f t="shared" si="9"/>
        <v>295</v>
      </c>
      <c r="D296" s="32" t="s">
        <v>1223</v>
      </c>
      <c r="E296" s="32" t="s">
        <v>3237</v>
      </c>
      <c r="F296" s="32" t="s">
        <v>1225</v>
      </c>
      <c r="G296" s="32" t="s">
        <v>1225</v>
      </c>
      <c r="H296" s="32" t="s">
        <v>1225</v>
      </c>
      <c r="I296" s="32" t="s">
        <v>3238</v>
      </c>
      <c r="J296" s="32" t="s">
        <v>1225</v>
      </c>
      <c r="K296" s="32" t="s">
        <v>1225</v>
      </c>
      <c r="L296" s="32" t="s">
        <v>3239</v>
      </c>
      <c r="M296" s="32" t="s">
        <v>3240</v>
      </c>
      <c r="N296" s="32" t="s">
        <v>1225</v>
      </c>
      <c r="O296" s="32" t="s">
        <v>1225</v>
      </c>
      <c r="P296" s="32" t="s">
        <v>1225</v>
      </c>
      <c r="Q296" s="32" t="s">
        <v>1227</v>
      </c>
      <c r="R296" s="32" t="s">
        <v>1225</v>
      </c>
      <c r="S296" s="32" t="s">
        <v>1225</v>
      </c>
      <c r="T296" s="32" t="s">
        <v>1225</v>
      </c>
      <c r="U296" s="32" t="s">
        <v>1225</v>
      </c>
      <c r="V296" s="32" t="s">
        <v>1225</v>
      </c>
      <c r="W296" s="32" t="s">
        <v>3241</v>
      </c>
      <c r="X296" s="32" t="s">
        <v>3242</v>
      </c>
      <c r="Y296" s="32" t="s">
        <v>3243</v>
      </c>
      <c r="Z296" s="32" t="s">
        <v>1225</v>
      </c>
      <c r="AA296" s="32" t="s">
        <v>1225</v>
      </c>
      <c r="AB296" s="32" t="s">
        <v>1225</v>
      </c>
      <c r="AC296" s="32" t="s">
        <v>1225</v>
      </c>
      <c r="AD296" s="32" t="s">
        <v>1225</v>
      </c>
      <c r="AE296" s="32" t="s">
        <v>1225</v>
      </c>
      <c r="AF296" s="32" t="s">
        <v>1225</v>
      </c>
      <c r="AG296" s="32" t="s">
        <v>1225</v>
      </c>
      <c r="AH296" s="32" t="s">
        <v>1225</v>
      </c>
      <c r="AI296" s="32" t="s">
        <v>1225</v>
      </c>
      <c r="AJ296" s="32" t="s">
        <v>1225</v>
      </c>
      <c r="AK296" s="32" t="s">
        <v>1225</v>
      </c>
      <c r="AL296" s="32" t="s">
        <v>1225</v>
      </c>
      <c r="AM296" s="32" t="s">
        <v>1225</v>
      </c>
      <c r="AN296" s="32" t="s">
        <v>1225</v>
      </c>
      <c r="AO296" s="32" t="s">
        <v>1225</v>
      </c>
      <c r="AP296" s="32" t="s">
        <v>1225</v>
      </c>
      <c r="AQ296" s="32" t="s">
        <v>1225</v>
      </c>
      <c r="AR296" s="32" t="s">
        <v>1225</v>
      </c>
      <c r="AS296" s="32" t="s">
        <v>1225</v>
      </c>
      <c r="AT296" s="32" t="s">
        <v>1225</v>
      </c>
      <c r="AU296" s="32" t="s">
        <v>1225</v>
      </c>
      <c r="AV296" s="32" t="s">
        <v>1225</v>
      </c>
      <c r="AW296" s="32" t="s">
        <v>1726</v>
      </c>
      <c r="AX296" s="32">
        <v>2022</v>
      </c>
      <c r="AY296" s="32">
        <v>48</v>
      </c>
      <c r="AZ296" s="32" t="s">
        <v>1225</v>
      </c>
      <c r="BA296" s="32" t="s">
        <v>1225</v>
      </c>
      <c r="BB296" s="32" t="s">
        <v>1225</v>
      </c>
      <c r="BC296" s="32" t="s">
        <v>1225</v>
      </c>
      <c r="BD296" s="32" t="s">
        <v>1225</v>
      </c>
      <c r="BE296" s="32" t="s">
        <v>1225</v>
      </c>
      <c r="BF296" s="32" t="s">
        <v>1225</v>
      </c>
      <c r="BG296" s="32">
        <v>103806</v>
      </c>
      <c r="BH296" s="32" t="s">
        <v>3244</v>
      </c>
      <c r="BI296" s="32" t="str">
        <f>HYPERLINK("http://dx.doi.org/10.1016/j.est.2021.103806","http://dx.doi.org/10.1016/j.est.2021.103806")</f>
        <v>http://dx.doi.org/10.1016/j.est.2021.103806</v>
      </c>
      <c r="BJ296" s="32" t="s">
        <v>1225</v>
      </c>
      <c r="BK296" s="32" t="s">
        <v>1225</v>
      </c>
      <c r="BL296" s="32" t="s">
        <v>1225</v>
      </c>
      <c r="BM296" s="32" t="s">
        <v>1225</v>
      </c>
      <c r="BN296" s="32" t="s">
        <v>1225</v>
      </c>
      <c r="BO296" s="32" t="s">
        <v>1225</v>
      </c>
      <c r="BP296" s="32" t="s">
        <v>1225</v>
      </c>
      <c r="BQ296" s="32" t="s">
        <v>1225</v>
      </c>
      <c r="BR296" s="32" t="s">
        <v>1225</v>
      </c>
      <c r="BS296" s="32" t="s">
        <v>1225</v>
      </c>
      <c r="BT296" s="32" t="s">
        <v>1225</v>
      </c>
      <c r="BU296" s="32" t="s">
        <v>1225</v>
      </c>
      <c r="BV296" s="32" t="s">
        <v>1225</v>
      </c>
      <c r="BW296" s="32" t="str">
        <f t="shared" si="8"/>
        <v>View Full Record in Web of Science</v>
      </c>
      <c r="BY296" s="41" t="str">
        <f>IF(Deletion!J296=TRUE,"Yes","No")</f>
        <v>Yes</v>
      </c>
    </row>
    <row r="297" spans="1:77" x14ac:dyDescent="0.15">
      <c r="A297" s="34">
        <f t="shared" si="9"/>
        <v>296</v>
      </c>
      <c r="B297" s="34" t="s">
        <v>4</v>
      </c>
      <c r="C297" s="34" t="s">
        <v>4</v>
      </c>
      <c r="D297" s="34" t="s">
        <v>1223</v>
      </c>
      <c r="E297" s="34" t="s">
        <v>3245</v>
      </c>
      <c r="F297" s="32" t="s">
        <v>1225</v>
      </c>
      <c r="G297" s="32" t="s">
        <v>1225</v>
      </c>
      <c r="H297" s="32" t="s">
        <v>1225</v>
      </c>
      <c r="I297" s="34" t="s">
        <v>3246</v>
      </c>
      <c r="J297" s="32" t="s">
        <v>1225</v>
      </c>
      <c r="K297" s="32" t="s">
        <v>1225</v>
      </c>
      <c r="L297" s="34" t="s">
        <v>3247</v>
      </c>
      <c r="M297" s="34" t="s">
        <v>3248</v>
      </c>
      <c r="N297" s="32" t="s">
        <v>1225</v>
      </c>
      <c r="O297" s="32" t="s">
        <v>1225</v>
      </c>
      <c r="P297" s="32" t="s">
        <v>1225</v>
      </c>
      <c r="Q297" s="34" t="s">
        <v>1227</v>
      </c>
      <c r="R297" s="32" t="s">
        <v>1225</v>
      </c>
      <c r="S297" s="32" t="s">
        <v>1225</v>
      </c>
      <c r="T297" s="32" t="s">
        <v>1225</v>
      </c>
      <c r="U297" s="32" t="s">
        <v>1225</v>
      </c>
      <c r="V297" s="32" t="s">
        <v>1225</v>
      </c>
      <c r="W297" s="34" t="s">
        <v>3249</v>
      </c>
      <c r="X297" s="34" t="s">
        <v>1225</v>
      </c>
      <c r="Y297" s="34" t="s">
        <v>3250</v>
      </c>
      <c r="Z297" s="32" t="s">
        <v>1225</v>
      </c>
      <c r="AA297" s="32" t="s">
        <v>1225</v>
      </c>
      <c r="AB297" s="32" t="s">
        <v>1225</v>
      </c>
      <c r="AC297" s="32" t="s">
        <v>1225</v>
      </c>
      <c r="AD297" s="32" t="s">
        <v>1225</v>
      </c>
      <c r="AE297" s="32" t="s">
        <v>1225</v>
      </c>
      <c r="AF297" s="32" t="s">
        <v>1225</v>
      </c>
      <c r="AG297" s="32" t="s">
        <v>1225</v>
      </c>
      <c r="AH297" s="32" t="s">
        <v>1225</v>
      </c>
      <c r="AI297" s="32" t="s">
        <v>1225</v>
      </c>
      <c r="AJ297" s="32" t="s">
        <v>1225</v>
      </c>
      <c r="AK297" s="32" t="s">
        <v>1225</v>
      </c>
      <c r="AL297" s="32" t="s">
        <v>1225</v>
      </c>
      <c r="AM297" s="32" t="s">
        <v>1225</v>
      </c>
      <c r="AN297" s="32" t="s">
        <v>1225</v>
      </c>
      <c r="AO297" s="32" t="s">
        <v>1225</v>
      </c>
      <c r="AP297" s="32" t="s">
        <v>1225</v>
      </c>
      <c r="AQ297" s="32" t="s">
        <v>1225</v>
      </c>
      <c r="AR297" s="32" t="s">
        <v>1225</v>
      </c>
      <c r="AS297" s="32" t="s">
        <v>1225</v>
      </c>
      <c r="AT297" s="32" t="s">
        <v>1225</v>
      </c>
      <c r="AU297" s="32" t="s">
        <v>1225</v>
      </c>
      <c r="AV297" s="32" t="s">
        <v>1225</v>
      </c>
      <c r="AW297" s="34" t="s">
        <v>2642</v>
      </c>
      <c r="AX297" s="34">
        <v>2022</v>
      </c>
      <c r="AY297" s="32">
        <v>201</v>
      </c>
      <c r="AZ297" s="32" t="s">
        <v>1225</v>
      </c>
      <c r="BA297" s="32" t="s">
        <v>1225</v>
      </c>
      <c r="BB297" s="32" t="s">
        <v>1225</v>
      </c>
      <c r="BC297" s="32" t="s">
        <v>1225</v>
      </c>
      <c r="BD297" s="32" t="s">
        <v>1225</v>
      </c>
      <c r="BE297" s="32" t="s">
        <v>1225</v>
      </c>
      <c r="BF297" s="32" t="s">
        <v>1225</v>
      </c>
      <c r="BG297" s="32">
        <v>116995</v>
      </c>
      <c r="BH297" s="34" t="s">
        <v>3251</v>
      </c>
      <c r="BI297" s="34" t="str">
        <f>HYPERLINK("http://dx.doi.org/10.1016/j.eswa.2022.116995","http://dx.doi.org/10.1016/j.eswa.2022.116995")</f>
        <v>http://dx.doi.org/10.1016/j.eswa.2022.116995</v>
      </c>
      <c r="BJ297" s="32" t="s">
        <v>1225</v>
      </c>
      <c r="BK297" s="32" t="s">
        <v>1225</v>
      </c>
      <c r="BL297" s="32" t="s">
        <v>1225</v>
      </c>
      <c r="BM297" s="32" t="s">
        <v>1225</v>
      </c>
      <c r="BN297" s="32" t="s">
        <v>1225</v>
      </c>
      <c r="BO297" s="32" t="s">
        <v>1225</v>
      </c>
      <c r="BP297" s="32" t="s">
        <v>1225</v>
      </c>
      <c r="BQ297" s="32" t="s">
        <v>1225</v>
      </c>
      <c r="BR297" s="32" t="s">
        <v>1225</v>
      </c>
      <c r="BS297" s="32" t="s">
        <v>1225</v>
      </c>
      <c r="BT297" s="32" t="s">
        <v>1225</v>
      </c>
      <c r="BU297" s="32" t="s">
        <v>1225</v>
      </c>
      <c r="BV297" s="32" t="s">
        <v>1225</v>
      </c>
      <c r="BW297" s="32" t="str">
        <f t="shared" si="8"/>
        <v>View Full Record in Web of Science</v>
      </c>
      <c r="BY297" s="41" t="str">
        <f>IF(Deletion!J297=TRUE,"Yes","No")</f>
        <v>No</v>
      </c>
    </row>
    <row r="298" spans="1:77" x14ac:dyDescent="0.15">
      <c r="A298" s="32">
        <f t="shared" si="9"/>
        <v>297</v>
      </c>
      <c r="D298" s="32" t="s">
        <v>1223</v>
      </c>
      <c r="E298" s="32" t="s">
        <v>3252</v>
      </c>
      <c r="F298" s="32" t="s">
        <v>1225</v>
      </c>
      <c r="G298" s="32" t="s">
        <v>1225</v>
      </c>
      <c r="H298" s="32" t="s">
        <v>1225</v>
      </c>
      <c r="I298" s="32" t="s">
        <v>3253</v>
      </c>
      <c r="J298" s="32" t="s">
        <v>1225</v>
      </c>
      <c r="K298" s="32" t="s">
        <v>1225</v>
      </c>
      <c r="L298" s="32" t="s">
        <v>3254</v>
      </c>
      <c r="M298" s="32" t="s">
        <v>3240</v>
      </c>
      <c r="N298" s="32" t="s">
        <v>1225</v>
      </c>
      <c r="O298" s="32" t="s">
        <v>1225</v>
      </c>
      <c r="P298" s="32" t="s">
        <v>1225</v>
      </c>
      <c r="Q298" s="32" t="s">
        <v>1227</v>
      </c>
      <c r="R298" s="32" t="s">
        <v>1225</v>
      </c>
      <c r="S298" s="32" t="s">
        <v>1225</v>
      </c>
      <c r="T298" s="32" t="s">
        <v>1225</v>
      </c>
      <c r="U298" s="32" t="s">
        <v>1225</v>
      </c>
      <c r="V298" s="32" t="s">
        <v>1225</v>
      </c>
      <c r="W298" s="32" t="s">
        <v>3255</v>
      </c>
      <c r="X298" s="32" t="s">
        <v>3256</v>
      </c>
      <c r="Y298" s="32" t="s">
        <v>3257</v>
      </c>
      <c r="Z298" s="32" t="s">
        <v>1225</v>
      </c>
      <c r="AA298" s="32" t="s">
        <v>1225</v>
      </c>
      <c r="AB298" s="32" t="s">
        <v>1225</v>
      </c>
      <c r="AC298" s="32" t="s">
        <v>1225</v>
      </c>
      <c r="AD298" s="32" t="s">
        <v>1225</v>
      </c>
      <c r="AE298" s="32" t="s">
        <v>1225</v>
      </c>
      <c r="AF298" s="32" t="s">
        <v>1225</v>
      </c>
      <c r="AG298" s="32" t="s">
        <v>1225</v>
      </c>
      <c r="AH298" s="32" t="s">
        <v>1225</v>
      </c>
      <c r="AI298" s="32" t="s">
        <v>1225</v>
      </c>
      <c r="AJ298" s="32" t="s">
        <v>1225</v>
      </c>
      <c r="AK298" s="32" t="s">
        <v>1225</v>
      </c>
      <c r="AL298" s="32" t="s">
        <v>1225</v>
      </c>
      <c r="AM298" s="32" t="s">
        <v>1225</v>
      </c>
      <c r="AN298" s="32" t="s">
        <v>1225</v>
      </c>
      <c r="AO298" s="32" t="s">
        <v>1225</v>
      </c>
      <c r="AP298" s="32" t="s">
        <v>1225</v>
      </c>
      <c r="AQ298" s="32" t="s">
        <v>1225</v>
      </c>
      <c r="AR298" s="32" t="s">
        <v>1225</v>
      </c>
      <c r="AS298" s="32" t="s">
        <v>1225</v>
      </c>
      <c r="AT298" s="32" t="s">
        <v>1225</v>
      </c>
      <c r="AU298" s="32" t="s">
        <v>1225</v>
      </c>
      <c r="AV298" s="32" t="s">
        <v>1225</v>
      </c>
      <c r="AW298" s="32" t="s">
        <v>1272</v>
      </c>
      <c r="AX298" s="32">
        <v>2021</v>
      </c>
      <c r="AY298" s="32">
        <v>35</v>
      </c>
      <c r="AZ298" s="32" t="s">
        <v>1225</v>
      </c>
      <c r="BA298" s="32" t="s">
        <v>1225</v>
      </c>
      <c r="BB298" s="32" t="s">
        <v>1225</v>
      </c>
      <c r="BC298" s="32" t="s">
        <v>1225</v>
      </c>
      <c r="BD298" s="32" t="s">
        <v>1225</v>
      </c>
      <c r="BE298" s="32" t="s">
        <v>1225</v>
      </c>
      <c r="BF298" s="32" t="s">
        <v>1225</v>
      </c>
      <c r="BG298" s="32">
        <v>102245</v>
      </c>
      <c r="BH298" s="32" t="s">
        <v>3258</v>
      </c>
      <c r="BI298" s="32" t="str">
        <f>HYPERLINK("http://dx.doi.org/10.1016/j.est.2021.102245","http://dx.doi.org/10.1016/j.est.2021.102245")</f>
        <v>http://dx.doi.org/10.1016/j.est.2021.102245</v>
      </c>
      <c r="BJ298" s="32" t="s">
        <v>1225</v>
      </c>
      <c r="BK298" s="32" t="s">
        <v>1679</v>
      </c>
      <c r="BL298" s="32" t="s">
        <v>1225</v>
      </c>
      <c r="BM298" s="32" t="s">
        <v>1225</v>
      </c>
      <c r="BN298" s="32" t="s">
        <v>1225</v>
      </c>
      <c r="BO298" s="32" t="s">
        <v>1225</v>
      </c>
      <c r="BP298" s="32" t="s">
        <v>1225</v>
      </c>
      <c r="BQ298" s="32" t="s">
        <v>1225</v>
      </c>
      <c r="BR298" s="32" t="s">
        <v>1225</v>
      </c>
      <c r="BS298" s="32" t="s">
        <v>1225</v>
      </c>
      <c r="BT298" s="32" t="s">
        <v>1225</v>
      </c>
      <c r="BU298" s="32" t="s">
        <v>1225</v>
      </c>
      <c r="BV298" s="32" t="s">
        <v>1225</v>
      </c>
      <c r="BW298" s="32" t="str">
        <f t="shared" si="8"/>
        <v>View Full Record in Web of Science</v>
      </c>
      <c r="BY298" s="41" t="str">
        <f>IF(Deletion!J298=TRUE,"Yes","No")</f>
        <v>Yes</v>
      </c>
    </row>
    <row r="299" spans="1:77" x14ac:dyDescent="0.15">
      <c r="A299" s="32">
        <f t="shared" si="9"/>
        <v>298</v>
      </c>
      <c r="D299" s="32" t="s">
        <v>1223</v>
      </c>
      <c r="E299" s="32" t="s">
        <v>3259</v>
      </c>
      <c r="F299" s="32" t="s">
        <v>1225</v>
      </c>
      <c r="G299" s="32" t="s">
        <v>1225</v>
      </c>
      <c r="H299" s="32" t="s">
        <v>1225</v>
      </c>
      <c r="I299" s="32" t="s">
        <v>3260</v>
      </c>
      <c r="J299" s="32" t="s">
        <v>1225</v>
      </c>
      <c r="K299" s="32" t="s">
        <v>1225</v>
      </c>
      <c r="L299" s="32" t="s">
        <v>3261</v>
      </c>
      <c r="M299" s="32" t="s">
        <v>2164</v>
      </c>
      <c r="N299" s="32" t="s">
        <v>1225</v>
      </c>
      <c r="O299" s="32" t="s">
        <v>1225</v>
      </c>
      <c r="P299" s="32" t="s">
        <v>1225</v>
      </c>
      <c r="Q299" s="32" t="s">
        <v>1227</v>
      </c>
      <c r="R299" s="32" t="s">
        <v>1225</v>
      </c>
      <c r="S299" s="32" t="s">
        <v>1225</v>
      </c>
      <c r="T299" s="32" t="s">
        <v>1225</v>
      </c>
      <c r="U299" s="32" t="s">
        <v>1225</v>
      </c>
      <c r="V299" s="32" t="s">
        <v>1225</v>
      </c>
      <c r="W299" s="32" t="s">
        <v>3262</v>
      </c>
      <c r="X299" s="32" t="s">
        <v>3015</v>
      </c>
      <c r="Y299" s="32" t="s">
        <v>3263</v>
      </c>
      <c r="Z299" s="32" t="s">
        <v>1225</v>
      </c>
      <c r="AA299" s="32" t="s">
        <v>1225</v>
      </c>
      <c r="AB299" s="32" t="s">
        <v>1225</v>
      </c>
      <c r="AC299" s="32" t="s">
        <v>1225</v>
      </c>
      <c r="AD299" s="32" t="s">
        <v>1225</v>
      </c>
      <c r="AE299" s="32" t="s">
        <v>1225</v>
      </c>
      <c r="AF299" s="32" t="s">
        <v>1225</v>
      </c>
      <c r="AG299" s="32" t="s">
        <v>1225</v>
      </c>
      <c r="AH299" s="32" t="s">
        <v>1225</v>
      </c>
      <c r="AI299" s="32" t="s">
        <v>1225</v>
      </c>
      <c r="AJ299" s="32" t="s">
        <v>1225</v>
      </c>
      <c r="AK299" s="32" t="s">
        <v>1225</v>
      </c>
      <c r="AL299" s="32" t="s">
        <v>1225</v>
      </c>
      <c r="AM299" s="32" t="s">
        <v>1225</v>
      </c>
      <c r="AN299" s="32" t="s">
        <v>1225</v>
      </c>
      <c r="AO299" s="32" t="s">
        <v>1225</v>
      </c>
      <c r="AP299" s="32" t="s">
        <v>1225</v>
      </c>
      <c r="AQ299" s="32" t="s">
        <v>1225</v>
      </c>
      <c r="AR299" s="32" t="s">
        <v>1225</v>
      </c>
      <c r="AS299" s="32" t="s">
        <v>1225</v>
      </c>
      <c r="AT299" s="32" t="s">
        <v>1225</v>
      </c>
      <c r="AU299" s="32" t="s">
        <v>1225</v>
      </c>
      <c r="AV299" s="32" t="s">
        <v>1225</v>
      </c>
      <c r="AW299" s="32" t="s">
        <v>1465</v>
      </c>
      <c r="AX299" s="32">
        <v>2019</v>
      </c>
      <c r="AY299" s="32">
        <v>6</v>
      </c>
      <c r="AZ299" s="32">
        <v>1</v>
      </c>
      <c r="BA299" s="32" t="s">
        <v>1225</v>
      </c>
      <c r="BB299" s="32" t="s">
        <v>1225</v>
      </c>
      <c r="BC299" s="32" t="s">
        <v>1225</v>
      </c>
      <c r="BD299" s="32" t="s">
        <v>1225</v>
      </c>
      <c r="BE299" s="32">
        <v>136</v>
      </c>
      <c r="BF299" s="32">
        <v>148</v>
      </c>
      <c r="BG299" s="32" t="s">
        <v>1225</v>
      </c>
      <c r="BH299" s="32" t="s">
        <v>3264</v>
      </c>
      <c r="BI299" s="32" t="str">
        <f>HYPERLINK("http://dx.doi.org/10.1109/JIOT.2018.2876004","http://dx.doi.org/10.1109/JIOT.2018.2876004")</f>
        <v>http://dx.doi.org/10.1109/JIOT.2018.2876004</v>
      </c>
      <c r="BJ299" s="32" t="s">
        <v>1225</v>
      </c>
      <c r="BK299" s="32" t="s">
        <v>1225</v>
      </c>
      <c r="BL299" s="32" t="s">
        <v>1225</v>
      </c>
      <c r="BM299" s="32" t="s">
        <v>1225</v>
      </c>
      <c r="BN299" s="32" t="s">
        <v>1225</v>
      </c>
      <c r="BO299" s="32" t="s">
        <v>1225</v>
      </c>
      <c r="BP299" s="32" t="s">
        <v>1225</v>
      </c>
      <c r="BQ299" s="32" t="s">
        <v>1225</v>
      </c>
      <c r="BR299" s="32" t="s">
        <v>1225</v>
      </c>
      <c r="BS299" s="32" t="s">
        <v>1225</v>
      </c>
      <c r="BT299" s="32" t="s">
        <v>1225</v>
      </c>
      <c r="BU299" s="32" t="s">
        <v>1225</v>
      </c>
      <c r="BV299" s="32" t="s">
        <v>1225</v>
      </c>
      <c r="BW299" s="32" t="str">
        <f t="shared" si="8"/>
        <v>View Full Record in Web of Science</v>
      </c>
      <c r="BY299" s="41" t="str">
        <f>IF(Deletion!J299=TRUE,"Yes","No")</f>
        <v>Yes</v>
      </c>
    </row>
    <row r="300" spans="1:77" x14ac:dyDescent="0.15">
      <c r="A300" s="34">
        <f t="shared" si="9"/>
        <v>299</v>
      </c>
      <c r="B300" s="34" t="s">
        <v>4</v>
      </c>
      <c r="C300" s="34" t="s">
        <v>4</v>
      </c>
      <c r="D300" s="34" t="s">
        <v>1223</v>
      </c>
      <c r="E300" s="34" t="s">
        <v>3265</v>
      </c>
      <c r="F300" s="32" t="s">
        <v>1225</v>
      </c>
      <c r="G300" s="32" t="s">
        <v>1225</v>
      </c>
      <c r="H300" s="32" t="s">
        <v>1225</v>
      </c>
      <c r="I300" s="34" t="s">
        <v>3266</v>
      </c>
      <c r="J300" s="32" t="s">
        <v>1225</v>
      </c>
      <c r="K300" s="32" t="s">
        <v>1225</v>
      </c>
      <c r="L300" s="34" t="s">
        <v>3267</v>
      </c>
      <c r="M300" s="34" t="s">
        <v>3268</v>
      </c>
      <c r="N300" s="32" t="s">
        <v>1225</v>
      </c>
      <c r="O300" s="32" t="s">
        <v>1225</v>
      </c>
      <c r="P300" s="32" t="s">
        <v>1225</v>
      </c>
      <c r="Q300" s="34" t="s">
        <v>1227</v>
      </c>
      <c r="R300" s="32" t="s">
        <v>1225</v>
      </c>
      <c r="S300" s="32" t="s">
        <v>1225</v>
      </c>
      <c r="T300" s="32" t="s">
        <v>1225</v>
      </c>
      <c r="U300" s="32" t="s">
        <v>1225</v>
      </c>
      <c r="V300" s="32" t="s">
        <v>1225</v>
      </c>
      <c r="W300" s="34" t="s">
        <v>3269</v>
      </c>
      <c r="X300" s="34" t="s">
        <v>1518</v>
      </c>
      <c r="Y300" s="34" t="s">
        <v>3270</v>
      </c>
      <c r="Z300" s="32" t="s">
        <v>1225</v>
      </c>
      <c r="AA300" s="32" t="s">
        <v>1225</v>
      </c>
      <c r="AB300" s="32" t="s">
        <v>1225</v>
      </c>
      <c r="AC300" s="32" t="s">
        <v>1225</v>
      </c>
      <c r="AD300" s="32" t="s">
        <v>1225</v>
      </c>
      <c r="AE300" s="32" t="s">
        <v>1225</v>
      </c>
      <c r="AF300" s="32" t="s">
        <v>1225</v>
      </c>
      <c r="AG300" s="32" t="s">
        <v>1225</v>
      </c>
      <c r="AH300" s="32" t="s">
        <v>1225</v>
      </c>
      <c r="AI300" s="32" t="s">
        <v>1225</v>
      </c>
      <c r="AJ300" s="32" t="s">
        <v>1225</v>
      </c>
      <c r="AK300" s="32" t="s">
        <v>1225</v>
      </c>
      <c r="AL300" s="32" t="s">
        <v>1225</v>
      </c>
      <c r="AM300" s="32" t="s">
        <v>1225</v>
      </c>
      <c r="AN300" s="32" t="s">
        <v>1225</v>
      </c>
      <c r="AO300" s="32" t="s">
        <v>1225</v>
      </c>
      <c r="AP300" s="32" t="s">
        <v>1225</v>
      </c>
      <c r="AQ300" s="32" t="s">
        <v>1225</v>
      </c>
      <c r="AR300" s="32" t="s">
        <v>1225</v>
      </c>
      <c r="AS300" s="32" t="s">
        <v>1225</v>
      </c>
      <c r="AT300" s="32" t="s">
        <v>1225</v>
      </c>
      <c r="AU300" s="32" t="s">
        <v>1225</v>
      </c>
      <c r="AV300" s="32" t="s">
        <v>1225</v>
      </c>
      <c r="AW300" s="34" t="s">
        <v>1225</v>
      </c>
      <c r="AX300" s="34">
        <v>2021</v>
      </c>
      <c r="AY300" s="32">
        <v>83</v>
      </c>
      <c r="AZ300" s="32">
        <v>2</v>
      </c>
      <c r="BA300" s="32" t="s">
        <v>1225</v>
      </c>
      <c r="BB300" s="32" t="s">
        <v>1225</v>
      </c>
      <c r="BC300" s="32" t="s">
        <v>1225</v>
      </c>
      <c r="BD300" s="32" t="s">
        <v>1225</v>
      </c>
      <c r="BE300" s="32">
        <v>283</v>
      </c>
      <c r="BF300" s="32">
        <v>294</v>
      </c>
      <c r="BG300" s="32" t="s">
        <v>1225</v>
      </c>
      <c r="BH300" s="34" t="s">
        <v>1225</v>
      </c>
      <c r="BI300" s="34" t="s">
        <v>1225</v>
      </c>
      <c r="BJ300" s="32" t="s">
        <v>1225</v>
      </c>
      <c r="BK300" s="32" t="s">
        <v>1225</v>
      </c>
      <c r="BL300" s="32" t="s">
        <v>1225</v>
      </c>
      <c r="BM300" s="32" t="s">
        <v>1225</v>
      </c>
      <c r="BN300" s="32" t="s">
        <v>1225</v>
      </c>
      <c r="BO300" s="32" t="s">
        <v>1225</v>
      </c>
      <c r="BP300" s="32" t="s">
        <v>1225</v>
      </c>
      <c r="BQ300" s="32" t="s">
        <v>1225</v>
      </c>
      <c r="BR300" s="32" t="s">
        <v>1225</v>
      </c>
      <c r="BS300" s="32" t="s">
        <v>1225</v>
      </c>
      <c r="BT300" s="32" t="s">
        <v>1225</v>
      </c>
      <c r="BU300" s="32" t="s">
        <v>1225</v>
      </c>
      <c r="BV300" s="32" t="s">
        <v>1225</v>
      </c>
      <c r="BW300" s="32" t="str">
        <f t="shared" si="8"/>
        <v>View Full Record in Web of Science</v>
      </c>
      <c r="BY300" s="41" t="str">
        <f>IF(Deletion!J300=TRUE,"Yes","No")</f>
        <v>No</v>
      </c>
    </row>
    <row r="301" spans="1:77" x14ac:dyDescent="0.15">
      <c r="A301" s="34">
        <f t="shared" si="9"/>
        <v>300</v>
      </c>
      <c r="B301" s="34" t="s">
        <v>4</v>
      </c>
      <c r="C301" s="34" t="s">
        <v>4</v>
      </c>
      <c r="D301" s="34" t="s">
        <v>1223</v>
      </c>
      <c r="E301" s="34" t="s">
        <v>3271</v>
      </c>
      <c r="F301" s="32" t="s">
        <v>1225</v>
      </c>
      <c r="G301" s="32" t="s">
        <v>1225</v>
      </c>
      <c r="H301" s="32" t="s">
        <v>1225</v>
      </c>
      <c r="I301" s="34" t="s">
        <v>3272</v>
      </c>
      <c r="J301" s="32" t="s">
        <v>1225</v>
      </c>
      <c r="K301" s="32" t="s">
        <v>1225</v>
      </c>
      <c r="L301" s="34" t="s">
        <v>3273</v>
      </c>
      <c r="M301" s="34" t="s">
        <v>3274</v>
      </c>
      <c r="N301" s="32" t="s">
        <v>1225</v>
      </c>
      <c r="O301" s="32" t="s">
        <v>1225</v>
      </c>
      <c r="P301" s="32" t="s">
        <v>1225</v>
      </c>
      <c r="Q301" s="34" t="s">
        <v>1227</v>
      </c>
      <c r="R301" s="32" t="s">
        <v>1225</v>
      </c>
      <c r="S301" s="32" t="s">
        <v>1225</v>
      </c>
      <c r="T301" s="32" t="s">
        <v>1225</v>
      </c>
      <c r="U301" s="32" t="s">
        <v>1225</v>
      </c>
      <c r="V301" s="32" t="s">
        <v>1225</v>
      </c>
      <c r="W301" s="34" t="s">
        <v>3275</v>
      </c>
      <c r="X301" s="34" t="s">
        <v>3276</v>
      </c>
      <c r="Y301" s="34" t="s">
        <v>3277</v>
      </c>
      <c r="Z301" s="32" t="s">
        <v>1225</v>
      </c>
      <c r="AA301" s="32" t="s">
        <v>1225</v>
      </c>
      <c r="AB301" s="32" t="s">
        <v>1225</v>
      </c>
      <c r="AC301" s="32" t="s">
        <v>1225</v>
      </c>
      <c r="AD301" s="32" t="s">
        <v>1225</v>
      </c>
      <c r="AE301" s="32" t="s">
        <v>1225</v>
      </c>
      <c r="AF301" s="32" t="s">
        <v>1225</v>
      </c>
      <c r="AG301" s="32" t="s">
        <v>1225</v>
      </c>
      <c r="AH301" s="32" t="s">
        <v>1225</v>
      </c>
      <c r="AI301" s="32" t="s">
        <v>1225</v>
      </c>
      <c r="AJ301" s="32" t="s">
        <v>1225</v>
      </c>
      <c r="AK301" s="32" t="s">
        <v>1225</v>
      </c>
      <c r="AL301" s="32" t="s">
        <v>1225</v>
      </c>
      <c r="AM301" s="32" t="s">
        <v>1225</v>
      </c>
      <c r="AN301" s="32" t="s">
        <v>1225</v>
      </c>
      <c r="AO301" s="32" t="s">
        <v>1225</v>
      </c>
      <c r="AP301" s="32" t="s">
        <v>1225</v>
      </c>
      <c r="AQ301" s="32" t="s">
        <v>1225</v>
      </c>
      <c r="AR301" s="32" t="s">
        <v>1225</v>
      </c>
      <c r="AS301" s="32" t="s">
        <v>1225</v>
      </c>
      <c r="AT301" s="32" t="s">
        <v>1225</v>
      </c>
      <c r="AU301" s="32" t="s">
        <v>1225</v>
      </c>
      <c r="AV301" s="32" t="s">
        <v>1225</v>
      </c>
      <c r="AW301" s="34" t="s">
        <v>1225</v>
      </c>
      <c r="AX301" s="34">
        <v>2022</v>
      </c>
      <c r="AY301" s="32">
        <v>13</v>
      </c>
      <c r="AZ301" s="32">
        <v>1</v>
      </c>
      <c r="BA301" s="32" t="s">
        <v>1225</v>
      </c>
      <c r="BB301" s="32" t="s">
        <v>1225</v>
      </c>
      <c r="BC301" s="32" t="s">
        <v>1225</v>
      </c>
      <c r="BD301" s="32" t="s">
        <v>1225</v>
      </c>
      <c r="BE301" s="32">
        <v>63</v>
      </c>
      <c r="BF301" s="32">
        <v>75</v>
      </c>
      <c r="BG301" s="32" t="s">
        <v>1225</v>
      </c>
      <c r="BH301" s="34" t="s">
        <v>1225</v>
      </c>
      <c r="BI301" s="34" t="s">
        <v>1225</v>
      </c>
      <c r="BJ301" s="32" t="s">
        <v>1225</v>
      </c>
      <c r="BK301" s="32" t="s">
        <v>1225</v>
      </c>
      <c r="BL301" s="32" t="s">
        <v>1225</v>
      </c>
      <c r="BM301" s="32" t="s">
        <v>1225</v>
      </c>
      <c r="BN301" s="32" t="s">
        <v>1225</v>
      </c>
      <c r="BO301" s="32" t="s">
        <v>1225</v>
      </c>
      <c r="BP301" s="32" t="s">
        <v>1225</v>
      </c>
      <c r="BQ301" s="32" t="s">
        <v>1225</v>
      </c>
      <c r="BR301" s="32" t="s">
        <v>1225</v>
      </c>
      <c r="BS301" s="32" t="s">
        <v>1225</v>
      </c>
      <c r="BT301" s="32" t="s">
        <v>1225</v>
      </c>
      <c r="BU301" s="32" t="s">
        <v>1225</v>
      </c>
      <c r="BV301" s="32" t="s">
        <v>1225</v>
      </c>
      <c r="BW301" s="32" t="str">
        <f t="shared" si="8"/>
        <v>View Full Record in Web of Science</v>
      </c>
      <c r="BY301" s="41" t="str">
        <f>IF(Deletion!J301=TRUE,"Yes","No")</f>
        <v>No</v>
      </c>
    </row>
    <row r="302" spans="1:77" x14ac:dyDescent="0.15">
      <c r="A302" s="32">
        <f t="shared" si="9"/>
        <v>301</v>
      </c>
      <c r="D302" s="32" t="s">
        <v>1223</v>
      </c>
      <c r="E302" s="32" t="s">
        <v>3278</v>
      </c>
      <c r="F302" s="32" t="s">
        <v>1225</v>
      </c>
      <c r="G302" s="32" t="s">
        <v>1225</v>
      </c>
      <c r="H302" s="32" t="s">
        <v>1225</v>
      </c>
      <c r="I302" s="32" t="s">
        <v>3279</v>
      </c>
      <c r="J302" s="32" t="s">
        <v>1225</v>
      </c>
      <c r="K302" s="32" t="s">
        <v>1225</v>
      </c>
      <c r="L302" s="32" t="s">
        <v>3280</v>
      </c>
      <c r="M302" s="32" t="s">
        <v>502</v>
      </c>
      <c r="N302" s="32" t="s">
        <v>1225</v>
      </c>
      <c r="O302" s="32" t="s">
        <v>1225</v>
      </c>
      <c r="P302" s="32" t="s">
        <v>1225</v>
      </c>
      <c r="Q302" s="32" t="s">
        <v>1227</v>
      </c>
      <c r="R302" s="32" t="s">
        <v>1225</v>
      </c>
      <c r="S302" s="32" t="s">
        <v>1225</v>
      </c>
      <c r="T302" s="32" t="s">
        <v>1225</v>
      </c>
      <c r="U302" s="32" t="s">
        <v>1225</v>
      </c>
      <c r="V302" s="32" t="s">
        <v>1225</v>
      </c>
      <c r="W302" s="32" t="s">
        <v>3281</v>
      </c>
      <c r="X302" s="32" t="s">
        <v>3282</v>
      </c>
      <c r="Y302" s="32" t="s">
        <v>3283</v>
      </c>
      <c r="Z302" s="32" t="s">
        <v>1225</v>
      </c>
      <c r="AA302" s="32" t="s">
        <v>1225</v>
      </c>
      <c r="AB302" s="32" t="s">
        <v>1225</v>
      </c>
      <c r="AC302" s="32" t="s">
        <v>1225</v>
      </c>
      <c r="AD302" s="32" t="s">
        <v>1225</v>
      </c>
      <c r="AE302" s="32" t="s">
        <v>1225</v>
      </c>
      <c r="AF302" s="32" t="s">
        <v>1225</v>
      </c>
      <c r="AG302" s="32" t="s">
        <v>1225</v>
      </c>
      <c r="AH302" s="32" t="s">
        <v>1225</v>
      </c>
      <c r="AI302" s="32" t="s">
        <v>1225</v>
      </c>
      <c r="AJ302" s="32" t="s">
        <v>1225</v>
      </c>
      <c r="AK302" s="32" t="s">
        <v>1225</v>
      </c>
      <c r="AL302" s="32" t="s">
        <v>1225</v>
      </c>
      <c r="AM302" s="32" t="s">
        <v>1225</v>
      </c>
      <c r="AN302" s="32" t="s">
        <v>1225</v>
      </c>
      <c r="AO302" s="32" t="s">
        <v>1225</v>
      </c>
      <c r="AP302" s="32" t="s">
        <v>1225</v>
      </c>
      <c r="AQ302" s="32" t="s">
        <v>1225</v>
      </c>
      <c r="AR302" s="32" t="s">
        <v>1225</v>
      </c>
      <c r="AS302" s="32" t="s">
        <v>1225</v>
      </c>
      <c r="AT302" s="32" t="s">
        <v>1225</v>
      </c>
      <c r="AU302" s="32" t="s">
        <v>1225</v>
      </c>
      <c r="AV302" s="32" t="s">
        <v>1225</v>
      </c>
      <c r="AW302" s="32" t="s">
        <v>2434</v>
      </c>
      <c r="AX302" s="32">
        <v>2020</v>
      </c>
      <c r="AY302" s="32">
        <v>194</v>
      </c>
      <c r="AZ302" s="32" t="s">
        <v>1225</v>
      </c>
      <c r="BA302" s="32" t="s">
        <v>1225</v>
      </c>
      <c r="BB302" s="32" t="s">
        <v>1225</v>
      </c>
      <c r="BC302" s="32" t="s">
        <v>1225</v>
      </c>
      <c r="BD302" s="32" t="s">
        <v>1225</v>
      </c>
      <c r="BE302" s="32" t="s">
        <v>1225</v>
      </c>
      <c r="BF302" s="32" t="s">
        <v>1225</v>
      </c>
      <c r="BG302" s="32">
        <v>116807</v>
      </c>
      <c r="BH302" s="32" t="s">
        <v>3284</v>
      </c>
      <c r="BI302" s="32" t="str">
        <f>HYPERLINK("http://dx.doi.org/10.1016/j.energy.2019.116807","http://dx.doi.org/10.1016/j.energy.2019.116807")</f>
        <v>http://dx.doi.org/10.1016/j.energy.2019.116807</v>
      </c>
      <c r="BJ302" s="32" t="s">
        <v>1225</v>
      </c>
      <c r="BK302" s="32" t="s">
        <v>1225</v>
      </c>
      <c r="BL302" s="32" t="s">
        <v>1225</v>
      </c>
      <c r="BM302" s="32" t="s">
        <v>1225</v>
      </c>
      <c r="BN302" s="32" t="s">
        <v>1225</v>
      </c>
      <c r="BO302" s="32" t="s">
        <v>1225</v>
      </c>
      <c r="BP302" s="32" t="s">
        <v>1225</v>
      </c>
      <c r="BQ302" s="32" t="s">
        <v>1225</v>
      </c>
      <c r="BR302" s="32" t="s">
        <v>1225</v>
      </c>
      <c r="BS302" s="32" t="s">
        <v>1225</v>
      </c>
      <c r="BT302" s="32" t="s">
        <v>1225</v>
      </c>
      <c r="BU302" s="32" t="s">
        <v>1225</v>
      </c>
      <c r="BV302" s="32" t="s">
        <v>1225</v>
      </c>
      <c r="BW302" s="32" t="str">
        <f t="shared" si="8"/>
        <v>View Full Record in Web of Science</v>
      </c>
      <c r="BY302" s="41" t="str">
        <f>IF(Deletion!J302=TRUE,"Yes","No")</f>
        <v>Yes</v>
      </c>
    </row>
    <row r="303" spans="1:77" x14ac:dyDescent="0.15">
      <c r="A303" s="38">
        <f t="shared" si="9"/>
        <v>302</v>
      </c>
      <c r="B303" s="38" t="s">
        <v>1413</v>
      </c>
      <c r="C303" s="38" t="s">
        <v>1413</v>
      </c>
      <c r="D303" s="38" t="s">
        <v>1223</v>
      </c>
      <c r="E303" s="38" t="s">
        <v>3285</v>
      </c>
      <c r="F303" s="32" t="s">
        <v>1225</v>
      </c>
      <c r="G303" s="32" t="s">
        <v>1225</v>
      </c>
      <c r="H303" s="32" t="s">
        <v>1225</v>
      </c>
      <c r="I303" s="38" t="s">
        <v>3286</v>
      </c>
      <c r="J303" s="32" t="s">
        <v>1225</v>
      </c>
      <c r="K303" s="32" t="s">
        <v>1225</v>
      </c>
      <c r="L303" s="38" t="s">
        <v>3287</v>
      </c>
      <c r="M303" s="38" t="s">
        <v>1562</v>
      </c>
      <c r="N303" s="32" t="s">
        <v>1225</v>
      </c>
      <c r="O303" s="32" t="s">
        <v>1225</v>
      </c>
      <c r="P303" s="32" t="s">
        <v>1225</v>
      </c>
      <c r="Q303" s="38" t="s">
        <v>1417</v>
      </c>
      <c r="R303" s="32" t="s">
        <v>1225</v>
      </c>
      <c r="S303" s="32" t="s">
        <v>1225</v>
      </c>
      <c r="T303" s="32" t="s">
        <v>1225</v>
      </c>
      <c r="U303" s="32" t="s">
        <v>1225</v>
      </c>
      <c r="V303" s="32" t="s">
        <v>1225</v>
      </c>
      <c r="W303" s="38" t="s">
        <v>3288</v>
      </c>
      <c r="X303" s="38" t="s">
        <v>3289</v>
      </c>
      <c r="Y303" s="38" t="s">
        <v>3290</v>
      </c>
      <c r="Z303" s="32" t="s">
        <v>1225</v>
      </c>
      <c r="AA303" s="32" t="s">
        <v>1225</v>
      </c>
      <c r="AB303" s="32" t="s">
        <v>1225</v>
      </c>
      <c r="AC303" s="32" t="s">
        <v>1225</v>
      </c>
      <c r="AD303" s="32" t="s">
        <v>1225</v>
      </c>
      <c r="AE303" s="32" t="s">
        <v>1225</v>
      </c>
      <c r="AF303" s="32" t="s">
        <v>1225</v>
      </c>
      <c r="AG303" s="32" t="s">
        <v>1225</v>
      </c>
      <c r="AH303" s="32" t="s">
        <v>1225</v>
      </c>
      <c r="AI303" s="32" t="s">
        <v>1225</v>
      </c>
      <c r="AJ303" s="32" t="s">
        <v>1225</v>
      </c>
      <c r="AK303" s="32" t="s">
        <v>1225</v>
      </c>
      <c r="AL303" s="32" t="s">
        <v>1225</v>
      </c>
      <c r="AM303" s="32" t="s">
        <v>1225</v>
      </c>
      <c r="AN303" s="32" t="s">
        <v>1225</v>
      </c>
      <c r="AO303" s="32" t="s">
        <v>1225</v>
      </c>
      <c r="AP303" s="32" t="s">
        <v>1225</v>
      </c>
      <c r="AQ303" s="32" t="s">
        <v>1225</v>
      </c>
      <c r="AR303" s="32" t="s">
        <v>1225</v>
      </c>
      <c r="AS303" s="32" t="s">
        <v>1225</v>
      </c>
      <c r="AT303" s="32" t="s">
        <v>1225</v>
      </c>
      <c r="AU303" s="32" t="s">
        <v>1225</v>
      </c>
      <c r="AV303" s="32" t="s">
        <v>1225</v>
      </c>
      <c r="AW303" s="38" t="s">
        <v>2434</v>
      </c>
      <c r="AX303" s="38">
        <v>2015</v>
      </c>
      <c r="AY303" s="32">
        <v>277</v>
      </c>
      <c r="AZ303" s="32" t="s">
        <v>1225</v>
      </c>
      <c r="BA303" s="32" t="s">
        <v>1225</v>
      </c>
      <c r="BB303" s="32" t="s">
        <v>1225</v>
      </c>
      <c r="BC303" s="32" t="s">
        <v>1225</v>
      </c>
      <c r="BD303" s="32" t="s">
        <v>1225</v>
      </c>
      <c r="BE303" s="32">
        <v>205</v>
      </c>
      <c r="BF303" s="32">
        <v>214</v>
      </c>
      <c r="BG303" s="32" t="s">
        <v>1225</v>
      </c>
      <c r="BH303" s="38" t="s">
        <v>3291</v>
      </c>
      <c r="BI303" s="38" t="str">
        <f>HYPERLINK("http://dx.doi.org/10.1016/j.jpowsour.2014.12.020","http://dx.doi.org/10.1016/j.jpowsour.2014.12.020")</f>
        <v>http://dx.doi.org/10.1016/j.jpowsour.2014.12.020</v>
      </c>
      <c r="BJ303" s="32" t="s">
        <v>1225</v>
      </c>
      <c r="BK303" s="32" t="s">
        <v>1225</v>
      </c>
      <c r="BL303" s="32" t="s">
        <v>1225</v>
      </c>
      <c r="BM303" s="32" t="s">
        <v>1225</v>
      </c>
      <c r="BN303" s="32" t="s">
        <v>1225</v>
      </c>
      <c r="BO303" s="32" t="s">
        <v>1225</v>
      </c>
      <c r="BP303" s="32" t="s">
        <v>1225</v>
      </c>
      <c r="BQ303" s="32" t="s">
        <v>1225</v>
      </c>
      <c r="BR303" s="32" t="s">
        <v>1225</v>
      </c>
      <c r="BS303" s="32" t="s">
        <v>1225</v>
      </c>
      <c r="BT303" s="32" t="s">
        <v>1225</v>
      </c>
      <c r="BU303" s="32" t="s">
        <v>1225</v>
      </c>
      <c r="BV303" s="32" t="s">
        <v>1225</v>
      </c>
      <c r="BW303" s="32" t="str">
        <f t="shared" si="8"/>
        <v>View Full Record in Web of Science</v>
      </c>
      <c r="BY303" s="41" t="str">
        <f>IF(Deletion!J303=TRUE,"Yes","No")</f>
        <v>Yes</v>
      </c>
    </row>
    <row r="304" spans="1:77" x14ac:dyDescent="0.15">
      <c r="A304" s="32">
        <f t="shared" si="9"/>
        <v>303</v>
      </c>
      <c r="D304" s="32" t="s">
        <v>1223</v>
      </c>
      <c r="E304" s="32" t="s">
        <v>3292</v>
      </c>
      <c r="F304" s="32" t="s">
        <v>1225</v>
      </c>
      <c r="G304" s="32" t="s">
        <v>1225</v>
      </c>
      <c r="H304" s="32" t="s">
        <v>1225</v>
      </c>
      <c r="I304" s="32" t="s">
        <v>3293</v>
      </c>
      <c r="J304" s="32" t="s">
        <v>1225</v>
      </c>
      <c r="K304" s="32" t="s">
        <v>1225</v>
      </c>
      <c r="L304" s="32" t="s">
        <v>3294</v>
      </c>
      <c r="M304" s="32" t="s">
        <v>3240</v>
      </c>
      <c r="N304" s="32" t="s">
        <v>1225</v>
      </c>
      <c r="O304" s="32" t="s">
        <v>1225</v>
      </c>
      <c r="P304" s="32" t="s">
        <v>1225</v>
      </c>
      <c r="Q304" s="32" t="s">
        <v>1227</v>
      </c>
      <c r="R304" s="32" t="s">
        <v>1225</v>
      </c>
      <c r="S304" s="32" t="s">
        <v>1225</v>
      </c>
      <c r="T304" s="32" t="s">
        <v>1225</v>
      </c>
      <c r="U304" s="32" t="s">
        <v>1225</v>
      </c>
      <c r="V304" s="32" t="s">
        <v>1225</v>
      </c>
      <c r="W304" s="32" t="s">
        <v>3295</v>
      </c>
      <c r="X304" s="32" t="s">
        <v>1225</v>
      </c>
      <c r="Y304" s="32" t="s">
        <v>3296</v>
      </c>
      <c r="Z304" s="32" t="s">
        <v>1225</v>
      </c>
      <c r="AA304" s="32" t="s">
        <v>1225</v>
      </c>
      <c r="AB304" s="32" t="s">
        <v>1225</v>
      </c>
      <c r="AC304" s="32" t="s">
        <v>1225</v>
      </c>
      <c r="AD304" s="32" t="s">
        <v>1225</v>
      </c>
      <c r="AE304" s="32" t="s">
        <v>1225</v>
      </c>
      <c r="AF304" s="32" t="s">
        <v>1225</v>
      </c>
      <c r="AG304" s="32" t="s">
        <v>1225</v>
      </c>
      <c r="AH304" s="32" t="s">
        <v>1225</v>
      </c>
      <c r="AI304" s="32" t="s">
        <v>1225</v>
      </c>
      <c r="AJ304" s="32" t="s">
        <v>1225</v>
      </c>
      <c r="AK304" s="32" t="s">
        <v>1225</v>
      </c>
      <c r="AL304" s="32" t="s">
        <v>1225</v>
      </c>
      <c r="AM304" s="32" t="s">
        <v>1225</v>
      </c>
      <c r="AN304" s="32" t="s">
        <v>1225</v>
      </c>
      <c r="AO304" s="32" t="s">
        <v>1225</v>
      </c>
      <c r="AP304" s="32" t="s">
        <v>1225</v>
      </c>
      <c r="AQ304" s="32" t="s">
        <v>1225</v>
      </c>
      <c r="AR304" s="32" t="s">
        <v>1225</v>
      </c>
      <c r="AS304" s="32" t="s">
        <v>1225</v>
      </c>
      <c r="AT304" s="32" t="s">
        <v>1225</v>
      </c>
      <c r="AU304" s="32" t="s">
        <v>1225</v>
      </c>
      <c r="AV304" s="32" t="s">
        <v>1225</v>
      </c>
      <c r="AW304" s="32" t="s">
        <v>1393</v>
      </c>
      <c r="AX304" s="32">
        <v>2019</v>
      </c>
      <c r="AY304" s="32">
        <v>23</v>
      </c>
      <c r="AZ304" s="32" t="s">
        <v>1225</v>
      </c>
      <c r="BA304" s="32" t="s">
        <v>1225</v>
      </c>
      <c r="BB304" s="32" t="s">
        <v>1225</v>
      </c>
      <c r="BC304" s="32" t="s">
        <v>1225</v>
      </c>
      <c r="BD304" s="32" t="s">
        <v>1225</v>
      </c>
      <c r="BE304" s="32">
        <v>381</v>
      </c>
      <c r="BF304" s="32">
        <v>391</v>
      </c>
      <c r="BG304" s="32" t="s">
        <v>1225</v>
      </c>
      <c r="BH304" s="32" t="s">
        <v>3297</v>
      </c>
      <c r="BI304" s="32" t="str">
        <f>HYPERLINK("http://dx.doi.org/10.1016/j.est.2019.03.025","http://dx.doi.org/10.1016/j.est.2019.03.025")</f>
        <v>http://dx.doi.org/10.1016/j.est.2019.03.025</v>
      </c>
      <c r="BJ304" s="32" t="s">
        <v>1225</v>
      </c>
      <c r="BK304" s="32" t="s">
        <v>1225</v>
      </c>
      <c r="BL304" s="32" t="s">
        <v>1225</v>
      </c>
      <c r="BM304" s="32" t="s">
        <v>1225</v>
      </c>
      <c r="BN304" s="32" t="s">
        <v>1225</v>
      </c>
      <c r="BO304" s="32" t="s">
        <v>1225</v>
      </c>
      <c r="BP304" s="32" t="s">
        <v>1225</v>
      </c>
      <c r="BQ304" s="32" t="s">
        <v>1225</v>
      </c>
      <c r="BR304" s="32" t="s">
        <v>1225</v>
      </c>
      <c r="BS304" s="32" t="s">
        <v>1225</v>
      </c>
      <c r="BT304" s="32" t="s">
        <v>1225</v>
      </c>
      <c r="BU304" s="32" t="s">
        <v>1225</v>
      </c>
      <c r="BV304" s="32" t="s">
        <v>1225</v>
      </c>
      <c r="BW304" s="32" t="str">
        <f t="shared" si="8"/>
        <v>View Full Record in Web of Science</v>
      </c>
      <c r="BY304" s="41" t="str">
        <f>IF(Deletion!J304=TRUE,"Yes","No")</f>
        <v>Yes</v>
      </c>
    </row>
    <row r="305" spans="1:77" x14ac:dyDescent="0.15">
      <c r="A305" s="32">
        <f t="shared" si="9"/>
        <v>304</v>
      </c>
      <c r="D305" s="32" t="s">
        <v>1223</v>
      </c>
      <c r="E305" s="32" t="s">
        <v>3298</v>
      </c>
      <c r="F305" s="32" t="s">
        <v>1225</v>
      </c>
      <c r="G305" s="32" t="s">
        <v>1225</v>
      </c>
      <c r="H305" s="32" t="s">
        <v>1225</v>
      </c>
      <c r="I305" s="32" t="s">
        <v>3299</v>
      </c>
      <c r="J305" s="32" t="s">
        <v>1225</v>
      </c>
      <c r="K305" s="32" t="s">
        <v>1225</v>
      </c>
      <c r="L305" s="32" t="s">
        <v>3300</v>
      </c>
      <c r="M305" s="32" t="s">
        <v>3301</v>
      </c>
      <c r="N305" s="32" t="s">
        <v>1225</v>
      </c>
      <c r="O305" s="32" t="s">
        <v>1225</v>
      </c>
      <c r="P305" s="32" t="s">
        <v>1225</v>
      </c>
      <c r="Q305" s="32" t="s">
        <v>1227</v>
      </c>
      <c r="R305" s="32" t="s">
        <v>1225</v>
      </c>
      <c r="S305" s="32" t="s">
        <v>1225</v>
      </c>
      <c r="T305" s="32" t="s">
        <v>1225</v>
      </c>
      <c r="U305" s="32" t="s">
        <v>1225</v>
      </c>
      <c r="V305" s="32" t="s">
        <v>1225</v>
      </c>
      <c r="W305" s="32" t="s">
        <v>3302</v>
      </c>
      <c r="X305" s="32" t="s">
        <v>3303</v>
      </c>
      <c r="Y305" s="32" t="s">
        <v>3304</v>
      </c>
      <c r="Z305" s="32" t="s">
        <v>1225</v>
      </c>
      <c r="AA305" s="32" t="s">
        <v>1225</v>
      </c>
      <c r="AB305" s="32" t="s">
        <v>1225</v>
      </c>
      <c r="AC305" s="32" t="s">
        <v>1225</v>
      </c>
      <c r="AD305" s="32" t="s">
        <v>1225</v>
      </c>
      <c r="AE305" s="32" t="s">
        <v>1225</v>
      </c>
      <c r="AF305" s="32" t="s">
        <v>1225</v>
      </c>
      <c r="AG305" s="32" t="s">
        <v>1225</v>
      </c>
      <c r="AH305" s="32" t="s">
        <v>1225</v>
      </c>
      <c r="AI305" s="32" t="s">
        <v>1225</v>
      </c>
      <c r="AJ305" s="32" t="s">
        <v>1225</v>
      </c>
      <c r="AK305" s="32" t="s">
        <v>1225</v>
      </c>
      <c r="AL305" s="32" t="s">
        <v>1225</v>
      </c>
      <c r="AM305" s="32" t="s">
        <v>1225</v>
      </c>
      <c r="AN305" s="32" t="s">
        <v>1225</v>
      </c>
      <c r="AO305" s="32" t="s">
        <v>1225</v>
      </c>
      <c r="AP305" s="32" t="s">
        <v>1225</v>
      </c>
      <c r="AQ305" s="32" t="s">
        <v>1225</v>
      </c>
      <c r="AR305" s="32" t="s">
        <v>1225</v>
      </c>
      <c r="AS305" s="32" t="s">
        <v>1225</v>
      </c>
      <c r="AT305" s="32" t="s">
        <v>1225</v>
      </c>
      <c r="AU305" s="32" t="s">
        <v>1225</v>
      </c>
      <c r="AV305" s="32" t="s">
        <v>1225</v>
      </c>
      <c r="AW305" s="32" t="s">
        <v>1317</v>
      </c>
      <c r="AX305" s="32">
        <v>2022</v>
      </c>
      <c r="AY305" s="32">
        <v>67</v>
      </c>
      <c r="AZ305" s="32">
        <v>1</v>
      </c>
      <c r="BA305" s="32" t="s">
        <v>1225</v>
      </c>
      <c r="BB305" s="32" t="s">
        <v>1225</v>
      </c>
      <c r="BC305" s="32" t="s">
        <v>1225</v>
      </c>
      <c r="BD305" s="32" t="s">
        <v>1225</v>
      </c>
      <c r="BE305" s="32">
        <v>236</v>
      </c>
      <c r="BF305" s="32">
        <v>250</v>
      </c>
      <c r="BG305" s="32" t="s">
        <v>1225</v>
      </c>
      <c r="BH305" s="32" t="s">
        <v>3305</v>
      </c>
      <c r="BI305" s="32" t="str">
        <f>HYPERLINK("http://dx.doi.org/10.1109/TAC.2021.3049340","http://dx.doi.org/10.1109/TAC.2021.3049340")</f>
        <v>http://dx.doi.org/10.1109/TAC.2021.3049340</v>
      </c>
      <c r="BJ305" s="32" t="s">
        <v>1225</v>
      </c>
      <c r="BK305" s="32" t="s">
        <v>1225</v>
      </c>
      <c r="BL305" s="32" t="s">
        <v>1225</v>
      </c>
      <c r="BM305" s="32" t="s">
        <v>1225</v>
      </c>
      <c r="BN305" s="32" t="s">
        <v>1225</v>
      </c>
      <c r="BO305" s="32" t="s">
        <v>1225</v>
      </c>
      <c r="BP305" s="32" t="s">
        <v>1225</v>
      </c>
      <c r="BQ305" s="32" t="s">
        <v>1225</v>
      </c>
      <c r="BR305" s="32" t="s">
        <v>1225</v>
      </c>
      <c r="BS305" s="32" t="s">
        <v>1225</v>
      </c>
      <c r="BT305" s="32" t="s">
        <v>1225</v>
      </c>
      <c r="BU305" s="32" t="s">
        <v>1225</v>
      </c>
      <c r="BV305" s="32" t="s">
        <v>1225</v>
      </c>
      <c r="BW305" s="32" t="str">
        <f t="shared" si="8"/>
        <v>View Full Record in Web of Science</v>
      </c>
      <c r="BY305" s="41" t="str">
        <f>IF(Deletion!J305=TRUE,"Yes","No")</f>
        <v>Yes</v>
      </c>
    </row>
    <row r="306" spans="1:77" x14ac:dyDescent="0.15">
      <c r="A306" s="32">
        <f t="shared" si="9"/>
        <v>305</v>
      </c>
      <c r="D306" s="32" t="s">
        <v>1223</v>
      </c>
      <c r="E306" s="32" t="s">
        <v>3306</v>
      </c>
      <c r="F306" s="32" t="s">
        <v>1225</v>
      </c>
      <c r="G306" s="32" t="s">
        <v>1225</v>
      </c>
      <c r="H306" s="32" t="s">
        <v>1225</v>
      </c>
      <c r="I306" s="32" t="s">
        <v>3307</v>
      </c>
      <c r="J306" s="32" t="s">
        <v>1225</v>
      </c>
      <c r="K306" s="32" t="s">
        <v>1225</v>
      </c>
      <c r="L306" s="32" t="s">
        <v>3308</v>
      </c>
      <c r="M306" s="32" t="s">
        <v>89</v>
      </c>
      <c r="N306" s="32" t="s">
        <v>1225</v>
      </c>
      <c r="O306" s="32" t="s">
        <v>1225</v>
      </c>
      <c r="P306" s="32" t="s">
        <v>1225</v>
      </c>
      <c r="Q306" s="32" t="s">
        <v>1227</v>
      </c>
      <c r="R306" s="32" t="s">
        <v>1225</v>
      </c>
      <c r="S306" s="32" t="s">
        <v>1225</v>
      </c>
      <c r="T306" s="32" t="s">
        <v>1225</v>
      </c>
      <c r="U306" s="32" t="s">
        <v>1225</v>
      </c>
      <c r="V306" s="32" t="s">
        <v>1225</v>
      </c>
      <c r="W306" s="32" t="s">
        <v>3309</v>
      </c>
      <c r="X306" s="32" t="s">
        <v>3310</v>
      </c>
      <c r="Y306" s="32" t="s">
        <v>3311</v>
      </c>
      <c r="Z306" s="32" t="s">
        <v>1225</v>
      </c>
      <c r="AA306" s="32" t="s">
        <v>1225</v>
      </c>
      <c r="AB306" s="32" t="s">
        <v>1225</v>
      </c>
      <c r="AC306" s="32" t="s">
        <v>1225</v>
      </c>
      <c r="AD306" s="32" t="s">
        <v>1225</v>
      </c>
      <c r="AE306" s="32" t="s">
        <v>1225</v>
      </c>
      <c r="AF306" s="32" t="s">
        <v>1225</v>
      </c>
      <c r="AG306" s="32" t="s">
        <v>1225</v>
      </c>
      <c r="AH306" s="32" t="s">
        <v>1225</v>
      </c>
      <c r="AI306" s="32" t="s">
        <v>1225</v>
      </c>
      <c r="AJ306" s="32" t="s">
        <v>1225</v>
      </c>
      <c r="AK306" s="32" t="s">
        <v>1225</v>
      </c>
      <c r="AL306" s="32" t="s">
        <v>1225</v>
      </c>
      <c r="AM306" s="32" t="s">
        <v>1225</v>
      </c>
      <c r="AN306" s="32" t="s">
        <v>1225</v>
      </c>
      <c r="AO306" s="32" t="s">
        <v>1225</v>
      </c>
      <c r="AP306" s="32" t="s">
        <v>1225</v>
      </c>
      <c r="AQ306" s="32" t="s">
        <v>1225</v>
      </c>
      <c r="AR306" s="32" t="s">
        <v>1225</v>
      </c>
      <c r="AS306" s="32" t="s">
        <v>1225</v>
      </c>
      <c r="AT306" s="32" t="s">
        <v>1225</v>
      </c>
      <c r="AU306" s="32" t="s">
        <v>1225</v>
      </c>
      <c r="AV306" s="32" t="s">
        <v>1225</v>
      </c>
      <c r="AW306" s="32" t="s">
        <v>1276</v>
      </c>
      <c r="AX306" s="32">
        <v>2021</v>
      </c>
      <c r="AY306" s="32">
        <v>199</v>
      </c>
      <c r="AZ306" s="32" t="s">
        <v>1225</v>
      </c>
      <c r="BA306" s="32" t="s">
        <v>1225</v>
      </c>
      <c r="BB306" s="32" t="s">
        <v>1225</v>
      </c>
      <c r="BC306" s="32" t="s">
        <v>1225</v>
      </c>
      <c r="BD306" s="32" t="s">
        <v>1225</v>
      </c>
      <c r="BE306" s="32" t="s">
        <v>1225</v>
      </c>
      <c r="BF306" s="32" t="s">
        <v>1225</v>
      </c>
      <c r="BG306" s="32">
        <v>107418</v>
      </c>
      <c r="BH306" s="32" t="s">
        <v>3312</v>
      </c>
      <c r="BI306" s="32" t="str">
        <f>HYPERLINK("http://dx.doi.org/10.1016/j.epsr.2021.107418","http://dx.doi.org/10.1016/j.epsr.2021.107418")</f>
        <v>http://dx.doi.org/10.1016/j.epsr.2021.107418</v>
      </c>
      <c r="BJ306" s="32" t="s">
        <v>1225</v>
      </c>
      <c r="BK306" s="32" t="s">
        <v>1553</v>
      </c>
      <c r="BL306" s="32" t="s">
        <v>1225</v>
      </c>
      <c r="BM306" s="32" t="s">
        <v>1225</v>
      </c>
      <c r="BN306" s="32" t="s">
        <v>1225</v>
      </c>
      <c r="BO306" s="32" t="s">
        <v>1225</v>
      </c>
      <c r="BP306" s="32" t="s">
        <v>1225</v>
      </c>
      <c r="BQ306" s="32" t="s">
        <v>1225</v>
      </c>
      <c r="BR306" s="32" t="s">
        <v>1225</v>
      </c>
      <c r="BS306" s="32" t="s">
        <v>1225</v>
      </c>
      <c r="BT306" s="32" t="s">
        <v>1225</v>
      </c>
      <c r="BU306" s="32" t="s">
        <v>1225</v>
      </c>
      <c r="BV306" s="32" t="s">
        <v>1225</v>
      </c>
      <c r="BW306" s="32" t="str">
        <f t="shared" si="8"/>
        <v>View Full Record in Web of Science</v>
      </c>
      <c r="BY306" s="41" t="str">
        <f>IF(Deletion!J306=TRUE,"Yes","No")</f>
        <v>Yes</v>
      </c>
    </row>
    <row r="307" spans="1:77" x14ac:dyDescent="0.15">
      <c r="A307" s="32">
        <f t="shared" si="9"/>
        <v>306</v>
      </c>
      <c r="D307" s="32" t="s">
        <v>1223</v>
      </c>
      <c r="E307" s="32" t="s">
        <v>3313</v>
      </c>
      <c r="F307" s="32" t="s">
        <v>1225</v>
      </c>
      <c r="G307" s="32" t="s">
        <v>1225</v>
      </c>
      <c r="H307" s="32" t="s">
        <v>1225</v>
      </c>
      <c r="I307" s="32" t="s">
        <v>3314</v>
      </c>
      <c r="J307" s="32" t="s">
        <v>1225</v>
      </c>
      <c r="K307" s="32" t="s">
        <v>1225</v>
      </c>
      <c r="L307" s="32" t="s">
        <v>3315</v>
      </c>
      <c r="M307" s="32" t="s">
        <v>2164</v>
      </c>
      <c r="N307" s="32" t="s">
        <v>1225</v>
      </c>
      <c r="O307" s="32" t="s">
        <v>1225</v>
      </c>
      <c r="P307" s="32" t="s">
        <v>1225</v>
      </c>
      <c r="Q307" s="32" t="s">
        <v>1227</v>
      </c>
      <c r="R307" s="32" t="s">
        <v>1225</v>
      </c>
      <c r="S307" s="32" t="s">
        <v>1225</v>
      </c>
      <c r="T307" s="32" t="s">
        <v>1225</v>
      </c>
      <c r="U307" s="32" t="s">
        <v>1225</v>
      </c>
      <c r="V307" s="32" t="s">
        <v>1225</v>
      </c>
      <c r="W307" s="32" t="s">
        <v>3316</v>
      </c>
      <c r="X307" s="32" t="s">
        <v>3317</v>
      </c>
      <c r="Y307" s="32" t="s">
        <v>3318</v>
      </c>
      <c r="Z307" s="32" t="s">
        <v>1225</v>
      </c>
      <c r="AA307" s="32" t="s">
        <v>1225</v>
      </c>
      <c r="AB307" s="32" t="s">
        <v>1225</v>
      </c>
      <c r="AC307" s="32" t="s">
        <v>1225</v>
      </c>
      <c r="AD307" s="32" t="s">
        <v>1225</v>
      </c>
      <c r="AE307" s="32" t="s">
        <v>1225</v>
      </c>
      <c r="AF307" s="32" t="s">
        <v>1225</v>
      </c>
      <c r="AG307" s="32" t="s">
        <v>1225</v>
      </c>
      <c r="AH307" s="32" t="s">
        <v>1225</v>
      </c>
      <c r="AI307" s="32" t="s">
        <v>1225</v>
      </c>
      <c r="AJ307" s="32" t="s">
        <v>1225</v>
      </c>
      <c r="AK307" s="32" t="s">
        <v>1225</v>
      </c>
      <c r="AL307" s="32" t="s">
        <v>1225</v>
      </c>
      <c r="AM307" s="32" t="s">
        <v>1225</v>
      </c>
      <c r="AN307" s="32" t="s">
        <v>1225</v>
      </c>
      <c r="AO307" s="32" t="s">
        <v>1225</v>
      </c>
      <c r="AP307" s="32" t="s">
        <v>1225</v>
      </c>
      <c r="AQ307" s="32" t="s">
        <v>1225</v>
      </c>
      <c r="AR307" s="32" t="s">
        <v>1225</v>
      </c>
      <c r="AS307" s="32" t="s">
        <v>1225</v>
      </c>
      <c r="AT307" s="32" t="s">
        <v>1225</v>
      </c>
      <c r="AU307" s="32" t="s">
        <v>1225</v>
      </c>
      <c r="AV307" s="32" t="s">
        <v>1225</v>
      </c>
      <c r="AW307" s="32" t="s">
        <v>2918</v>
      </c>
      <c r="AX307" s="32">
        <v>2022</v>
      </c>
      <c r="AY307" s="32">
        <v>9</v>
      </c>
      <c r="AZ307" s="32">
        <v>8</v>
      </c>
      <c r="BA307" s="32" t="s">
        <v>1225</v>
      </c>
      <c r="BB307" s="32" t="s">
        <v>1225</v>
      </c>
      <c r="BC307" s="32" t="s">
        <v>1225</v>
      </c>
      <c r="BD307" s="32" t="s">
        <v>1225</v>
      </c>
      <c r="BE307" s="32">
        <v>6047</v>
      </c>
      <c r="BF307" s="32">
        <v>6057</v>
      </c>
      <c r="BG307" s="32" t="s">
        <v>1225</v>
      </c>
      <c r="BH307" s="32" t="s">
        <v>3319</v>
      </c>
      <c r="BI307" s="32" t="str">
        <f>HYPERLINK("http://dx.doi.org/10.1109/JIOT.2021.3109956","http://dx.doi.org/10.1109/JIOT.2021.3109956")</f>
        <v>http://dx.doi.org/10.1109/JIOT.2021.3109956</v>
      </c>
      <c r="BJ307" s="32" t="s">
        <v>1225</v>
      </c>
      <c r="BK307" s="32" t="s">
        <v>1225</v>
      </c>
      <c r="BL307" s="32" t="s">
        <v>1225</v>
      </c>
      <c r="BM307" s="32" t="s">
        <v>1225</v>
      </c>
      <c r="BN307" s="32" t="s">
        <v>1225</v>
      </c>
      <c r="BO307" s="32" t="s">
        <v>1225</v>
      </c>
      <c r="BP307" s="32" t="s">
        <v>1225</v>
      </c>
      <c r="BQ307" s="32" t="s">
        <v>1225</v>
      </c>
      <c r="BR307" s="32" t="s">
        <v>1225</v>
      </c>
      <c r="BS307" s="32" t="s">
        <v>1225</v>
      </c>
      <c r="BT307" s="32" t="s">
        <v>1225</v>
      </c>
      <c r="BU307" s="32" t="s">
        <v>1225</v>
      </c>
      <c r="BV307" s="32" t="s">
        <v>1225</v>
      </c>
      <c r="BW307" s="32" t="str">
        <f t="shared" si="8"/>
        <v>View Full Record in Web of Science</v>
      </c>
      <c r="BY307" s="41" t="str">
        <f>IF(Deletion!J307=TRUE,"Yes","No")</f>
        <v>Yes</v>
      </c>
    </row>
    <row r="308" spans="1:77" x14ac:dyDescent="0.15">
      <c r="A308" s="34">
        <f t="shared" si="9"/>
        <v>307</v>
      </c>
      <c r="B308" s="34" t="s">
        <v>4</v>
      </c>
      <c r="C308" s="34" t="s">
        <v>4</v>
      </c>
      <c r="D308" s="34" t="s">
        <v>1223</v>
      </c>
      <c r="E308" s="34" t="s">
        <v>3320</v>
      </c>
      <c r="F308" s="32" t="s">
        <v>1225</v>
      </c>
      <c r="G308" s="32" t="s">
        <v>1225</v>
      </c>
      <c r="H308" s="32" t="s">
        <v>1225</v>
      </c>
      <c r="I308" s="34" t="s">
        <v>3321</v>
      </c>
      <c r="J308" s="32" t="s">
        <v>1225</v>
      </c>
      <c r="K308" s="32" t="s">
        <v>1225</v>
      </c>
      <c r="L308" s="34" t="s">
        <v>3322</v>
      </c>
      <c r="M308" s="34" t="s">
        <v>3323</v>
      </c>
      <c r="N308" s="32" t="s">
        <v>1225</v>
      </c>
      <c r="O308" s="32" t="s">
        <v>1225</v>
      </c>
      <c r="P308" s="32" t="s">
        <v>1225</v>
      </c>
      <c r="Q308" s="34" t="s">
        <v>1227</v>
      </c>
      <c r="R308" s="32" t="s">
        <v>1225</v>
      </c>
      <c r="S308" s="32" t="s">
        <v>1225</v>
      </c>
      <c r="T308" s="32" t="s">
        <v>1225</v>
      </c>
      <c r="U308" s="32" t="s">
        <v>1225</v>
      </c>
      <c r="V308" s="32" t="s">
        <v>1225</v>
      </c>
      <c r="W308" s="34" t="s">
        <v>3324</v>
      </c>
      <c r="X308" s="34" t="s">
        <v>3325</v>
      </c>
      <c r="Y308" s="34" t="s">
        <v>3326</v>
      </c>
      <c r="Z308" s="32" t="s">
        <v>1225</v>
      </c>
      <c r="AA308" s="32" t="s">
        <v>1225</v>
      </c>
      <c r="AB308" s="32" t="s">
        <v>1225</v>
      </c>
      <c r="AC308" s="32" t="s">
        <v>1225</v>
      </c>
      <c r="AD308" s="32" t="s">
        <v>1225</v>
      </c>
      <c r="AE308" s="32" t="s">
        <v>1225</v>
      </c>
      <c r="AF308" s="32" t="s">
        <v>1225</v>
      </c>
      <c r="AG308" s="32" t="s">
        <v>1225</v>
      </c>
      <c r="AH308" s="32" t="s">
        <v>1225</v>
      </c>
      <c r="AI308" s="32" t="s">
        <v>1225</v>
      </c>
      <c r="AJ308" s="32" t="s">
        <v>1225</v>
      </c>
      <c r="AK308" s="32" t="s">
        <v>1225</v>
      </c>
      <c r="AL308" s="32" t="s">
        <v>1225</v>
      </c>
      <c r="AM308" s="32" t="s">
        <v>1225</v>
      </c>
      <c r="AN308" s="32" t="s">
        <v>1225</v>
      </c>
      <c r="AO308" s="32" t="s">
        <v>1225</v>
      </c>
      <c r="AP308" s="32" t="s">
        <v>1225</v>
      </c>
      <c r="AQ308" s="32" t="s">
        <v>1225</v>
      </c>
      <c r="AR308" s="32" t="s">
        <v>1225</v>
      </c>
      <c r="AS308" s="32" t="s">
        <v>1225</v>
      </c>
      <c r="AT308" s="32" t="s">
        <v>1225</v>
      </c>
      <c r="AU308" s="32" t="s">
        <v>1225</v>
      </c>
      <c r="AV308" s="32" t="s">
        <v>1225</v>
      </c>
      <c r="AW308" s="34" t="s">
        <v>1276</v>
      </c>
      <c r="AX308" s="34">
        <v>2018</v>
      </c>
      <c r="AY308" s="32">
        <v>33</v>
      </c>
      <c r="AZ308" s="32">
        <v>5</v>
      </c>
      <c r="BA308" s="32" t="s">
        <v>1225</v>
      </c>
      <c r="BB308" s="32" t="s">
        <v>1225</v>
      </c>
      <c r="BC308" s="32" t="s">
        <v>1225</v>
      </c>
      <c r="BD308" s="32" t="s">
        <v>1225</v>
      </c>
      <c r="BE308" s="32">
        <v>2373</v>
      </c>
      <c r="BF308" s="32">
        <v>2383</v>
      </c>
      <c r="BG308" s="32" t="s">
        <v>1225</v>
      </c>
      <c r="BH308" s="34" t="s">
        <v>3327</v>
      </c>
      <c r="BI308" s="34" t="str">
        <f>HYPERLINK("http://dx.doi.org/10.1109/TPWRD.2018.2834416","http://dx.doi.org/10.1109/TPWRD.2018.2834416")</f>
        <v>http://dx.doi.org/10.1109/TPWRD.2018.2834416</v>
      </c>
      <c r="BJ308" s="32" t="s">
        <v>1225</v>
      </c>
      <c r="BK308" s="32" t="s">
        <v>1225</v>
      </c>
      <c r="BL308" s="32" t="s">
        <v>1225</v>
      </c>
      <c r="BM308" s="32" t="s">
        <v>1225</v>
      </c>
      <c r="BN308" s="32" t="s">
        <v>1225</v>
      </c>
      <c r="BO308" s="32" t="s">
        <v>1225</v>
      </c>
      <c r="BP308" s="32" t="s">
        <v>1225</v>
      </c>
      <c r="BQ308" s="32" t="s">
        <v>1225</v>
      </c>
      <c r="BR308" s="32" t="s">
        <v>1225</v>
      </c>
      <c r="BS308" s="32" t="s">
        <v>1225</v>
      </c>
      <c r="BT308" s="32" t="s">
        <v>1225</v>
      </c>
      <c r="BU308" s="32" t="s">
        <v>1225</v>
      </c>
      <c r="BV308" s="32" t="s">
        <v>1225</v>
      </c>
      <c r="BW308" s="32" t="str">
        <f t="shared" si="8"/>
        <v>View Full Record in Web of Science</v>
      </c>
      <c r="BY308" s="41" t="str">
        <f>IF(Deletion!J308=TRUE,"Yes","No")</f>
        <v>No</v>
      </c>
    </row>
    <row r="309" spans="1:77" x14ac:dyDescent="0.15">
      <c r="A309" s="32">
        <f t="shared" si="9"/>
        <v>308</v>
      </c>
      <c r="D309" s="32" t="s">
        <v>1223</v>
      </c>
      <c r="E309" s="32" t="s">
        <v>3328</v>
      </c>
      <c r="F309" s="32" t="s">
        <v>1225</v>
      </c>
      <c r="G309" s="32" t="s">
        <v>1225</v>
      </c>
      <c r="H309" s="32" t="s">
        <v>1225</v>
      </c>
      <c r="I309" s="32" t="s">
        <v>3329</v>
      </c>
      <c r="J309" s="32" t="s">
        <v>1225</v>
      </c>
      <c r="K309" s="32" t="s">
        <v>1225</v>
      </c>
      <c r="L309" s="32" t="s">
        <v>3330</v>
      </c>
      <c r="M309" s="32" t="s">
        <v>114</v>
      </c>
      <c r="N309" s="32" t="s">
        <v>1225</v>
      </c>
      <c r="O309" s="32" t="s">
        <v>1225</v>
      </c>
      <c r="P309" s="32" t="s">
        <v>1225</v>
      </c>
      <c r="Q309" s="32" t="s">
        <v>1688</v>
      </c>
      <c r="R309" s="32" t="s">
        <v>1225</v>
      </c>
      <c r="S309" s="32" t="s">
        <v>1225</v>
      </c>
      <c r="T309" s="32" t="s">
        <v>1225</v>
      </c>
      <c r="U309" s="32" t="s">
        <v>1225</v>
      </c>
      <c r="V309" s="32" t="s">
        <v>1225</v>
      </c>
      <c r="W309" s="32" t="s">
        <v>3331</v>
      </c>
      <c r="X309" s="32" t="s">
        <v>3332</v>
      </c>
      <c r="Y309" s="32" t="s">
        <v>3333</v>
      </c>
      <c r="Z309" s="32" t="s">
        <v>1225</v>
      </c>
      <c r="AA309" s="32" t="s">
        <v>1225</v>
      </c>
      <c r="AB309" s="32" t="s">
        <v>1225</v>
      </c>
      <c r="AC309" s="32" t="s">
        <v>1225</v>
      </c>
      <c r="AD309" s="32" t="s">
        <v>1225</v>
      </c>
      <c r="AE309" s="32" t="s">
        <v>1225</v>
      </c>
      <c r="AF309" s="32" t="s">
        <v>1225</v>
      </c>
      <c r="AG309" s="32" t="s">
        <v>1225</v>
      </c>
      <c r="AH309" s="32" t="s">
        <v>1225</v>
      </c>
      <c r="AI309" s="32" t="s">
        <v>1225</v>
      </c>
      <c r="AJ309" s="32" t="s">
        <v>1225</v>
      </c>
      <c r="AK309" s="32" t="s">
        <v>1225</v>
      </c>
      <c r="AL309" s="32" t="s">
        <v>1225</v>
      </c>
      <c r="AM309" s="32" t="s">
        <v>1225</v>
      </c>
      <c r="AN309" s="32" t="s">
        <v>1225</v>
      </c>
      <c r="AO309" s="32" t="s">
        <v>1225</v>
      </c>
      <c r="AP309" s="32" t="s">
        <v>1225</v>
      </c>
      <c r="AQ309" s="32" t="s">
        <v>1225</v>
      </c>
      <c r="AR309" s="32" t="s">
        <v>1225</v>
      </c>
      <c r="AS309" s="32" t="s">
        <v>1225</v>
      </c>
      <c r="AT309" s="32" t="s">
        <v>1225</v>
      </c>
      <c r="AU309" s="32" t="s">
        <v>1225</v>
      </c>
      <c r="AV309" s="32" t="s">
        <v>1225</v>
      </c>
      <c r="AW309" s="32" t="s">
        <v>1225</v>
      </c>
      <c r="AX309" s="32" t="s">
        <v>1225</v>
      </c>
      <c r="AY309" s="32" t="s">
        <v>1225</v>
      </c>
      <c r="AZ309" s="32" t="s">
        <v>1225</v>
      </c>
      <c r="BA309" s="32" t="s">
        <v>1225</v>
      </c>
      <c r="BB309" s="32" t="s">
        <v>1225</v>
      </c>
      <c r="BC309" s="32" t="s">
        <v>1225</v>
      </c>
      <c r="BD309" s="32" t="s">
        <v>1225</v>
      </c>
      <c r="BE309" s="32" t="s">
        <v>1225</v>
      </c>
      <c r="BF309" s="32" t="s">
        <v>1225</v>
      </c>
      <c r="BG309" s="32" t="s">
        <v>1225</v>
      </c>
      <c r="BH309" s="32" t="s">
        <v>3334</v>
      </c>
      <c r="BI309" s="32" t="str">
        <f>HYPERLINK("http://dx.doi.org/10.1109/TITS.2021.3099825","http://dx.doi.org/10.1109/TITS.2021.3099825")</f>
        <v>http://dx.doi.org/10.1109/TITS.2021.3099825</v>
      </c>
      <c r="BJ309" s="32" t="s">
        <v>1225</v>
      </c>
      <c r="BK309" s="32" t="s">
        <v>3335</v>
      </c>
      <c r="BL309" s="32" t="s">
        <v>1225</v>
      </c>
      <c r="BM309" s="32" t="s">
        <v>1225</v>
      </c>
      <c r="BN309" s="32" t="s">
        <v>1225</v>
      </c>
      <c r="BO309" s="32" t="s">
        <v>1225</v>
      </c>
      <c r="BP309" s="32" t="s">
        <v>1225</v>
      </c>
      <c r="BQ309" s="32" t="s">
        <v>1225</v>
      </c>
      <c r="BR309" s="32" t="s">
        <v>1225</v>
      </c>
      <c r="BS309" s="32" t="s">
        <v>1225</v>
      </c>
      <c r="BT309" s="32" t="s">
        <v>1225</v>
      </c>
      <c r="BU309" s="32" t="s">
        <v>1225</v>
      </c>
      <c r="BV309" s="32" t="s">
        <v>1225</v>
      </c>
      <c r="BW309" s="32" t="str">
        <f t="shared" si="8"/>
        <v>View Full Record in Web of Science</v>
      </c>
      <c r="BY309" s="41" t="str">
        <f>IF(Deletion!J309=TRUE,"Yes","No")</f>
        <v>Yes</v>
      </c>
    </row>
    <row r="310" spans="1:77" x14ac:dyDescent="0.15">
      <c r="A310" s="32">
        <f t="shared" si="9"/>
        <v>309</v>
      </c>
      <c r="D310" s="32" t="s">
        <v>1223</v>
      </c>
      <c r="E310" s="32" t="s">
        <v>3336</v>
      </c>
      <c r="F310" s="32" t="s">
        <v>1225</v>
      </c>
      <c r="G310" s="32" t="s">
        <v>1225</v>
      </c>
      <c r="H310" s="32" t="s">
        <v>1225</v>
      </c>
      <c r="I310" s="32" t="s">
        <v>3337</v>
      </c>
      <c r="J310" s="32" t="s">
        <v>1225</v>
      </c>
      <c r="K310" s="32" t="s">
        <v>1225</v>
      </c>
      <c r="L310" s="32" t="s">
        <v>3338</v>
      </c>
      <c r="M310" s="32" t="s">
        <v>502</v>
      </c>
      <c r="N310" s="32" t="s">
        <v>1225</v>
      </c>
      <c r="O310" s="32" t="s">
        <v>1225</v>
      </c>
      <c r="P310" s="32" t="s">
        <v>1225</v>
      </c>
      <c r="Q310" s="32" t="s">
        <v>1227</v>
      </c>
      <c r="R310" s="32" t="s">
        <v>1225</v>
      </c>
      <c r="S310" s="32" t="s">
        <v>1225</v>
      </c>
      <c r="T310" s="32" t="s">
        <v>1225</v>
      </c>
      <c r="U310" s="32" t="s">
        <v>1225</v>
      </c>
      <c r="V310" s="32" t="s">
        <v>1225</v>
      </c>
      <c r="W310" s="32" t="s">
        <v>3339</v>
      </c>
      <c r="X310" s="32" t="s">
        <v>3340</v>
      </c>
      <c r="Y310" s="32" t="s">
        <v>3341</v>
      </c>
      <c r="Z310" s="32" t="s">
        <v>1225</v>
      </c>
      <c r="AA310" s="32" t="s">
        <v>1225</v>
      </c>
      <c r="AB310" s="32" t="s">
        <v>1225</v>
      </c>
      <c r="AC310" s="32" t="s">
        <v>1225</v>
      </c>
      <c r="AD310" s="32" t="s">
        <v>1225</v>
      </c>
      <c r="AE310" s="32" t="s">
        <v>1225</v>
      </c>
      <c r="AF310" s="32" t="s">
        <v>1225</v>
      </c>
      <c r="AG310" s="32" t="s">
        <v>1225</v>
      </c>
      <c r="AH310" s="32" t="s">
        <v>1225</v>
      </c>
      <c r="AI310" s="32" t="s">
        <v>1225</v>
      </c>
      <c r="AJ310" s="32" t="s">
        <v>1225</v>
      </c>
      <c r="AK310" s="32" t="s">
        <v>1225</v>
      </c>
      <c r="AL310" s="32" t="s">
        <v>1225</v>
      </c>
      <c r="AM310" s="32" t="s">
        <v>1225</v>
      </c>
      <c r="AN310" s="32" t="s">
        <v>1225</v>
      </c>
      <c r="AO310" s="32" t="s">
        <v>1225</v>
      </c>
      <c r="AP310" s="32" t="s">
        <v>1225</v>
      </c>
      <c r="AQ310" s="32" t="s">
        <v>1225</v>
      </c>
      <c r="AR310" s="32" t="s">
        <v>1225</v>
      </c>
      <c r="AS310" s="32" t="s">
        <v>1225</v>
      </c>
      <c r="AT310" s="32" t="s">
        <v>1225</v>
      </c>
      <c r="AU310" s="32" t="s">
        <v>1225</v>
      </c>
      <c r="AV310" s="32" t="s">
        <v>1225</v>
      </c>
      <c r="AW310" s="32" t="s">
        <v>1647</v>
      </c>
      <c r="AX310" s="32">
        <v>2015</v>
      </c>
      <c r="AY310" s="32">
        <v>87</v>
      </c>
      <c r="AZ310" s="32" t="s">
        <v>1225</v>
      </c>
      <c r="BA310" s="32" t="s">
        <v>1225</v>
      </c>
      <c r="BB310" s="32" t="s">
        <v>1225</v>
      </c>
      <c r="BC310" s="32" t="s">
        <v>1225</v>
      </c>
      <c r="BD310" s="32" t="s">
        <v>1225</v>
      </c>
      <c r="BE310" s="32">
        <v>10</v>
      </c>
      <c r="BF310" s="32">
        <v>20</v>
      </c>
      <c r="BG310" s="32" t="s">
        <v>1225</v>
      </c>
      <c r="BH310" s="32" t="s">
        <v>3342</v>
      </c>
      <c r="BI310" s="32" t="str">
        <f>HYPERLINK("http://dx.doi.org/10.1016/j.energy.2015.04.044","http://dx.doi.org/10.1016/j.energy.2015.04.044")</f>
        <v>http://dx.doi.org/10.1016/j.energy.2015.04.044</v>
      </c>
      <c r="BJ310" s="32" t="s">
        <v>1225</v>
      </c>
      <c r="BK310" s="32" t="s">
        <v>1225</v>
      </c>
      <c r="BL310" s="32" t="s">
        <v>1225</v>
      </c>
      <c r="BM310" s="32" t="s">
        <v>1225</v>
      </c>
      <c r="BN310" s="32" t="s">
        <v>1225</v>
      </c>
      <c r="BO310" s="32" t="s">
        <v>1225</v>
      </c>
      <c r="BP310" s="32" t="s">
        <v>1225</v>
      </c>
      <c r="BQ310" s="32" t="s">
        <v>1225</v>
      </c>
      <c r="BR310" s="32" t="s">
        <v>1225</v>
      </c>
      <c r="BS310" s="32" t="s">
        <v>1225</v>
      </c>
      <c r="BT310" s="32" t="s">
        <v>1225</v>
      </c>
      <c r="BU310" s="32" t="s">
        <v>1225</v>
      </c>
      <c r="BV310" s="32" t="s">
        <v>1225</v>
      </c>
      <c r="BW310" s="32" t="str">
        <f t="shared" si="8"/>
        <v>View Full Record in Web of Science</v>
      </c>
      <c r="BY310" s="41" t="str">
        <f>IF(Deletion!J310=TRUE,"Yes","No")</f>
        <v>Yes</v>
      </c>
    </row>
    <row r="311" spans="1:77" x14ac:dyDescent="0.15">
      <c r="A311" s="38">
        <f t="shared" si="9"/>
        <v>310</v>
      </c>
      <c r="B311" s="38" t="s">
        <v>1413</v>
      </c>
      <c r="C311" s="38" t="s">
        <v>1413</v>
      </c>
      <c r="D311" s="38" t="s">
        <v>1223</v>
      </c>
      <c r="E311" s="38" t="s">
        <v>3343</v>
      </c>
      <c r="F311" s="32" t="s">
        <v>1225</v>
      </c>
      <c r="G311" s="32" t="s">
        <v>1225</v>
      </c>
      <c r="H311" s="32" t="s">
        <v>1225</v>
      </c>
      <c r="I311" s="38" t="s">
        <v>3344</v>
      </c>
      <c r="J311" s="32" t="s">
        <v>1225</v>
      </c>
      <c r="K311" s="32" t="s">
        <v>1225</v>
      </c>
      <c r="L311" s="38" t="s">
        <v>3345</v>
      </c>
      <c r="M311" s="38" t="s">
        <v>1451</v>
      </c>
      <c r="N311" s="32" t="s">
        <v>1225</v>
      </c>
      <c r="O311" s="32" t="s">
        <v>1225</v>
      </c>
      <c r="P311" s="32" t="s">
        <v>1225</v>
      </c>
      <c r="Q311" s="38" t="s">
        <v>1417</v>
      </c>
      <c r="R311" s="32" t="s">
        <v>1225</v>
      </c>
      <c r="S311" s="32" t="s">
        <v>1225</v>
      </c>
      <c r="T311" s="32" t="s">
        <v>1225</v>
      </c>
      <c r="U311" s="32" t="s">
        <v>1225</v>
      </c>
      <c r="V311" s="32" t="s">
        <v>1225</v>
      </c>
      <c r="W311" s="38" t="s">
        <v>3346</v>
      </c>
      <c r="X311" s="38" t="s">
        <v>3347</v>
      </c>
      <c r="Y311" s="38" t="s">
        <v>3348</v>
      </c>
      <c r="Z311" s="32" t="s">
        <v>1225</v>
      </c>
      <c r="AA311" s="32" t="s">
        <v>1225</v>
      </c>
      <c r="AB311" s="32" t="s">
        <v>1225</v>
      </c>
      <c r="AC311" s="32" t="s">
        <v>1225</v>
      </c>
      <c r="AD311" s="32" t="s">
        <v>1225</v>
      </c>
      <c r="AE311" s="32" t="s">
        <v>1225</v>
      </c>
      <c r="AF311" s="32" t="s">
        <v>1225</v>
      </c>
      <c r="AG311" s="32" t="s">
        <v>1225</v>
      </c>
      <c r="AH311" s="32" t="s">
        <v>1225</v>
      </c>
      <c r="AI311" s="32" t="s">
        <v>1225</v>
      </c>
      <c r="AJ311" s="32" t="s">
        <v>1225</v>
      </c>
      <c r="AK311" s="32" t="s">
        <v>1225</v>
      </c>
      <c r="AL311" s="32" t="s">
        <v>1225</v>
      </c>
      <c r="AM311" s="32" t="s">
        <v>1225</v>
      </c>
      <c r="AN311" s="32" t="s">
        <v>1225</v>
      </c>
      <c r="AO311" s="32" t="s">
        <v>1225</v>
      </c>
      <c r="AP311" s="32" t="s">
        <v>1225</v>
      </c>
      <c r="AQ311" s="32" t="s">
        <v>1225</v>
      </c>
      <c r="AR311" s="32" t="s">
        <v>1225</v>
      </c>
      <c r="AS311" s="32" t="s">
        <v>1225</v>
      </c>
      <c r="AT311" s="32" t="s">
        <v>1225</v>
      </c>
      <c r="AU311" s="32" t="s">
        <v>1225</v>
      </c>
      <c r="AV311" s="32" t="s">
        <v>1225</v>
      </c>
      <c r="AW311" s="38" t="s">
        <v>1256</v>
      </c>
      <c r="AX311" s="38">
        <v>2016</v>
      </c>
      <c r="AY311" s="32">
        <v>66</v>
      </c>
      <c r="AZ311" s="32" t="s">
        <v>1225</v>
      </c>
      <c r="BA311" s="32" t="s">
        <v>1225</v>
      </c>
      <c r="BB311" s="32" t="s">
        <v>1225</v>
      </c>
      <c r="BC311" s="32" t="s">
        <v>1225</v>
      </c>
      <c r="BD311" s="32" t="s">
        <v>1225</v>
      </c>
      <c r="BE311" s="32">
        <v>679</v>
      </c>
      <c r="BF311" s="32">
        <v>693</v>
      </c>
      <c r="BG311" s="32" t="s">
        <v>1225</v>
      </c>
      <c r="BH311" s="38" t="s">
        <v>3349</v>
      </c>
      <c r="BI311" s="38" t="str">
        <f>HYPERLINK("http://dx.doi.org/10.1016/j.rser.2016.08.015","http://dx.doi.org/10.1016/j.rser.2016.08.015")</f>
        <v>http://dx.doi.org/10.1016/j.rser.2016.08.015</v>
      </c>
      <c r="BJ311" s="32" t="s">
        <v>1225</v>
      </c>
      <c r="BK311" s="32" t="s">
        <v>1225</v>
      </c>
      <c r="BL311" s="32" t="s">
        <v>1225</v>
      </c>
      <c r="BM311" s="32" t="s">
        <v>1225</v>
      </c>
      <c r="BN311" s="32" t="s">
        <v>1225</v>
      </c>
      <c r="BO311" s="32" t="s">
        <v>1225</v>
      </c>
      <c r="BP311" s="32" t="s">
        <v>1225</v>
      </c>
      <c r="BQ311" s="32" t="s">
        <v>1225</v>
      </c>
      <c r="BR311" s="32" t="s">
        <v>1225</v>
      </c>
      <c r="BS311" s="32" t="s">
        <v>1225</v>
      </c>
      <c r="BT311" s="32" t="s">
        <v>1225</v>
      </c>
      <c r="BU311" s="32" t="s">
        <v>1225</v>
      </c>
      <c r="BV311" s="32" t="s">
        <v>1225</v>
      </c>
      <c r="BW311" s="32" t="str">
        <f t="shared" si="8"/>
        <v>View Full Record in Web of Science</v>
      </c>
      <c r="BY311" s="41" t="str">
        <f>IF(Deletion!J311=TRUE,"Yes","No")</f>
        <v>No</v>
      </c>
    </row>
    <row r="312" spans="1:77" x14ac:dyDescent="0.15">
      <c r="A312" s="32">
        <f t="shared" si="9"/>
        <v>311</v>
      </c>
      <c r="D312" s="32" t="s">
        <v>1223</v>
      </c>
      <c r="E312" s="32" t="s">
        <v>3350</v>
      </c>
      <c r="F312" s="32" t="s">
        <v>1225</v>
      </c>
      <c r="G312" s="32" t="s">
        <v>1225</v>
      </c>
      <c r="H312" s="32" t="s">
        <v>1225</v>
      </c>
      <c r="I312" s="32" t="s">
        <v>3351</v>
      </c>
      <c r="J312" s="32" t="s">
        <v>1225</v>
      </c>
      <c r="K312" s="32" t="s">
        <v>1225</v>
      </c>
      <c r="L312" s="32" t="s">
        <v>3352</v>
      </c>
      <c r="M312" s="32" t="s">
        <v>114</v>
      </c>
      <c r="N312" s="32" t="s">
        <v>1225</v>
      </c>
      <c r="O312" s="32" t="s">
        <v>1225</v>
      </c>
      <c r="P312" s="32" t="s">
        <v>1225</v>
      </c>
      <c r="Q312" s="32" t="s">
        <v>1688</v>
      </c>
      <c r="R312" s="32" t="s">
        <v>1225</v>
      </c>
      <c r="S312" s="32" t="s">
        <v>1225</v>
      </c>
      <c r="T312" s="32" t="s">
        <v>1225</v>
      </c>
      <c r="U312" s="32" t="s">
        <v>1225</v>
      </c>
      <c r="V312" s="32" t="s">
        <v>1225</v>
      </c>
      <c r="W312" s="32" t="s">
        <v>3353</v>
      </c>
      <c r="X312" s="32" t="s">
        <v>3354</v>
      </c>
      <c r="Y312" s="32" t="s">
        <v>3355</v>
      </c>
      <c r="Z312" s="32" t="s">
        <v>1225</v>
      </c>
      <c r="AA312" s="32" t="s">
        <v>1225</v>
      </c>
      <c r="AB312" s="32" t="s">
        <v>1225</v>
      </c>
      <c r="AC312" s="32" t="s">
        <v>1225</v>
      </c>
      <c r="AD312" s="32" t="s">
        <v>1225</v>
      </c>
      <c r="AE312" s="32" t="s">
        <v>1225</v>
      </c>
      <c r="AF312" s="32" t="s">
        <v>1225</v>
      </c>
      <c r="AG312" s="32" t="s">
        <v>1225</v>
      </c>
      <c r="AH312" s="32" t="s">
        <v>1225</v>
      </c>
      <c r="AI312" s="32" t="s">
        <v>1225</v>
      </c>
      <c r="AJ312" s="32" t="s">
        <v>1225</v>
      </c>
      <c r="AK312" s="32" t="s">
        <v>1225</v>
      </c>
      <c r="AL312" s="32" t="s">
        <v>1225</v>
      </c>
      <c r="AM312" s="32" t="s">
        <v>1225</v>
      </c>
      <c r="AN312" s="32" t="s">
        <v>1225</v>
      </c>
      <c r="AO312" s="32" t="s">
        <v>1225</v>
      </c>
      <c r="AP312" s="32" t="s">
        <v>1225</v>
      </c>
      <c r="AQ312" s="32" t="s">
        <v>1225</v>
      </c>
      <c r="AR312" s="32" t="s">
        <v>1225</v>
      </c>
      <c r="AS312" s="32" t="s">
        <v>1225</v>
      </c>
      <c r="AT312" s="32" t="s">
        <v>1225</v>
      </c>
      <c r="AU312" s="32" t="s">
        <v>1225</v>
      </c>
      <c r="AV312" s="32" t="s">
        <v>1225</v>
      </c>
      <c r="AW312" s="32" t="s">
        <v>1225</v>
      </c>
      <c r="AX312" s="32" t="s">
        <v>1225</v>
      </c>
      <c r="AY312" s="32" t="s">
        <v>1225</v>
      </c>
      <c r="AZ312" s="32" t="s">
        <v>1225</v>
      </c>
      <c r="BA312" s="32" t="s">
        <v>1225</v>
      </c>
      <c r="BB312" s="32" t="s">
        <v>1225</v>
      </c>
      <c r="BC312" s="32" t="s">
        <v>1225</v>
      </c>
      <c r="BD312" s="32" t="s">
        <v>1225</v>
      </c>
      <c r="BE312" s="32" t="s">
        <v>1225</v>
      </c>
      <c r="BF312" s="32" t="s">
        <v>1225</v>
      </c>
      <c r="BG312" s="32" t="s">
        <v>1225</v>
      </c>
      <c r="BH312" s="32" t="s">
        <v>3356</v>
      </c>
      <c r="BI312" s="32" t="str">
        <f>HYPERLINK("http://dx.doi.org/10.1109/TITS.2021.3114537","http://dx.doi.org/10.1109/TITS.2021.3114537")</f>
        <v>http://dx.doi.org/10.1109/TITS.2021.3114537</v>
      </c>
      <c r="BJ312" s="32" t="s">
        <v>1225</v>
      </c>
      <c r="BK312" s="32" t="s">
        <v>1502</v>
      </c>
      <c r="BL312" s="32" t="s">
        <v>1225</v>
      </c>
      <c r="BM312" s="32" t="s">
        <v>1225</v>
      </c>
      <c r="BN312" s="32" t="s">
        <v>1225</v>
      </c>
      <c r="BO312" s="32" t="s">
        <v>1225</v>
      </c>
      <c r="BP312" s="32" t="s">
        <v>1225</v>
      </c>
      <c r="BQ312" s="32" t="s">
        <v>1225</v>
      </c>
      <c r="BR312" s="32" t="s">
        <v>1225</v>
      </c>
      <c r="BS312" s="32" t="s">
        <v>1225</v>
      </c>
      <c r="BT312" s="32" t="s">
        <v>1225</v>
      </c>
      <c r="BU312" s="32" t="s">
        <v>1225</v>
      </c>
      <c r="BV312" s="32" t="s">
        <v>1225</v>
      </c>
      <c r="BW312" s="32" t="str">
        <f t="shared" si="8"/>
        <v>View Full Record in Web of Science</v>
      </c>
      <c r="BY312" s="41" t="str">
        <f>IF(Deletion!J312=TRUE,"Yes","No")</f>
        <v>Yes</v>
      </c>
    </row>
    <row r="313" spans="1:77" x14ac:dyDescent="0.15">
      <c r="A313" s="32">
        <f t="shared" si="9"/>
        <v>312</v>
      </c>
      <c r="D313" s="32" t="s">
        <v>1223</v>
      </c>
      <c r="E313" s="32" t="s">
        <v>3357</v>
      </c>
      <c r="F313" s="32" t="s">
        <v>1225</v>
      </c>
      <c r="G313" s="32" t="s">
        <v>1225</v>
      </c>
      <c r="H313" s="32" t="s">
        <v>1225</v>
      </c>
      <c r="I313" s="32" t="s">
        <v>3358</v>
      </c>
      <c r="J313" s="32" t="s">
        <v>1225</v>
      </c>
      <c r="K313" s="32" t="s">
        <v>1225</v>
      </c>
      <c r="L313" s="32" t="s">
        <v>3359</v>
      </c>
      <c r="M313" s="32" t="s">
        <v>3360</v>
      </c>
      <c r="N313" s="32" t="s">
        <v>1225</v>
      </c>
      <c r="O313" s="32" t="s">
        <v>1225</v>
      </c>
      <c r="P313" s="32" t="s">
        <v>1225</v>
      </c>
      <c r="Q313" s="32" t="s">
        <v>1227</v>
      </c>
      <c r="R313" s="32" t="s">
        <v>1225</v>
      </c>
      <c r="S313" s="32" t="s">
        <v>1225</v>
      </c>
      <c r="T313" s="32" t="s">
        <v>1225</v>
      </c>
      <c r="U313" s="32" t="s">
        <v>1225</v>
      </c>
      <c r="V313" s="32" t="s">
        <v>1225</v>
      </c>
      <c r="W313" s="32" t="s">
        <v>3361</v>
      </c>
      <c r="X313" s="32" t="s">
        <v>3362</v>
      </c>
      <c r="Y313" s="32" t="s">
        <v>3363</v>
      </c>
      <c r="Z313" s="32" t="s">
        <v>1225</v>
      </c>
      <c r="AA313" s="32" t="s">
        <v>1225</v>
      </c>
      <c r="AB313" s="32" t="s">
        <v>1225</v>
      </c>
      <c r="AC313" s="32" t="s">
        <v>1225</v>
      </c>
      <c r="AD313" s="32" t="s">
        <v>1225</v>
      </c>
      <c r="AE313" s="32" t="s">
        <v>1225</v>
      </c>
      <c r="AF313" s="32" t="s">
        <v>1225</v>
      </c>
      <c r="AG313" s="32" t="s">
        <v>1225</v>
      </c>
      <c r="AH313" s="32" t="s">
        <v>1225</v>
      </c>
      <c r="AI313" s="32" t="s">
        <v>1225</v>
      </c>
      <c r="AJ313" s="32" t="s">
        <v>1225</v>
      </c>
      <c r="AK313" s="32" t="s">
        <v>1225</v>
      </c>
      <c r="AL313" s="32" t="s">
        <v>1225</v>
      </c>
      <c r="AM313" s="32" t="s">
        <v>1225</v>
      </c>
      <c r="AN313" s="32" t="s">
        <v>1225</v>
      </c>
      <c r="AO313" s="32" t="s">
        <v>1225</v>
      </c>
      <c r="AP313" s="32" t="s">
        <v>1225</v>
      </c>
      <c r="AQ313" s="32" t="s">
        <v>1225</v>
      </c>
      <c r="AR313" s="32" t="s">
        <v>1225</v>
      </c>
      <c r="AS313" s="32" t="s">
        <v>1225</v>
      </c>
      <c r="AT313" s="32" t="s">
        <v>1225</v>
      </c>
      <c r="AU313" s="32" t="s">
        <v>1225</v>
      </c>
      <c r="AV313" s="32" t="s">
        <v>1225</v>
      </c>
      <c r="AW313" s="32" t="s">
        <v>3364</v>
      </c>
      <c r="AX313" s="32">
        <v>2020</v>
      </c>
      <c r="AY313" s="32">
        <v>14</v>
      </c>
      <c r="AZ313" s="32">
        <v>3</v>
      </c>
      <c r="BA313" s="32" t="s">
        <v>1225</v>
      </c>
      <c r="BB313" s="32" t="s">
        <v>1225</v>
      </c>
      <c r="BC313" s="32" t="s">
        <v>1225</v>
      </c>
      <c r="BD313" s="32" t="s">
        <v>1225</v>
      </c>
      <c r="BE313" s="32">
        <v>4221</v>
      </c>
      <c r="BF313" s="32">
        <v>4231</v>
      </c>
      <c r="BG313" s="32" t="s">
        <v>1225</v>
      </c>
      <c r="BH313" s="32" t="s">
        <v>3365</v>
      </c>
      <c r="BI313" s="32" t="str">
        <f>HYPERLINK("http://dx.doi.org/10.1109/JSYST.2020.2968270","http://dx.doi.org/10.1109/JSYST.2020.2968270")</f>
        <v>http://dx.doi.org/10.1109/JSYST.2020.2968270</v>
      </c>
      <c r="BJ313" s="32" t="s">
        <v>1225</v>
      </c>
      <c r="BK313" s="32" t="s">
        <v>1225</v>
      </c>
      <c r="BL313" s="32" t="s">
        <v>1225</v>
      </c>
      <c r="BM313" s="32" t="s">
        <v>1225</v>
      </c>
      <c r="BN313" s="32" t="s">
        <v>1225</v>
      </c>
      <c r="BO313" s="32" t="s">
        <v>1225</v>
      </c>
      <c r="BP313" s="32" t="s">
        <v>1225</v>
      </c>
      <c r="BQ313" s="32" t="s">
        <v>1225</v>
      </c>
      <c r="BR313" s="32" t="s">
        <v>1225</v>
      </c>
      <c r="BS313" s="32" t="s">
        <v>1225</v>
      </c>
      <c r="BT313" s="32" t="s">
        <v>1225</v>
      </c>
      <c r="BU313" s="32" t="s">
        <v>1225</v>
      </c>
      <c r="BV313" s="32" t="s">
        <v>1225</v>
      </c>
      <c r="BW313" s="32" t="str">
        <f t="shared" si="8"/>
        <v>View Full Record in Web of Science</v>
      </c>
      <c r="BY313" s="41" t="str">
        <f>IF(Deletion!J313=TRUE,"Yes","No")</f>
        <v>Yes</v>
      </c>
    </row>
    <row r="314" spans="1:77" x14ac:dyDescent="0.15">
      <c r="A314" s="32">
        <f t="shared" si="9"/>
        <v>313</v>
      </c>
      <c r="D314" s="32" t="s">
        <v>1223</v>
      </c>
      <c r="E314" s="32" t="s">
        <v>3366</v>
      </c>
      <c r="F314" s="32" t="s">
        <v>1225</v>
      </c>
      <c r="G314" s="32" t="s">
        <v>1225</v>
      </c>
      <c r="H314" s="32" t="s">
        <v>1225</v>
      </c>
      <c r="I314" s="32" t="s">
        <v>3367</v>
      </c>
      <c r="J314" s="32" t="s">
        <v>1225</v>
      </c>
      <c r="K314" s="32" t="s">
        <v>1225</v>
      </c>
      <c r="L314" s="32" t="s">
        <v>3368</v>
      </c>
      <c r="M314" s="32" t="s">
        <v>572</v>
      </c>
      <c r="N314" s="32" t="s">
        <v>1225</v>
      </c>
      <c r="O314" s="32" t="s">
        <v>1225</v>
      </c>
      <c r="P314" s="32" t="s">
        <v>1225</v>
      </c>
      <c r="Q314" s="32" t="s">
        <v>1227</v>
      </c>
      <c r="R314" s="32" t="s">
        <v>1225</v>
      </c>
      <c r="S314" s="32" t="s">
        <v>1225</v>
      </c>
      <c r="T314" s="32" t="s">
        <v>1225</v>
      </c>
      <c r="U314" s="32" t="s">
        <v>1225</v>
      </c>
      <c r="V314" s="32" t="s">
        <v>1225</v>
      </c>
      <c r="W314" s="32" t="s">
        <v>3369</v>
      </c>
      <c r="X314" s="32" t="s">
        <v>1225</v>
      </c>
      <c r="Y314" s="32" t="s">
        <v>3370</v>
      </c>
      <c r="Z314" s="32" t="s">
        <v>1225</v>
      </c>
      <c r="AA314" s="32" t="s">
        <v>1225</v>
      </c>
      <c r="AB314" s="32" t="s">
        <v>1225</v>
      </c>
      <c r="AC314" s="32" t="s">
        <v>1225</v>
      </c>
      <c r="AD314" s="32" t="s">
        <v>1225</v>
      </c>
      <c r="AE314" s="32" t="s">
        <v>1225</v>
      </c>
      <c r="AF314" s="32" t="s">
        <v>1225</v>
      </c>
      <c r="AG314" s="32" t="s">
        <v>1225</v>
      </c>
      <c r="AH314" s="32" t="s">
        <v>1225</v>
      </c>
      <c r="AI314" s="32" t="s">
        <v>1225</v>
      </c>
      <c r="AJ314" s="32" t="s">
        <v>1225</v>
      </c>
      <c r="AK314" s="32" t="s">
        <v>1225</v>
      </c>
      <c r="AL314" s="32" t="s">
        <v>1225</v>
      </c>
      <c r="AM314" s="32" t="s">
        <v>1225</v>
      </c>
      <c r="AN314" s="32" t="s">
        <v>1225</v>
      </c>
      <c r="AO314" s="32" t="s">
        <v>1225</v>
      </c>
      <c r="AP314" s="32" t="s">
        <v>1225</v>
      </c>
      <c r="AQ314" s="32" t="s">
        <v>1225</v>
      </c>
      <c r="AR314" s="32" t="s">
        <v>1225</v>
      </c>
      <c r="AS314" s="32" t="s">
        <v>1225</v>
      </c>
      <c r="AT314" s="32" t="s">
        <v>1225</v>
      </c>
      <c r="AU314" s="32" t="s">
        <v>1225</v>
      </c>
      <c r="AV314" s="32" t="s">
        <v>1225</v>
      </c>
      <c r="AW314" s="32" t="s">
        <v>1276</v>
      </c>
      <c r="AX314" s="32">
        <v>2016</v>
      </c>
      <c r="AY314" s="32">
        <v>63</v>
      </c>
      <c r="AZ314" s="32">
        <v>10</v>
      </c>
      <c r="BA314" s="32" t="s">
        <v>1225</v>
      </c>
      <c r="BB314" s="32" t="s">
        <v>1225</v>
      </c>
      <c r="BC314" s="32" t="s">
        <v>1225</v>
      </c>
      <c r="BD314" s="32" t="s">
        <v>1225</v>
      </c>
      <c r="BE314" s="32">
        <v>6623</v>
      </c>
      <c r="BF314" s="32">
        <v>6630</v>
      </c>
      <c r="BG314" s="32" t="s">
        <v>1225</v>
      </c>
      <c r="BH314" s="32" t="s">
        <v>3371</v>
      </c>
      <c r="BI314" s="32" t="str">
        <f>HYPERLINK("http://dx.doi.org/10.1109/TIE.2016.2570198","http://dx.doi.org/10.1109/TIE.2016.2570198")</f>
        <v>http://dx.doi.org/10.1109/TIE.2016.2570198</v>
      </c>
      <c r="BJ314" s="32" t="s">
        <v>1225</v>
      </c>
      <c r="BK314" s="32" t="s">
        <v>1225</v>
      </c>
      <c r="BL314" s="32" t="s">
        <v>1225</v>
      </c>
      <c r="BM314" s="32" t="s">
        <v>1225</v>
      </c>
      <c r="BN314" s="32" t="s">
        <v>1225</v>
      </c>
      <c r="BO314" s="32" t="s">
        <v>1225</v>
      </c>
      <c r="BP314" s="32" t="s">
        <v>1225</v>
      </c>
      <c r="BQ314" s="32" t="s">
        <v>1225</v>
      </c>
      <c r="BR314" s="32" t="s">
        <v>1225</v>
      </c>
      <c r="BS314" s="32" t="s">
        <v>1225</v>
      </c>
      <c r="BT314" s="32" t="s">
        <v>1225</v>
      </c>
      <c r="BU314" s="32" t="s">
        <v>1225</v>
      </c>
      <c r="BV314" s="32" t="s">
        <v>1225</v>
      </c>
      <c r="BW314" s="32" t="str">
        <f t="shared" si="8"/>
        <v>View Full Record in Web of Science</v>
      </c>
      <c r="BY314" s="41" t="str">
        <f>IF(Deletion!J314=TRUE,"Yes","No")</f>
        <v>Yes</v>
      </c>
    </row>
    <row r="315" spans="1:77" x14ac:dyDescent="0.15">
      <c r="A315" s="32">
        <f t="shared" si="9"/>
        <v>314</v>
      </c>
      <c r="D315" s="32" t="s">
        <v>1223</v>
      </c>
      <c r="E315" s="32" t="s">
        <v>3372</v>
      </c>
      <c r="F315" s="32" t="s">
        <v>1225</v>
      </c>
      <c r="G315" s="32" t="s">
        <v>1225</v>
      </c>
      <c r="H315" s="32" t="s">
        <v>1225</v>
      </c>
      <c r="I315" s="32" t="s">
        <v>3373</v>
      </c>
      <c r="J315" s="32" t="s">
        <v>1225</v>
      </c>
      <c r="K315" s="32" t="s">
        <v>1225</v>
      </c>
      <c r="L315" s="32" t="s">
        <v>3374</v>
      </c>
      <c r="M315" s="32" t="s">
        <v>863</v>
      </c>
      <c r="N315" s="32" t="s">
        <v>1225</v>
      </c>
      <c r="O315" s="32" t="s">
        <v>1225</v>
      </c>
      <c r="P315" s="32" t="s">
        <v>1225</v>
      </c>
      <c r="Q315" s="32" t="s">
        <v>1227</v>
      </c>
      <c r="R315" s="32" t="s">
        <v>1225</v>
      </c>
      <c r="S315" s="32" t="s">
        <v>1225</v>
      </c>
      <c r="T315" s="32" t="s">
        <v>1225</v>
      </c>
      <c r="U315" s="32" t="s">
        <v>1225</v>
      </c>
      <c r="V315" s="32" t="s">
        <v>1225</v>
      </c>
      <c r="W315" s="32" t="s">
        <v>3375</v>
      </c>
      <c r="X315" s="32" t="s">
        <v>3376</v>
      </c>
      <c r="Y315" s="32" t="s">
        <v>3377</v>
      </c>
      <c r="Z315" s="32" t="s">
        <v>1225</v>
      </c>
      <c r="AA315" s="32" t="s">
        <v>1225</v>
      </c>
      <c r="AB315" s="32" t="s">
        <v>1225</v>
      </c>
      <c r="AC315" s="32" t="s">
        <v>1225</v>
      </c>
      <c r="AD315" s="32" t="s">
        <v>1225</v>
      </c>
      <c r="AE315" s="32" t="s">
        <v>1225</v>
      </c>
      <c r="AF315" s="32" t="s">
        <v>1225</v>
      </c>
      <c r="AG315" s="32" t="s">
        <v>1225</v>
      </c>
      <c r="AH315" s="32" t="s">
        <v>1225</v>
      </c>
      <c r="AI315" s="32" t="s">
        <v>1225</v>
      </c>
      <c r="AJ315" s="32" t="s">
        <v>1225</v>
      </c>
      <c r="AK315" s="32" t="s">
        <v>1225</v>
      </c>
      <c r="AL315" s="32" t="s">
        <v>1225</v>
      </c>
      <c r="AM315" s="32" t="s">
        <v>1225</v>
      </c>
      <c r="AN315" s="32" t="s">
        <v>1225</v>
      </c>
      <c r="AO315" s="32" t="s">
        <v>1225</v>
      </c>
      <c r="AP315" s="32" t="s">
        <v>1225</v>
      </c>
      <c r="AQ315" s="32" t="s">
        <v>1225</v>
      </c>
      <c r="AR315" s="32" t="s">
        <v>1225</v>
      </c>
      <c r="AS315" s="32" t="s">
        <v>1225</v>
      </c>
      <c r="AT315" s="32" t="s">
        <v>1225</v>
      </c>
      <c r="AU315" s="32" t="s">
        <v>1225</v>
      </c>
      <c r="AV315" s="32" t="s">
        <v>1225</v>
      </c>
      <c r="AW315" s="32" t="s">
        <v>1726</v>
      </c>
      <c r="AX315" s="32">
        <v>2015</v>
      </c>
      <c r="AY315" s="32">
        <v>6</v>
      </c>
      <c r="AZ315" s="32">
        <v>2</v>
      </c>
      <c r="BA315" s="32" t="s">
        <v>1225</v>
      </c>
      <c r="BB315" s="32" t="s">
        <v>1225</v>
      </c>
      <c r="BC315" s="32" t="s">
        <v>1225</v>
      </c>
      <c r="BD315" s="32" t="s">
        <v>1225</v>
      </c>
      <c r="BE315" s="32">
        <v>635</v>
      </c>
      <c r="BF315" s="32">
        <v>643</v>
      </c>
      <c r="BG315" s="32" t="s">
        <v>1225</v>
      </c>
      <c r="BH315" s="32" t="s">
        <v>3378</v>
      </c>
      <c r="BI315" s="32" t="str">
        <f>HYPERLINK("http://dx.doi.org/10.1109/TSTE.2015.2402834","http://dx.doi.org/10.1109/TSTE.2015.2402834")</f>
        <v>http://dx.doi.org/10.1109/TSTE.2015.2402834</v>
      </c>
      <c r="BJ315" s="32" t="s">
        <v>1225</v>
      </c>
      <c r="BK315" s="32" t="s">
        <v>1225</v>
      </c>
      <c r="BL315" s="32" t="s">
        <v>1225</v>
      </c>
      <c r="BM315" s="32" t="s">
        <v>1225</v>
      </c>
      <c r="BN315" s="32" t="s">
        <v>1225</v>
      </c>
      <c r="BO315" s="32" t="s">
        <v>1225</v>
      </c>
      <c r="BP315" s="32" t="s">
        <v>1225</v>
      </c>
      <c r="BQ315" s="32" t="s">
        <v>1225</v>
      </c>
      <c r="BR315" s="32" t="s">
        <v>1225</v>
      </c>
      <c r="BS315" s="32" t="s">
        <v>1225</v>
      </c>
      <c r="BT315" s="32" t="s">
        <v>1225</v>
      </c>
      <c r="BU315" s="32" t="s">
        <v>1225</v>
      </c>
      <c r="BV315" s="32" t="s">
        <v>1225</v>
      </c>
      <c r="BW315" s="32" t="str">
        <f t="shared" si="8"/>
        <v>View Full Record in Web of Science</v>
      </c>
      <c r="BY315" s="41" t="str">
        <f>IF(Deletion!J315=TRUE,"Yes","No")</f>
        <v>Yes</v>
      </c>
    </row>
    <row r="316" spans="1:77" x14ac:dyDescent="0.15">
      <c r="A316" s="32">
        <f t="shared" si="9"/>
        <v>315</v>
      </c>
      <c r="D316" s="32" t="s">
        <v>1223</v>
      </c>
      <c r="E316" s="32" t="s">
        <v>3379</v>
      </c>
      <c r="F316" s="32" t="s">
        <v>1225</v>
      </c>
      <c r="G316" s="32" t="s">
        <v>1225</v>
      </c>
      <c r="H316" s="32" t="s">
        <v>1225</v>
      </c>
      <c r="I316" s="32" t="s">
        <v>3380</v>
      </c>
      <c r="J316" s="32" t="s">
        <v>1225</v>
      </c>
      <c r="K316" s="32" t="s">
        <v>1225</v>
      </c>
      <c r="L316" s="32" t="s">
        <v>3381</v>
      </c>
      <c r="M316" s="32" t="s">
        <v>553</v>
      </c>
      <c r="N316" s="32" t="s">
        <v>1225</v>
      </c>
      <c r="O316" s="32" t="s">
        <v>1225</v>
      </c>
      <c r="P316" s="32" t="s">
        <v>1225</v>
      </c>
      <c r="Q316" s="32" t="s">
        <v>1227</v>
      </c>
      <c r="R316" s="32" t="s">
        <v>1225</v>
      </c>
      <c r="S316" s="32" t="s">
        <v>1225</v>
      </c>
      <c r="T316" s="32" t="s">
        <v>1225</v>
      </c>
      <c r="U316" s="32" t="s">
        <v>1225</v>
      </c>
      <c r="V316" s="32" t="s">
        <v>1225</v>
      </c>
      <c r="W316" s="32" t="s">
        <v>3382</v>
      </c>
      <c r="X316" s="32" t="s">
        <v>3383</v>
      </c>
      <c r="Y316" s="32" t="s">
        <v>3384</v>
      </c>
      <c r="Z316" s="32" t="s">
        <v>1225</v>
      </c>
      <c r="AA316" s="32" t="s">
        <v>1225</v>
      </c>
      <c r="AB316" s="32" t="s">
        <v>1225</v>
      </c>
      <c r="AC316" s="32" t="s">
        <v>1225</v>
      </c>
      <c r="AD316" s="32" t="s">
        <v>1225</v>
      </c>
      <c r="AE316" s="32" t="s">
        <v>1225</v>
      </c>
      <c r="AF316" s="32" t="s">
        <v>1225</v>
      </c>
      <c r="AG316" s="32" t="s">
        <v>1225</v>
      </c>
      <c r="AH316" s="32" t="s">
        <v>1225</v>
      </c>
      <c r="AI316" s="32" t="s">
        <v>1225</v>
      </c>
      <c r="AJ316" s="32" t="s">
        <v>1225</v>
      </c>
      <c r="AK316" s="32" t="s">
        <v>1225</v>
      </c>
      <c r="AL316" s="32" t="s">
        <v>1225</v>
      </c>
      <c r="AM316" s="32" t="s">
        <v>1225</v>
      </c>
      <c r="AN316" s="32" t="s">
        <v>1225</v>
      </c>
      <c r="AO316" s="32" t="s">
        <v>1225</v>
      </c>
      <c r="AP316" s="32" t="s">
        <v>1225</v>
      </c>
      <c r="AQ316" s="32" t="s">
        <v>1225</v>
      </c>
      <c r="AR316" s="32" t="s">
        <v>1225</v>
      </c>
      <c r="AS316" s="32" t="s">
        <v>1225</v>
      </c>
      <c r="AT316" s="32" t="s">
        <v>1225</v>
      </c>
      <c r="AU316" s="32" t="s">
        <v>1225</v>
      </c>
      <c r="AV316" s="32" t="s">
        <v>1225</v>
      </c>
      <c r="AW316" s="32" t="s">
        <v>1317</v>
      </c>
      <c r="AX316" s="32">
        <v>2017</v>
      </c>
      <c r="AY316" s="32">
        <v>50</v>
      </c>
      <c r="AZ316" s="32" t="s">
        <v>1225</v>
      </c>
      <c r="BA316" s="32" t="s">
        <v>1225</v>
      </c>
      <c r="BB316" s="32" t="s">
        <v>1225</v>
      </c>
      <c r="BC316" s="32" t="s">
        <v>1225</v>
      </c>
      <c r="BD316" s="32" t="s">
        <v>1225</v>
      </c>
      <c r="BE316" s="32">
        <v>345</v>
      </c>
      <c r="BF316" s="32">
        <v>356</v>
      </c>
      <c r="BG316" s="32" t="s">
        <v>1225</v>
      </c>
      <c r="BH316" s="32" t="s">
        <v>3385</v>
      </c>
      <c r="BI316" s="32" t="str">
        <f>HYPERLINK("http://dx.doi.org/10.1016/j.trd.2016.11.020","http://dx.doi.org/10.1016/j.trd.2016.11.020")</f>
        <v>http://dx.doi.org/10.1016/j.trd.2016.11.020</v>
      </c>
      <c r="BJ316" s="32" t="s">
        <v>1225</v>
      </c>
      <c r="BK316" s="32" t="s">
        <v>1225</v>
      </c>
      <c r="BL316" s="32" t="s">
        <v>1225</v>
      </c>
      <c r="BM316" s="32" t="s">
        <v>1225</v>
      </c>
      <c r="BN316" s="32" t="s">
        <v>1225</v>
      </c>
      <c r="BO316" s="32" t="s">
        <v>1225</v>
      </c>
      <c r="BP316" s="32" t="s">
        <v>1225</v>
      </c>
      <c r="BQ316" s="32" t="s">
        <v>1225</v>
      </c>
      <c r="BR316" s="32" t="s">
        <v>1225</v>
      </c>
      <c r="BS316" s="32" t="s">
        <v>1225</v>
      </c>
      <c r="BT316" s="32" t="s">
        <v>1225</v>
      </c>
      <c r="BU316" s="32" t="s">
        <v>1225</v>
      </c>
      <c r="BV316" s="32" t="s">
        <v>1225</v>
      </c>
      <c r="BW316" s="32" t="str">
        <f t="shared" si="8"/>
        <v>View Full Record in Web of Science</v>
      </c>
      <c r="BY316" s="41" t="str">
        <f>IF(Deletion!J316=TRUE,"Yes","No")</f>
        <v>Yes</v>
      </c>
    </row>
    <row r="317" spans="1:77" x14ac:dyDescent="0.15">
      <c r="A317" s="32">
        <f t="shared" si="9"/>
        <v>316</v>
      </c>
      <c r="D317" s="32" t="s">
        <v>1223</v>
      </c>
      <c r="E317" s="32" t="s">
        <v>3386</v>
      </c>
      <c r="F317" s="32" t="s">
        <v>1225</v>
      </c>
      <c r="G317" s="32" t="s">
        <v>1225</v>
      </c>
      <c r="H317" s="32" t="s">
        <v>1225</v>
      </c>
      <c r="I317" s="32" t="s">
        <v>3387</v>
      </c>
      <c r="J317" s="32" t="s">
        <v>1225</v>
      </c>
      <c r="K317" s="32" t="s">
        <v>1225</v>
      </c>
      <c r="L317" s="32" t="s">
        <v>3388</v>
      </c>
      <c r="M317" s="32" t="s">
        <v>422</v>
      </c>
      <c r="N317" s="32" t="s">
        <v>1225</v>
      </c>
      <c r="O317" s="32" t="s">
        <v>1225</v>
      </c>
      <c r="P317" s="32" t="s">
        <v>1225</v>
      </c>
      <c r="Q317" s="32" t="s">
        <v>1227</v>
      </c>
      <c r="R317" s="32" t="s">
        <v>1225</v>
      </c>
      <c r="S317" s="32" t="s">
        <v>1225</v>
      </c>
      <c r="T317" s="32" t="s">
        <v>1225</v>
      </c>
      <c r="U317" s="32" t="s">
        <v>1225</v>
      </c>
      <c r="V317" s="32" t="s">
        <v>1225</v>
      </c>
      <c r="W317" s="32" t="s">
        <v>3389</v>
      </c>
      <c r="X317" s="32" t="s">
        <v>3390</v>
      </c>
      <c r="Y317" s="32" t="s">
        <v>3391</v>
      </c>
      <c r="Z317" s="32" t="s">
        <v>1225</v>
      </c>
      <c r="AA317" s="32" t="s">
        <v>1225</v>
      </c>
      <c r="AB317" s="32" t="s">
        <v>1225</v>
      </c>
      <c r="AC317" s="32" t="s">
        <v>1225</v>
      </c>
      <c r="AD317" s="32" t="s">
        <v>1225</v>
      </c>
      <c r="AE317" s="32" t="s">
        <v>1225</v>
      </c>
      <c r="AF317" s="32" t="s">
        <v>1225</v>
      </c>
      <c r="AG317" s="32" t="s">
        <v>1225</v>
      </c>
      <c r="AH317" s="32" t="s">
        <v>1225</v>
      </c>
      <c r="AI317" s="32" t="s">
        <v>1225</v>
      </c>
      <c r="AJ317" s="32" t="s">
        <v>1225</v>
      </c>
      <c r="AK317" s="32" t="s">
        <v>1225</v>
      </c>
      <c r="AL317" s="32" t="s">
        <v>1225</v>
      </c>
      <c r="AM317" s="32" t="s">
        <v>1225</v>
      </c>
      <c r="AN317" s="32" t="s">
        <v>1225</v>
      </c>
      <c r="AO317" s="32" t="s">
        <v>1225</v>
      </c>
      <c r="AP317" s="32" t="s">
        <v>1225</v>
      </c>
      <c r="AQ317" s="32" t="s">
        <v>1225</v>
      </c>
      <c r="AR317" s="32" t="s">
        <v>1225</v>
      </c>
      <c r="AS317" s="32" t="s">
        <v>1225</v>
      </c>
      <c r="AT317" s="32" t="s">
        <v>1225</v>
      </c>
      <c r="AU317" s="32" t="s">
        <v>1225</v>
      </c>
      <c r="AV317" s="32" t="s">
        <v>1225</v>
      </c>
      <c r="AW317" s="32" t="s">
        <v>1256</v>
      </c>
      <c r="AX317" s="32">
        <v>2021</v>
      </c>
      <c r="AY317" s="32">
        <v>14</v>
      </c>
      <c r="AZ317" s="32">
        <v>24</v>
      </c>
      <c r="BA317" s="32" t="s">
        <v>1225</v>
      </c>
      <c r="BB317" s="32" t="s">
        <v>1225</v>
      </c>
      <c r="BC317" s="32" t="s">
        <v>1225</v>
      </c>
      <c r="BD317" s="32" t="s">
        <v>1225</v>
      </c>
      <c r="BE317" s="32" t="s">
        <v>1225</v>
      </c>
      <c r="BF317" s="32" t="s">
        <v>1225</v>
      </c>
      <c r="BG317" s="32">
        <v>8399</v>
      </c>
      <c r="BH317" s="32" t="s">
        <v>3392</v>
      </c>
      <c r="BI317" s="32" t="str">
        <f>HYPERLINK("http://dx.doi.org/10.3390/en14248399","http://dx.doi.org/10.3390/en14248399")</f>
        <v>http://dx.doi.org/10.3390/en14248399</v>
      </c>
      <c r="BJ317" s="32" t="s">
        <v>1225</v>
      </c>
      <c r="BK317" s="32" t="s">
        <v>1225</v>
      </c>
      <c r="BL317" s="32" t="s">
        <v>1225</v>
      </c>
      <c r="BM317" s="32" t="s">
        <v>1225</v>
      </c>
      <c r="BN317" s="32" t="s">
        <v>1225</v>
      </c>
      <c r="BO317" s="32" t="s">
        <v>1225</v>
      </c>
      <c r="BP317" s="32" t="s">
        <v>1225</v>
      </c>
      <c r="BQ317" s="32" t="s">
        <v>1225</v>
      </c>
      <c r="BR317" s="32" t="s">
        <v>1225</v>
      </c>
      <c r="BS317" s="32" t="s">
        <v>1225</v>
      </c>
      <c r="BT317" s="32" t="s">
        <v>1225</v>
      </c>
      <c r="BU317" s="32" t="s">
        <v>1225</v>
      </c>
      <c r="BV317" s="32" t="s">
        <v>1225</v>
      </c>
      <c r="BW317" s="32" t="str">
        <f t="shared" si="8"/>
        <v>View Full Record in Web of Science</v>
      </c>
      <c r="BY317" s="41" t="str">
        <f>IF(Deletion!J317=TRUE,"Yes","No")</f>
        <v>Yes</v>
      </c>
    </row>
    <row r="318" spans="1:77" x14ac:dyDescent="0.15">
      <c r="A318" s="32">
        <f t="shared" si="9"/>
        <v>317</v>
      </c>
      <c r="D318" s="32" t="s">
        <v>1223</v>
      </c>
      <c r="E318" s="32" t="s">
        <v>3393</v>
      </c>
      <c r="F318" s="32" t="s">
        <v>1225</v>
      </c>
      <c r="G318" s="32" t="s">
        <v>1225</v>
      </c>
      <c r="H318" s="32" t="s">
        <v>1225</v>
      </c>
      <c r="I318" s="32" t="s">
        <v>3394</v>
      </c>
      <c r="J318" s="32" t="s">
        <v>1225</v>
      </c>
      <c r="K318" s="32" t="s">
        <v>1225</v>
      </c>
      <c r="L318" s="32" t="s">
        <v>3395</v>
      </c>
      <c r="M318" s="32" t="s">
        <v>97</v>
      </c>
      <c r="N318" s="32" t="s">
        <v>1225</v>
      </c>
      <c r="O318" s="32" t="s">
        <v>1225</v>
      </c>
      <c r="P318" s="32" t="s">
        <v>1225</v>
      </c>
      <c r="Q318" s="32" t="s">
        <v>1227</v>
      </c>
      <c r="R318" s="32" t="s">
        <v>1225</v>
      </c>
      <c r="S318" s="32" t="s">
        <v>1225</v>
      </c>
      <c r="T318" s="32" t="s">
        <v>1225</v>
      </c>
      <c r="U318" s="32" t="s">
        <v>1225</v>
      </c>
      <c r="V318" s="32" t="s">
        <v>1225</v>
      </c>
      <c r="W318" s="32" t="s">
        <v>3396</v>
      </c>
      <c r="X318" s="32" t="s">
        <v>3397</v>
      </c>
      <c r="Y318" s="32" t="s">
        <v>3398</v>
      </c>
      <c r="Z318" s="32" t="s">
        <v>1225</v>
      </c>
      <c r="AA318" s="32" t="s">
        <v>1225</v>
      </c>
      <c r="AB318" s="32" t="s">
        <v>1225</v>
      </c>
      <c r="AC318" s="32" t="s">
        <v>1225</v>
      </c>
      <c r="AD318" s="32" t="s">
        <v>1225</v>
      </c>
      <c r="AE318" s="32" t="s">
        <v>1225</v>
      </c>
      <c r="AF318" s="32" t="s">
        <v>1225</v>
      </c>
      <c r="AG318" s="32" t="s">
        <v>1225</v>
      </c>
      <c r="AH318" s="32" t="s">
        <v>1225</v>
      </c>
      <c r="AI318" s="32" t="s">
        <v>1225</v>
      </c>
      <c r="AJ318" s="32" t="s">
        <v>1225</v>
      </c>
      <c r="AK318" s="32" t="s">
        <v>1225</v>
      </c>
      <c r="AL318" s="32" t="s">
        <v>1225</v>
      </c>
      <c r="AM318" s="32" t="s">
        <v>1225</v>
      </c>
      <c r="AN318" s="32" t="s">
        <v>1225</v>
      </c>
      <c r="AO318" s="32" t="s">
        <v>1225</v>
      </c>
      <c r="AP318" s="32" t="s">
        <v>1225</v>
      </c>
      <c r="AQ318" s="32" t="s">
        <v>1225</v>
      </c>
      <c r="AR318" s="32" t="s">
        <v>1225</v>
      </c>
      <c r="AS318" s="32" t="s">
        <v>1225</v>
      </c>
      <c r="AT318" s="32" t="s">
        <v>1225</v>
      </c>
      <c r="AU318" s="32" t="s">
        <v>1225</v>
      </c>
      <c r="AV318" s="32" t="s">
        <v>1225</v>
      </c>
      <c r="AW318" s="32" t="s">
        <v>1565</v>
      </c>
      <c r="AX318" s="32">
        <v>2018</v>
      </c>
      <c r="AY318" s="32">
        <v>212</v>
      </c>
      <c r="AZ318" s="32" t="s">
        <v>1225</v>
      </c>
      <c r="BA318" s="32" t="s">
        <v>1225</v>
      </c>
      <c r="BB318" s="32" t="s">
        <v>1225</v>
      </c>
      <c r="BC318" s="32" t="s">
        <v>1225</v>
      </c>
      <c r="BD318" s="32" t="s">
        <v>1225</v>
      </c>
      <c r="BE318" s="32">
        <v>185</v>
      </c>
      <c r="BF318" s="32">
        <v>195</v>
      </c>
      <c r="BG318" s="32" t="s">
        <v>1225</v>
      </c>
      <c r="BH318" s="32" t="s">
        <v>3399</v>
      </c>
      <c r="BI318" s="32" t="str">
        <f>HYPERLINK("http://dx.doi.org/10.1016/j.apenergy.2017.12.036","http://dx.doi.org/10.1016/j.apenergy.2017.12.036")</f>
        <v>http://dx.doi.org/10.1016/j.apenergy.2017.12.036</v>
      </c>
      <c r="BJ318" s="32" t="s">
        <v>1225</v>
      </c>
      <c r="BK318" s="32" t="s">
        <v>1225</v>
      </c>
      <c r="BL318" s="32" t="s">
        <v>1225</v>
      </c>
      <c r="BM318" s="32" t="s">
        <v>1225</v>
      </c>
      <c r="BN318" s="32" t="s">
        <v>1225</v>
      </c>
      <c r="BO318" s="32" t="s">
        <v>1225</v>
      </c>
      <c r="BP318" s="32" t="s">
        <v>1225</v>
      </c>
      <c r="BQ318" s="32" t="s">
        <v>1225</v>
      </c>
      <c r="BR318" s="32" t="s">
        <v>1225</v>
      </c>
      <c r="BS318" s="32" t="s">
        <v>1225</v>
      </c>
      <c r="BT318" s="32" t="s">
        <v>1225</v>
      </c>
      <c r="BU318" s="32" t="s">
        <v>1225</v>
      </c>
      <c r="BV318" s="32" t="s">
        <v>1225</v>
      </c>
      <c r="BW318" s="32" t="str">
        <f t="shared" si="8"/>
        <v>View Full Record in Web of Science</v>
      </c>
      <c r="BY318" s="41" t="str">
        <f>IF(Deletion!J318=TRUE,"Yes","No")</f>
        <v>Yes</v>
      </c>
    </row>
    <row r="319" spans="1:77" x14ac:dyDescent="0.15">
      <c r="A319" s="32">
        <f t="shared" si="9"/>
        <v>318</v>
      </c>
      <c r="D319" s="32" t="s">
        <v>1223</v>
      </c>
      <c r="E319" s="32" t="s">
        <v>3400</v>
      </c>
      <c r="F319" s="32" t="s">
        <v>1225</v>
      </c>
      <c r="G319" s="32" t="s">
        <v>1225</v>
      </c>
      <c r="H319" s="32" t="s">
        <v>1225</v>
      </c>
      <c r="I319" s="32" t="s">
        <v>3401</v>
      </c>
      <c r="J319" s="32" t="s">
        <v>1225</v>
      </c>
      <c r="K319" s="32" t="s">
        <v>1225</v>
      </c>
      <c r="L319" s="32" t="s">
        <v>3402</v>
      </c>
      <c r="M319" s="32" t="s">
        <v>371</v>
      </c>
      <c r="N319" s="32" t="s">
        <v>1225</v>
      </c>
      <c r="O319" s="32" t="s">
        <v>1225</v>
      </c>
      <c r="P319" s="32" t="s">
        <v>1225</v>
      </c>
      <c r="Q319" s="32" t="s">
        <v>1227</v>
      </c>
      <c r="R319" s="32" t="s">
        <v>1225</v>
      </c>
      <c r="S319" s="32" t="s">
        <v>1225</v>
      </c>
      <c r="T319" s="32" t="s">
        <v>1225</v>
      </c>
      <c r="U319" s="32" t="s">
        <v>1225</v>
      </c>
      <c r="V319" s="32" t="s">
        <v>1225</v>
      </c>
      <c r="W319" s="32" t="s">
        <v>3403</v>
      </c>
      <c r="X319" s="32" t="s">
        <v>3404</v>
      </c>
      <c r="Y319" s="32" t="s">
        <v>3405</v>
      </c>
      <c r="Z319" s="32" t="s">
        <v>1225</v>
      </c>
      <c r="AA319" s="32" t="s">
        <v>1225</v>
      </c>
      <c r="AB319" s="32" t="s">
        <v>1225</v>
      </c>
      <c r="AC319" s="32" t="s">
        <v>1225</v>
      </c>
      <c r="AD319" s="32" t="s">
        <v>1225</v>
      </c>
      <c r="AE319" s="32" t="s">
        <v>1225</v>
      </c>
      <c r="AF319" s="32" t="s">
        <v>1225</v>
      </c>
      <c r="AG319" s="32" t="s">
        <v>1225</v>
      </c>
      <c r="AH319" s="32" t="s">
        <v>1225</v>
      </c>
      <c r="AI319" s="32" t="s">
        <v>1225</v>
      </c>
      <c r="AJ319" s="32" t="s">
        <v>1225</v>
      </c>
      <c r="AK319" s="32" t="s">
        <v>1225</v>
      </c>
      <c r="AL319" s="32" t="s">
        <v>1225</v>
      </c>
      <c r="AM319" s="32" t="s">
        <v>1225</v>
      </c>
      <c r="AN319" s="32" t="s">
        <v>1225</v>
      </c>
      <c r="AO319" s="32" t="s">
        <v>1225</v>
      </c>
      <c r="AP319" s="32" t="s">
        <v>1225</v>
      </c>
      <c r="AQ319" s="32" t="s">
        <v>1225</v>
      </c>
      <c r="AR319" s="32" t="s">
        <v>1225</v>
      </c>
      <c r="AS319" s="32" t="s">
        <v>1225</v>
      </c>
      <c r="AT319" s="32" t="s">
        <v>1225</v>
      </c>
      <c r="AU319" s="32" t="s">
        <v>1225</v>
      </c>
      <c r="AV319" s="32" t="s">
        <v>1225</v>
      </c>
      <c r="AW319" s="32" t="s">
        <v>1225</v>
      </c>
      <c r="AX319" s="32">
        <v>2020</v>
      </c>
      <c r="AY319" s="32">
        <v>28</v>
      </c>
      <c r="AZ319" s="32">
        <v>3</v>
      </c>
      <c r="BA319" s="32" t="s">
        <v>1225</v>
      </c>
      <c r="BB319" s="32" t="s">
        <v>1225</v>
      </c>
      <c r="BC319" s="32" t="s">
        <v>1225</v>
      </c>
      <c r="BD319" s="32" t="s">
        <v>1225</v>
      </c>
      <c r="BE319" s="32">
        <v>1314</v>
      </c>
      <c r="BF319" s="32">
        <v>1330</v>
      </c>
      <c r="BG319" s="32" t="s">
        <v>1225</v>
      </c>
      <c r="BH319" s="32" t="s">
        <v>3406</v>
      </c>
      <c r="BI319" s="32" t="str">
        <f>HYPERLINK("http://dx.doi.org/10.3906/elk-1907-189","http://dx.doi.org/10.3906/elk-1907-189")</f>
        <v>http://dx.doi.org/10.3906/elk-1907-189</v>
      </c>
      <c r="BJ319" s="32" t="s">
        <v>1225</v>
      </c>
      <c r="BK319" s="32" t="s">
        <v>1225</v>
      </c>
      <c r="BL319" s="32" t="s">
        <v>1225</v>
      </c>
      <c r="BM319" s="32" t="s">
        <v>1225</v>
      </c>
      <c r="BN319" s="32" t="s">
        <v>1225</v>
      </c>
      <c r="BO319" s="32" t="s">
        <v>1225</v>
      </c>
      <c r="BP319" s="32" t="s">
        <v>1225</v>
      </c>
      <c r="BQ319" s="32" t="s">
        <v>1225</v>
      </c>
      <c r="BR319" s="32" t="s">
        <v>1225</v>
      </c>
      <c r="BS319" s="32" t="s">
        <v>1225</v>
      </c>
      <c r="BT319" s="32" t="s">
        <v>1225</v>
      </c>
      <c r="BU319" s="32" t="s">
        <v>1225</v>
      </c>
      <c r="BV319" s="32" t="s">
        <v>1225</v>
      </c>
      <c r="BW319" s="32" t="str">
        <f t="shared" si="8"/>
        <v>View Full Record in Web of Science</v>
      </c>
      <c r="BY319" s="41" t="str">
        <f>IF(Deletion!J319=TRUE,"Yes","No")</f>
        <v>Yes</v>
      </c>
    </row>
    <row r="320" spans="1:77" x14ac:dyDescent="0.15">
      <c r="A320" s="32">
        <f t="shared" si="9"/>
        <v>319</v>
      </c>
      <c r="D320" s="32" t="s">
        <v>1223</v>
      </c>
      <c r="E320" s="32" t="s">
        <v>3407</v>
      </c>
      <c r="F320" s="32" t="s">
        <v>1225</v>
      </c>
      <c r="G320" s="32" t="s">
        <v>1225</v>
      </c>
      <c r="H320" s="32" t="s">
        <v>1225</v>
      </c>
      <c r="I320" s="32" t="s">
        <v>3408</v>
      </c>
      <c r="J320" s="32" t="s">
        <v>1225</v>
      </c>
      <c r="K320" s="32" t="s">
        <v>1225</v>
      </c>
      <c r="L320" s="32" t="s">
        <v>3409</v>
      </c>
      <c r="M320" s="32" t="s">
        <v>3360</v>
      </c>
      <c r="N320" s="32" t="s">
        <v>1225</v>
      </c>
      <c r="O320" s="32" t="s">
        <v>1225</v>
      </c>
      <c r="P320" s="32" t="s">
        <v>1225</v>
      </c>
      <c r="Q320" s="32" t="s">
        <v>1227</v>
      </c>
      <c r="R320" s="32" t="s">
        <v>1225</v>
      </c>
      <c r="S320" s="32" t="s">
        <v>1225</v>
      </c>
      <c r="T320" s="32" t="s">
        <v>1225</v>
      </c>
      <c r="U320" s="32" t="s">
        <v>1225</v>
      </c>
      <c r="V320" s="32" t="s">
        <v>1225</v>
      </c>
      <c r="W320" s="32" t="s">
        <v>3410</v>
      </c>
      <c r="X320" s="32" t="s">
        <v>3411</v>
      </c>
      <c r="Y320" s="32" t="s">
        <v>3412</v>
      </c>
      <c r="Z320" s="32" t="s">
        <v>1225</v>
      </c>
      <c r="AA320" s="32" t="s">
        <v>1225</v>
      </c>
      <c r="AB320" s="32" t="s">
        <v>1225</v>
      </c>
      <c r="AC320" s="32" t="s">
        <v>1225</v>
      </c>
      <c r="AD320" s="32" t="s">
        <v>1225</v>
      </c>
      <c r="AE320" s="32" t="s">
        <v>1225</v>
      </c>
      <c r="AF320" s="32" t="s">
        <v>1225</v>
      </c>
      <c r="AG320" s="32" t="s">
        <v>1225</v>
      </c>
      <c r="AH320" s="32" t="s">
        <v>1225</v>
      </c>
      <c r="AI320" s="32" t="s">
        <v>1225</v>
      </c>
      <c r="AJ320" s="32" t="s">
        <v>1225</v>
      </c>
      <c r="AK320" s="32" t="s">
        <v>1225</v>
      </c>
      <c r="AL320" s="32" t="s">
        <v>1225</v>
      </c>
      <c r="AM320" s="32" t="s">
        <v>1225</v>
      </c>
      <c r="AN320" s="32" t="s">
        <v>1225</v>
      </c>
      <c r="AO320" s="32" t="s">
        <v>1225</v>
      </c>
      <c r="AP320" s="32" t="s">
        <v>1225</v>
      </c>
      <c r="AQ320" s="32" t="s">
        <v>1225</v>
      </c>
      <c r="AR320" s="32" t="s">
        <v>1225</v>
      </c>
      <c r="AS320" s="32" t="s">
        <v>1225</v>
      </c>
      <c r="AT320" s="32" t="s">
        <v>1225</v>
      </c>
      <c r="AU320" s="32" t="s">
        <v>1225</v>
      </c>
      <c r="AV320" s="32" t="s">
        <v>1225</v>
      </c>
      <c r="AW320" s="32" t="s">
        <v>1298</v>
      </c>
      <c r="AX320" s="32">
        <v>2021</v>
      </c>
      <c r="AY320" s="32">
        <v>15</v>
      </c>
      <c r="AZ320" s="32">
        <v>3</v>
      </c>
      <c r="BA320" s="32" t="s">
        <v>1225</v>
      </c>
      <c r="BB320" s="32" t="s">
        <v>1225</v>
      </c>
      <c r="BC320" s="32" t="s">
        <v>1225</v>
      </c>
      <c r="BD320" s="32" t="s">
        <v>1225</v>
      </c>
      <c r="BE320" s="32">
        <v>4272</v>
      </c>
      <c r="BF320" s="32">
        <v>4280</v>
      </c>
      <c r="BG320" s="32" t="s">
        <v>1225</v>
      </c>
      <c r="BH320" s="32" t="s">
        <v>3413</v>
      </c>
      <c r="BI320" s="32" t="str">
        <f>HYPERLINK("http://dx.doi.org/10.1109/JSYST.2020.3013189","http://dx.doi.org/10.1109/JSYST.2020.3013189")</f>
        <v>http://dx.doi.org/10.1109/JSYST.2020.3013189</v>
      </c>
      <c r="BJ320" s="32" t="s">
        <v>1225</v>
      </c>
      <c r="BK320" s="32" t="s">
        <v>1225</v>
      </c>
      <c r="BL320" s="32" t="s">
        <v>1225</v>
      </c>
      <c r="BM320" s="32" t="s">
        <v>1225</v>
      </c>
      <c r="BN320" s="32" t="s">
        <v>1225</v>
      </c>
      <c r="BO320" s="32" t="s">
        <v>1225</v>
      </c>
      <c r="BP320" s="32" t="s">
        <v>1225</v>
      </c>
      <c r="BQ320" s="32" t="s">
        <v>1225</v>
      </c>
      <c r="BR320" s="32" t="s">
        <v>1225</v>
      </c>
      <c r="BS320" s="32" t="s">
        <v>1225</v>
      </c>
      <c r="BT320" s="32" t="s">
        <v>1225</v>
      </c>
      <c r="BU320" s="32" t="s">
        <v>1225</v>
      </c>
      <c r="BV320" s="32" t="s">
        <v>1225</v>
      </c>
      <c r="BW320" s="32" t="str">
        <f t="shared" si="8"/>
        <v>View Full Record in Web of Science</v>
      </c>
      <c r="BY320" s="41" t="str">
        <f>IF(Deletion!J320=TRUE,"Yes","No")</f>
        <v>Yes</v>
      </c>
    </row>
    <row r="321" spans="1:77" x14ac:dyDescent="0.15">
      <c r="A321" s="32">
        <f t="shared" si="9"/>
        <v>320</v>
      </c>
      <c r="D321" s="32" t="s">
        <v>1223</v>
      </c>
      <c r="E321" s="32" t="s">
        <v>3414</v>
      </c>
      <c r="F321" s="32" t="s">
        <v>1225</v>
      </c>
      <c r="G321" s="32" t="s">
        <v>1225</v>
      </c>
      <c r="H321" s="32" t="s">
        <v>1225</v>
      </c>
      <c r="I321" s="32" t="s">
        <v>3415</v>
      </c>
      <c r="J321" s="32" t="s">
        <v>1225</v>
      </c>
      <c r="K321" s="32" t="s">
        <v>1225</v>
      </c>
      <c r="L321" s="32" t="s">
        <v>3416</v>
      </c>
      <c r="M321" s="32" t="s">
        <v>114</v>
      </c>
      <c r="N321" s="32" t="s">
        <v>1225</v>
      </c>
      <c r="O321" s="32" t="s">
        <v>1225</v>
      </c>
      <c r="P321" s="32" t="s">
        <v>1225</v>
      </c>
      <c r="Q321" s="32" t="s">
        <v>1227</v>
      </c>
      <c r="R321" s="32" t="s">
        <v>1225</v>
      </c>
      <c r="S321" s="32" t="s">
        <v>1225</v>
      </c>
      <c r="T321" s="32" t="s">
        <v>1225</v>
      </c>
      <c r="U321" s="32" t="s">
        <v>1225</v>
      </c>
      <c r="V321" s="32" t="s">
        <v>1225</v>
      </c>
      <c r="W321" s="32" t="s">
        <v>3417</v>
      </c>
      <c r="X321" s="32" t="s">
        <v>3418</v>
      </c>
      <c r="Y321" s="32" t="s">
        <v>3419</v>
      </c>
      <c r="Z321" s="32" t="s">
        <v>1225</v>
      </c>
      <c r="AA321" s="32" t="s">
        <v>1225</v>
      </c>
      <c r="AB321" s="32" t="s">
        <v>1225</v>
      </c>
      <c r="AC321" s="32" t="s">
        <v>1225</v>
      </c>
      <c r="AD321" s="32" t="s">
        <v>1225</v>
      </c>
      <c r="AE321" s="32" t="s">
        <v>1225</v>
      </c>
      <c r="AF321" s="32" t="s">
        <v>1225</v>
      </c>
      <c r="AG321" s="32" t="s">
        <v>1225</v>
      </c>
      <c r="AH321" s="32" t="s">
        <v>1225</v>
      </c>
      <c r="AI321" s="32" t="s">
        <v>1225</v>
      </c>
      <c r="AJ321" s="32" t="s">
        <v>1225</v>
      </c>
      <c r="AK321" s="32" t="s">
        <v>1225</v>
      </c>
      <c r="AL321" s="32" t="s">
        <v>1225</v>
      </c>
      <c r="AM321" s="32" t="s">
        <v>1225</v>
      </c>
      <c r="AN321" s="32" t="s">
        <v>1225</v>
      </c>
      <c r="AO321" s="32" t="s">
        <v>1225</v>
      </c>
      <c r="AP321" s="32" t="s">
        <v>1225</v>
      </c>
      <c r="AQ321" s="32" t="s">
        <v>1225</v>
      </c>
      <c r="AR321" s="32" t="s">
        <v>1225</v>
      </c>
      <c r="AS321" s="32" t="s">
        <v>1225</v>
      </c>
      <c r="AT321" s="32" t="s">
        <v>1225</v>
      </c>
      <c r="AU321" s="32" t="s">
        <v>1225</v>
      </c>
      <c r="AV321" s="32" t="s">
        <v>1225</v>
      </c>
      <c r="AW321" s="32" t="s">
        <v>1393</v>
      </c>
      <c r="AX321" s="32">
        <v>2022</v>
      </c>
      <c r="AY321" s="32">
        <v>23</v>
      </c>
      <c r="AZ321" s="32">
        <v>6</v>
      </c>
      <c r="BA321" s="32" t="s">
        <v>1225</v>
      </c>
      <c r="BB321" s="32" t="s">
        <v>1225</v>
      </c>
      <c r="BC321" s="32" t="s">
        <v>1225</v>
      </c>
      <c r="BD321" s="32" t="s">
        <v>1225</v>
      </c>
      <c r="BE321" s="32">
        <v>5116</v>
      </c>
      <c r="BF321" s="32">
        <v>5127</v>
      </c>
      <c r="BG321" s="32" t="s">
        <v>1225</v>
      </c>
      <c r="BH321" s="32" t="s">
        <v>3420</v>
      </c>
      <c r="BI321" s="32" t="str">
        <f>HYPERLINK("http://dx.doi.org/10.1109/TITS.2020.3047984","http://dx.doi.org/10.1109/TITS.2020.3047984")</f>
        <v>http://dx.doi.org/10.1109/TITS.2020.3047984</v>
      </c>
      <c r="BJ321" s="32" t="s">
        <v>1225</v>
      </c>
      <c r="BK321" s="32" t="s">
        <v>1679</v>
      </c>
      <c r="BL321" s="32" t="s">
        <v>1225</v>
      </c>
      <c r="BM321" s="32" t="s">
        <v>1225</v>
      </c>
      <c r="BN321" s="32" t="s">
        <v>1225</v>
      </c>
      <c r="BO321" s="32" t="s">
        <v>1225</v>
      </c>
      <c r="BP321" s="32" t="s">
        <v>1225</v>
      </c>
      <c r="BQ321" s="32" t="s">
        <v>1225</v>
      </c>
      <c r="BR321" s="32" t="s">
        <v>1225</v>
      </c>
      <c r="BS321" s="32" t="s">
        <v>1225</v>
      </c>
      <c r="BT321" s="32" t="s">
        <v>1225</v>
      </c>
      <c r="BU321" s="32" t="s">
        <v>1225</v>
      </c>
      <c r="BV321" s="32" t="s">
        <v>1225</v>
      </c>
      <c r="BW321" s="32" t="str">
        <f t="shared" si="8"/>
        <v>View Full Record in Web of Science</v>
      </c>
      <c r="BY321" s="41" t="str">
        <f>IF(Deletion!J321=TRUE,"Yes","No")</f>
        <v>Yes</v>
      </c>
    </row>
    <row r="322" spans="1:77" x14ac:dyDescent="0.15">
      <c r="A322" s="32">
        <f t="shared" si="9"/>
        <v>321</v>
      </c>
      <c r="D322" s="32" t="s">
        <v>1223</v>
      </c>
      <c r="E322" s="32" t="s">
        <v>3421</v>
      </c>
      <c r="F322" s="32" t="s">
        <v>1225</v>
      </c>
      <c r="G322" s="32" t="s">
        <v>1225</v>
      </c>
      <c r="H322" s="32" t="s">
        <v>1225</v>
      </c>
      <c r="I322" s="32" t="s">
        <v>3422</v>
      </c>
      <c r="J322" s="32" t="s">
        <v>1225</v>
      </c>
      <c r="K322" s="32" t="s">
        <v>1225</v>
      </c>
      <c r="L322" s="32" t="s">
        <v>3423</v>
      </c>
      <c r="M322" s="32" t="s">
        <v>89</v>
      </c>
      <c r="N322" s="32" t="s">
        <v>1225</v>
      </c>
      <c r="O322" s="32" t="s">
        <v>1225</v>
      </c>
      <c r="P322" s="32" t="s">
        <v>1225</v>
      </c>
      <c r="Q322" s="32" t="s">
        <v>1227</v>
      </c>
      <c r="R322" s="32" t="s">
        <v>1225</v>
      </c>
      <c r="S322" s="32" t="s">
        <v>1225</v>
      </c>
      <c r="T322" s="32" t="s">
        <v>1225</v>
      </c>
      <c r="U322" s="32" t="s">
        <v>1225</v>
      </c>
      <c r="V322" s="32" t="s">
        <v>1225</v>
      </c>
      <c r="W322" s="32" t="s">
        <v>3424</v>
      </c>
      <c r="X322" s="32" t="s">
        <v>3425</v>
      </c>
      <c r="Y322" s="32" t="s">
        <v>3426</v>
      </c>
      <c r="Z322" s="32" t="s">
        <v>1225</v>
      </c>
      <c r="AA322" s="32" t="s">
        <v>1225</v>
      </c>
      <c r="AB322" s="32" t="s">
        <v>1225</v>
      </c>
      <c r="AC322" s="32" t="s">
        <v>1225</v>
      </c>
      <c r="AD322" s="32" t="s">
        <v>1225</v>
      </c>
      <c r="AE322" s="32" t="s">
        <v>1225</v>
      </c>
      <c r="AF322" s="32" t="s">
        <v>1225</v>
      </c>
      <c r="AG322" s="32" t="s">
        <v>1225</v>
      </c>
      <c r="AH322" s="32" t="s">
        <v>1225</v>
      </c>
      <c r="AI322" s="32" t="s">
        <v>1225</v>
      </c>
      <c r="AJ322" s="32" t="s">
        <v>1225</v>
      </c>
      <c r="AK322" s="32" t="s">
        <v>1225</v>
      </c>
      <c r="AL322" s="32" t="s">
        <v>1225</v>
      </c>
      <c r="AM322" s="32" t="s">
        <v>1225</v>
      </c>
      <c r="AN322" s="32" t="s">
        <v>1225</v>
      </c>
      <c r="AO322" s="32" t="s">
        <v>1225</v>
      </c>
      <c r="AP322" s="32" t="s">
        <v>1225</v>
      </c>
      <c r="AQ322" s="32" t="s">
        <v>1225</v>
      </c>
      <c r="AR322" s="32" t="s">
        <v>1225</v>
      </c>
      <c r="AS322" s="32" t="s">
        <v>1225</v>
      </c>
      <c r="AT322" s="32" t="s">
        <v>1225</v>
      </c>
      <c r="AU322" s="32" t="s">
        <v>1225</v>
      </c>
      <c r="AV322" s="32" t="s">
        <v>1225</v>
      </c>
      <c r="AW322" s="32" t="s">
        <v>1276</v>
      </c>
      <c r="AX322" s="32">
        <v>2017</v>
      </c>
      <c r="AY322" s="32">
        <v>151</v>
      </c>
      <c r="AZ322" s="32" t="s">
        <v>1225</v>
      </c>
      <c r="BA322" s="32" t="s">
        <v>1225</v>
      </c>
      <c r="BB322" s="32" t="s">
        <v>1225</v>
      </c>
      <c r="BC322" s="32" t="s">
        <v>1225</v>
      </c>
      <c r="BD322" s="32" t="s">
        <v>1225</v>
      </c>
      <c r="BE322" s="32">
        <v>208</v>
      </c>
      <c r="BF322" s="32">
        <v>217</v>
      </c>
      <c r="BG322" s="32" t="s">
        <v>1225</v>
      </c>
      <c r="BH322" s="32" t="s">
        <v>3427</v>
      </c>
      <c r="BI322" s="32" t="str">
        <f>HYPERLINK("http://dx.doi.org/10.1016/j.epsr.2017.05.033","http://dx.doi.org/10.1016/j.epsr.2017.05.033")</f>
        <v>http://dx.doi.org/10.1016/j.epsr.2017.05.033</v>
      </c>
      <c r="BJ322" s="32" t="s">
        <v>1225</v>
      </c>
      <c r="BK322" s="32" t="s">
        <v>1225</v>
      </c>
      <c r="BL322" s="32" t="s">
        <v>1225</v>
      </c>
      <c r="BM322" s="32" t="s">
        <v>1225</v>
      </c>
      <c r="BN322" s="32" t="s">
        <v>1225</v>
      </c>
      <c r="BO322" s="32" t="s">
        <v>1225</v>
      </c>
      <c r="BP322" s="32" t="s">
        <v>1225</v>
      </c>
      <c r="BQ322" s="32" t="s">
        <v>1225</v>
      </c>
      <c r="BR322" s="32" t="s">
        <v>1225</v>
      </c>
      <c r="BS322" s="32" t="s">
        <v>1225</v>
      </c>
      <c r="BT322" s="32" t="s">
        <v>1225</v>
      </c>
      <c r="BU322" s="32" t="s">
        <v>1225</v>
      </c>
      <c r="BV322" s="32" t="s">
        <v>1225</v>
      </c>
      <c r="BW322" s="32" t="str">
        <f t="shared" ref="BW322:BW385" si="10">HYPERLINK("https%3A%2F%2Fwww.webofscience.com%2Fwos%2Fwoscc%2Ffull-record%2F","View Full Record in Web of Science")</f>
        <v>View Full Record in Web of Science</v>
      </c>
      <c r="BY322" s="41" t="str">
        <f>IF(Deletion!J322=TRUE,"Yes","No")</f>
        <v>Yes</v>
      </c>
    </row>
    <row r="323" spans="1:77" x14ac:dyDescent="0.15">
      <c r="A323" s="32">
        <f t="shared" si="9"/>
        <v>322</v>
      </c>
      <c r="D323" s="32" t="s">
        <v>1223</v>
      </c>
      <c r="E323" s="32" t="s">
        <v>3428</v>
      </c>
      <c r="F323" s="32" t="s">
        <v>1225</v>
      </c>
      <c r="G323" s="32" t="s">
        <v>1225</v>
      </c>
      <c r="H323" s="32" t="s">
        <v>1225</v>
      </c>
      <c r="I323" s="32" t="s">
        <v>3429</v>
      </c>
      <c r="J323" s="32" t="s">
        <v>1225</v>
      </c>
      <c r="K323" s="32" t="s">
        <v>1225</v>
      </c>
      <c r="L323" s="32" t="s">
        <v>3430</v>
      </c>
      <c r="M323" s="32" t="s">
        <v>3431</v>
      </c>
      <c r="N323" s="32" t="s">
        <v>1225</v>
      </c>
      <c r="O323" s="32" t="s">
        <v>1225</v>
      </c>
      <c r="P323" s="32" t="s">
        <v>1225</v>
      </c>
      <c r="Q323" s="32" t="s">
        <v>1227</v>
      </c>
      <c r="R323" s="32" t="s">
        <v>1225</v>
      </c>
      <c r="S323" s="32" t="s">
        <v>1225</v>
      </c>
      <c r="T323" s="32" t="s">
        <v>1225</v>
      </c>
      <c r="U323" s="32" t="s">
        <v>1225</v>
      </c>
      <c r="V323" s="32" t="s">
        <v>1225</v>
      </c>
      <c r="W323" s="32" t="s">
        <v>3432</v>
      </c>
      <c r="X323" s="32" t="s">
        <v>3433</v>
      </c>
      <c r="Y323" s="32" t="s">
        <v>3434</v>
      </c>
      <c r="Z323" s="32" t="s">
        <v>1225</v>
      </c>
      <c r="AA323" s="32" t="s">
        <v>1225</v>
      </c>
      <c r="AB323" s="32" t="s">
        <v>1225</v>
      </c>
      <c r="AC323" s="32" t="s">
        <v>1225</v>
      </c>
      <c r="AD323" s="32" t="s">
        <v>1225</v>
      </c>
      <c r="AE323" s="32" t="s">
        <v>1225</v>
      </c>
      <c r="AF323" s="32" t="s">
        <v>1225</v>
      </c>
      <c r="AG323" s="32" t="s">
        <v>1225</v>
      </c>
      <c r="AH323" s="32" t="s">
        <v>1225</v>
      </c>
      <c r="AI323" s="32" t="s">
        <v>1225</v>
      </c>
      <c r="AJ323" s="32" t="s">
        <v>1225</v>
      </c>
      <c r="AK323" s="32" t="s">
        <v>1225</v>
      </c>
      <c r="AL323" s="32" t="s">
        <v>1225</v>
      </c>
      <c r="AM323" s="32" t="s">
        <v>1225</v>
      </c>
      <c r="AN323" s="32" t="s">
        <v>1225</v>
      </c>
      <c r="AO323" s="32" t="s">
        <v>1225</v>
      </c>
      <c r="AP323" s="32" t="s">
        <v>1225</v>
      </c>
      <c r="AQ323" s="32" t="s">
        <v>1225</v>
      </c>
      <c r="AR323" s="32" t="s">
        <v>1225</v>
      </c>
      <c r="AS323" s="32" t="s">
        <v>1225</v>
      </c>
      <c r="AT323" s="32" t="s">
        <v>1225</v>
      </c>
      <c r="AU323" s="32" t="s">
        <v>1225</v>
      </c>
      <c r="AV323" s="32" t="s">
        <v>1225</v>
      </c>
      <c r="AW323" s="32" t="s">
        <v>3435</v>
      </c>
      <c r="AX323" s="32">
        <v>2018</v>
      </c>
      <c r="AY323" s="32">
        <v>3</v>
      </c>
      <c r="AZ323" s="32">
        <v>1</v>
      </c>
      <c r="BA323" s="32" t="s">
        <v>1225</v>
      </c>
      <c r="BB323" s="32" t="s">
        <v>1225</v>
      </c>
      <c r="BC323" s="32" t="s">
        <v>1225</v>
      </c>
      <c r="BD323" s="32" t="s">
        <v>1225</v>
      </c>
      <c r="BE323" s="32" t="s">
        <v>1225</v>
      </c>
      <c r="BF323" s="32" t="s">
        <v>1225</v>
      </c>
      <c r="BG323" s="32">
        <v>9</v>
      </c>
      <c r="BH323" s="32" t="s">
        <v>3436</v>
      </c>
      <c r="BI323" s="32" t="str">
        <f>HYPERLINK("http://dx.doi.org/10.1186/s41601-018-0083-3","http://dx.doi.org/10.1186/s41601-018-0083-3")</f>
        <v>http://dx.doi.org/10.1186/s41601-018-0083-3</v>
      </c>
      <c r="BJ323" s="32" t="s">
        <v>1225</v>
      </c>
      <c r="BK323" s="32" t="s">
        <v>1225</v>
      </c>
      <c r="BL323" s="32" t="s">
        <v>1225</v>
      </c>
      <c r="BM323" s="32" t="s">
        <v>1225</v>
      </c>
      <c r="BN323" s="32" t="s">
        <v>1225</v>
      </c>
      <c r="BO323" s="32" t="s">
        <v>1225</v>
      </c>
      <c r="BP323" s="32" t="s">
        <v>1225</v>
      </c>
      <c r="BQ323" s="32" t="s">
        <v>1225</v>
      </c>
      <c r="BR323" s="32" t="s">
        <v>1225</v>
      </c>
      <c r="BS323" s="32" t="s">
        <v>1225</v>
      </c>
      <c r="BT323" s="32" t="s">
        <v>1225</v>
      </c>
      <c r="BU323" s="32" t="s">
        <v>1225</v>
      </c>
      <c r="BV323" s="32" t="s">
        <v>1225</v>
      </c>
      <c r="BW323" s="32" t="str">
        <f t="shared" si="10"/>
        <v>View Full Record in Web of Science</v>
      </c>
      <c r="BY323" s="41" t="str">
        <f>IF(Deletion!J323=TRUE,"Yes","No")</f>
        <v>Yes</v>
      </c>
    </row>
    <row r="324" spans="1:77" x14ac:dyDescent="0.15">
      <c r="A324" s="32">
        <f t="shared" si="9"/>
        <v>323</v>
      </c>
      <c r="D324" s="32" t="s">
        <v>1223</v>
      </c>
      <c r="E324" s="32" t="s">
        <v>3437</v>
      </c>
      <c r="F324" s="32" t="s">
        <v>1225</v>
      </c>
      <c r="G324" s="32" t="s">
        <v>1225</v>
      </c>
      <c r="H324" s="32" t="s">
        <v>1225</v>
      </c>
      <c r="I324" s="32" t="s">
        <v>3438</v>
      </c>
      <c r="J324" s="32" t="s">
        <v>1225</v>
      </c>
      <c r="K324" s="32" t="s">
        <v>1225</v>
      </c>
      <c r="L324" s="32" t="s">
        <v>3439</v>
      </c>
      <c r="M324" s="32" t="s">
        <v>3440</v>
      </c>
      <c r="N324" s="32" t="s">
        <v>1225</v>
      </c>
      <c r="O324" s="32" t="s">
        <v>1225</v>
      </c>
      <c r="P324" s="32" t="s">
        <v>1225</v>
      </c>
      <c r="Q324" s="32" t="s">
        <v>1227</v>
      </c>
      <c r="R324" s="32" t="s">
        <v>1225</v>
      </c>
      <c r="S324" s="32" t="s">
        <v>1225</v>
      </c>
      <c r="T324" s="32" t="s">
        <v>1225</v>
      </c>
      <c r="U324" s="32" t="s">
        <v>1225</v>
      </c>
      <c r="V324" s="32" t="s">
        <v>1225</v>
      </c>
      <c r="W324" s="32" t="s">
        <v>3441</v>
      </c>
      <c r="X324" s="32" t="s">
        <v>3442</v>
      </c>
      <c r="Y324" s="32" t="s">
        <v>3443</v>
      </c>
      <c r="Z324" s="32" t="s">
        <v>1225</v>
      </c>
      <c r="AA324" s="32" t="s">
        <v>1225</v>
      </c>
      <c r="AB324" s="32" t="s">
        <v>1225</v>
      </c>
      <c r="AC324" s="32" t="s">
        <v>1225</v>
      </c>
      <c r="AD324" s="32" t="s">
        <v>1225</v>
      </c>
      <c r="AE324" s="32" t="s">
        <v>1225</v>
      </c>
      <c r="AF324" s="32" t="s">
        <v>1225</v>
      </c>
      <c r="AG324" s="32" t="s">
        <v>1225</v>
      </c>
      <c r="AH324" s="32" t="s">
        <v>1225</v>
      </c>
      <c r="AI324" s="32" t="s">
        <v>1225</v>
      </c>
      <c r="AJ324" s="32" t="s">
        <v>1225</v>
      </c>
      <c r="AK324" s="32" t="s">
        <v>1225</v>
      </c>
      <c r="AL324" s="32" t="s">
        <v>1225</v>
      </c>
      <c r="AM324" s="32" t="s">
        <v>1225</v>
      </c>
      <c r="AN324" s="32" t="s">
        <v>1225</v>
      </c>
      <c r="AO324" s="32" t="s">
        <v>1225</v>
      </c>
      <c r="AP324" s="32" t="s">
        <v>1225</v>
      </c>
      <c r="AQ324" s="32" t="s">
        <v>1225</v>
      </c>
      <c r="AR324" s="32" t="s">
        <v>1225</v>
      </c>
      <c r="AS324" s="32" t="s">
        <v>1225</v>
      </c>
      <c r="AT324" s="32" t="s">
        <v>1225</v>
      </c>
      <c r="AU324" s="32" t="s">
        <v>1225</v>
      </c>
      <c r="AV324" s="32" t="s">
        <v>1225</v>
      </c>
      <c r="AW324" s="32" t="s">
        <v>3444</v>
      </c>
      <c r="AX324" s="32">
        <v>2019</v>
      </c>
      <c r="AY324" s="32">
        <v>12</v>
      </c>
      <c r="AZ324" s="32">
        <v>13</v>
      </c>
      <c r="BA324" s="32" t="s">
        <v>1225</v>
      </c>
      <c r="BB324" s="32" t="s">
        <v>1225</v>
      </c>
      <c r="BC324" s="32" t="s">
        <v>1511</v>
      </c>
      <c r="BD324" s="32" t="s">
        <v>1225</v>
      </c>
      <c r="BE324" s="32">
        <v>3510</v>
      </c>
      <c r="BF324" s="32">
        <v>3520</v>
      </c>
      <c r="BG324" s="32" t="s">
        <v>1225</v>
      </c>
      <c r="BH324" s="32" t="s">
        <v>3445</v>
      </c>
      <c r="BI324" s="32" t="str">
        <f>HYPERLINK("http://dx.doi.org/10.1049/iet-pel.2019.0048","http://dx.doi.org/10.1049/iet-pel.2019.0048")</f>
        <v>http://dx.doi.org/10.1049/iet-pel.2019.0048</v>
      </c>
      <c r="BJ324" s="32" t="s">
        <v>1225</v>
      </c>
      <c r="BK324" s="32" t="s">
        <v>1225</v>
      </c>
      <c r="BL324" s="32" t="s">
        <v>1225</v>
      </c>
      <c r="BM324" s="32" t="s">
        <v>1225</v>
      </c>
      <c r="BN324" s="32" t="s">
        <v>1225</v>
      </c>
      <c r="BO324" s="32" t="s">
        <v>1225</v>
      </c>
      <c r="BP324" s="32" t="s">
        <v>1225</v>
      </c>
      <c r="BQ324" s="32" t="s">
        <v>1225</v>
      </c>
      <c r="BR324" s="32" t="s">
        <v>1225</v>
      </c>
      <c r="BS324" s="32" t="s">
        <v>1225</v>
      </c>
      <c r="BT324" s="32" t="s">
        <v>1225</v>
      </c>
      <c r="BU324" s="32" t="s">
        <v>1225</v>
      </c>
      <c r="BV324" s="32" t="s">
        <v>1225</v>
      </c>
      <c r="BW324" s="32" t="str">
        <f t="shared" si="10"/>
        <v>View Full Record in Web of Science</v>
      </c>
      <c r="BY324" s="41" t="str">
        <f>IF(Deletion!J324=TRUE,"Yes","No")</f>
        <v>Yes</v>
      </c>
    </row>
    <row r="325" spans="1:77" x14ac:dyDescent="0.15">
      <c r="A325" s="32">
        <f t="shared" ref="A325:A388" si="11">A324+1</f>
        <v>324</v>
      </c>
      <c r="D325" s="32" t="s">
        <v>1223</v>
      </c>
      <c r="E325" s="32" t="s">
        <v>3446</v>
      </c>
      <c r="F325" s="32" t="s">
        <v>1225</v>
      </c>
      <c r="G325" s="32" t="s">
        <v>1225</v>
      </c>
      <c r="H325" s="32" t="s">
        <v>1225</v>
      </c>
      <c r="I325" s="32" t="s">
        <v>3447</v>
      </c>
      <c r="J325" s="32" t="s">
        <v>1225</v>
      </c>
      <c r="K325" s="32" t="s">
        <v>1225</v>
      </c>
      <c r="L325" s="32" t="s">
        <v>3448</v>
      </c>
      <c r="M325" s="32" t="s">
        <v>89</v>
      </c>
      <c r="N325" s="32" t="s">
        <v>1225</v>
      </c>
      <c r="O325" s="32" t="s">
        <v>1225</v>
      </c>
      <c r="P325" s="32" t="s">
        <v>1225</v>
      </c>
      <c r="Q325" s="32" t="s">
        <v>1227</v>
      </c>
      <c r="R325" s="32" t="s">
        <v>1225</v>
      </c>
      <c r="S325" s="32" t="s">
        <v>1225</v>
      </c>
      <c r="T325" s="32" t="s">
        <v>1225</v>
      </c>
      <c r="U325" s="32" t="s">
        <v>1225</v>
      </c>
      <c r="V325" s="32" t="s">
        <v>1225</v>
      </c>
      <c r="W325" s="32" t="s">
        <v>3449</v>
      </c>
      <c r="X325" s="32" t="s">
        <v>3450</v>
      </c>
      <c r="Y325" s="32" t="s">
        <v>3451</v>
      </c>
      <c r="Z325" s="32" t="s">
        <v>1225</v>
      </c>
      <c r="AA325" s="32" t="s">
        <v>1225</v>
      </c>
      <c r="AB325" s="32" t="s">
        <v>1225</v>
      </c>
      <c r="AC325" s="32" t="s">
        <v>1225</v>
      </c>
      <c r="AD325" s="32" t="s">
        <v>1225</v>
      </c>
      <c r="AE325" s="32" t="s">
        <v>1225</v>
      </c>
      <c r="AF325" s="32" t="s">
        <v>1225</v>
      </c>
      <c r="AG325" s="32" t="s">
        <v>1225</v>
      </c>
      <c r="AH325" s="32" t="s">
        <v>1225</v>
      </c>
      <c r="AI325" s="32" t="s">
        <v>1225</v>
      </c>
      <c r="AJ325" s="32" t="s">
        <v>1225</v>
      </c>
      <c r="AK325" s="32" t="s">
        <v>1225</v>
      </c>
      <c r="AL325" s="32" t="s">
        <v>1225</v>
      </c>
      <c r="AM325" s="32" t="s">
        <v>1225</v>
      </c>
      <c r="AN325" s="32" t="s">
        <v>1225</v>
      </c>
      <c r="AO325" s="32" t="s">
        <v>1225</v>
      </c>
      <c r="AP325" s="32" t="s">
        <v>1225</v>
      </c>
      <c r="AQ325" s="32" t="s">
        <v>1225</v>
      </c>
      <c r="AR325" s="32" t="s">
        <v>1225</v>
      </c>
      <c r="AS325" s="32" t="s">
        <v>1225</v>
      </c>
      <c r="AT325" s="32" t="s">
        <v>1225</v>
      </c>
      <c r="AU325" s="32" t="s">
        <v>1225</v>
      </c>
      <c r="AV325" s="32" t="s">
        <v>1225</v>
      </c>
      <c r="AW325" s="32" t="s">
        <v>1256</v>
      </c>
      <c r="AX325" s="32">
        <v>2014</v>
      </c>
      <c r="AY325" s="32">
        <v>117</v>
      </c>
      <c r="AZ325" s="32" t="s">
        <v>1225</v>
      </c>
      <c r="BA325" s="32" t="s">
        <v>1225</v>
      </c>
      <c r="BB325" s="32" t="s">
        <v>1225</v>
      </c>
      <c r="BC325" s="32" t="s">
        <v>1225</v>
      </c>
      <c r="BD325" s="32" t="s">
        <v>1225</v>
      </c>
      <c r="BE325" s="32">
        <v>134</v>
      </c>
      <c r="BF325" s="32">
        <v>142</v>
      </c>
      <c r="BG325" s="32" t="s">
        <v>1225</v>
      </c>
      <c r="BH325" s="32" t="s">
        <v>3452</v>
      </c>
      <c r="BI325" s="32" t="str">
        <f>HYPERLINK("http://dx.doi.org/10.1016/j.epsr.2014.08.007","http://dx.doi.org/10.1016/j.epsr.2014.08.007")</f>
        <v>http://dx.doi.org/10.1016/j.epsr.2014.08.007</v>
      </c>
      <c r="BJ325" s="32" t="s">
        <v>1225</v>
      </c>
      <c r="BK325" s="32" t="s">
        <v>1225</v>
      </c>
      <c r="BL325" s="32" t="s">
        <v>1225</v>
      </c>
      <c r="BM325" s="32" t="s">
        <v>1225</v>
      </c>
      <c r="BN325" s="32" t="s">
        <v>1225</v>
      </c>
      <c r="BO325" s="32" t="s">
        <v>1225</v>
      </c>
      <c r="BP325" s="32" t="s">
        <v>1225</v>
      </c>
      <c r="BQ325" s="32" t="s">
        <v>1225</v>
      </c>
      <c r="BR325" s="32" t="s">
        <v>1225</v>
      </c>
      <c r="BS325" s="32" t="s">
        <v>1225</v>
      </c>
      <c r="BT325" s="32" t="s">
        <v>1225</v>
      </c>
      <c r="BU325" s="32" t="s">
        <v>1225</v>
      </c>
      <c r="BV325" s="32" t="s">
        <v>1225</v>
      </c>
      <c r="BW325" s="32" t="str">
        <f t="shared" si="10"/>
        <v>View Full Record in Web of Science</v>
      </c>
      <c r="BY325" s="41" t="str">
        <f>IF(Deletion!J325=TRUE,"Yes","No")</f>
        <v>Yes</v>
      </c>
    </row>
    <row r="326" spans="1:77" x14ac:dyDescent="0.15">
      <c r="A326" s="32">
        <f t="shared" si="11"/>
        <v>325</v>
      </c>
      <c r="D326" s="32" t="s">
        <v>1223</v>
      </c>
      <c r="E326" s="32" t="s">
        <v>3453</v>
      </c>
      <c r="F326" s="32" t="s">
        <v>1225</v>
      </c>
      <c r="G326" s="32" t="s">
        <v>1225</v>
      </c>
      <c r="H326" s="32" t="s">
        <v>1225</v>
      </c>
      <c r="I326" s="32" t="s">
        <v>3454</v>
      </c>
      <c r="J326" s="32" t="s">
        <v>1225</v>
      </c>
      <c r="K326" s="32" t="s">
        <v>1225</v>
      </c>
      <c r="L326" s="32" t="s">
        <v>3455</v>
      </c>
      <c r="M326" s="32" t="s">
        <v>73</v>
      </c>
      <c r="N326" s="32" t="s">
        <v>1225</v>
      </c>
      <c r="O326" s="32" t="s">
        <v>1225</v>
      </c>
      <c r="P326" s="32" t="s">
        <v>1225</v>
      </c>
      <c r="Q326" s="32" t="s">
        <v>1227</v>
      </c>
      <c r="R326" s="32" t="s">
        <v>1225</v>
      </c>
      <c r="S326" s="32" t="s">
        <v>1225</v>
      </c>
      <c r="T326" s="32" t="s">
        <v>1225</v>
      </c>
      <c r="U326" s="32" t="s">
        <v>1225</v>
      </c>
      <c r="V326" s="32" t="s">
        <v>1225</v>
      </c>
      <c r="W326" s="32" t="s">
        <v>3456</v>
      </c>
      <c r="X326" s="32" t="s">
        <v>3457</v>
      </c>
      <c r="Y326" s="32" t="s">
        <v>3458</v>
      </c>
      <c r="Z326" s="32" t="s">
        <v>1225</v>
      </c>
      <c r="AA326" s="32" t="s">
        <v>1225</v>
      </c>
      <c r="AB326" s="32" t="s">
        <v>1225</v>
      </c>
      <c r="AC326" s="32" t="s">
        <v>1225</v>
      </c>
      <c r="AD326" s="32" t="s">
        <v>1225</v>
      </c>
      <c r="AE326" s="32" t="s">
        <v>1225</v>
      </c>
      <c r="AF326" s="32" t="s">
        <v>1225</v>
      </c>
      <c r="AG326" s="32" t="s">
        <v>1225</v>
      </c>
      <c r="AH326" s="32" t="s">
        <v>1225</v>
      </c>
      <c r="AI326" s="32" t="s">
        <v>1225</v>
      </c>
      <c r="AJ326" s="32" t="s">
        <v>1225</v>
      </c>
      <c r="AK326" s="32" t="s">
        <v>1225</v>
      </c>
      <c r="AL326" s="32" t="s">
        <v>1225</v>
      </c>
      <c r="AM326" s="32" t="s">
        <v>1225</v>
      </c>
      <c r="AN326" s="32" t="s">
        <v>1225</v>
      </c>
      <c r="AO326" s="32" t="s">
        <v>1225</v>
      </c>
      <c r="AP326" s="32" t="s">
        <v>1225</v>
      </c>
      <c r="AQ326" s="32" t="s">
        <v>1225</v>
      </c>
      <c r="AR326" s="32" t="s">
        <v>1225</v>
      </c>
      <c r="AS326" s="32" t="s">
        <v>1225</v>
      </c>
      <c r="AT326" s="32" t="s">
        <v>1225</v>
      </c>
      <c r="AU326" s="32" t="s">
        <v>1225</v>
      </c>
      <c r="AV326" s="32" t="s">
        <v>1225</v>
      </c>
      <c r="AW326" s="32" t="s">
        <v>1393</v>
      </c>
      <c r="AX326" s="32">
        <v>2020</v>
      </c>
      <c r="AY326" s="32">
        <v>6</v>
      </c>
      <c r="AZ326" s="32">
        <v>2</v>
      </c>
      <c r="BA326" s="32" t="s">
        <v>1225</v>
      </c>
      <c r="BB326" s="32" t="s">
        <v>1225</v>
      </c>
      <c r="BC326" s="32" t="s">
        <v>1225</v>
      </c>
      <c r="BD326" s="32" t="s">
        <v>1225</v>
      </c>
      <c r="BE326" s="32">
        <v>478</v>
      </c>
      <c r="BF326" s="32">
        <v>487</v>
      </c>
      <c r="BG326" s="32" t="s">
        <v>1225</v>
      </c>
      <c r="BH326" s="32" t="s">
        <v>3459</v>
      </c>
      <c r="BI326" s="32" t="str">
        <f>HYPERLINK("http://dx.doi.org/10.1109/TTE.2020.2986675","http://dx.doi.org/10.1109/TTE.2020.2986675")</f>
        <v>http://dx.doi.org/10.1109/TTE.2020.2986675</v>
      </c>
      <c r="BJ326" s="32" t="s">
        <v>1225</v>
      </c>
      <c r="BK326" s="32" t="s">
        <v>1225</v>
      </c>
      <c r="BL326" s="32" t="s">
        <v>1225</v>
      </c>
      <c r="BM326" s="32" t="s">
        <v>1225</v>
      </c>
      <c r="BN326" s="32" t="s">
        <v>1225</v>
      </c>
      <c r="BO326" s="32" t="s">
        <v>1225</v>
      </c>
      <c r="BP326" s="32" t="s">
        <v>1225</v>
      </c>
      <c r="BQ326" s="32" t="s">
        <v>1225</v>
      </c>
      <c r="BR326" s="32" t="s">
        <v>1225</v>
      </c>
      <c r="BS326" s="32" t="s">
        <v>1225</v>
      </c>
      <c r="BT326" s="32" t="s">
        <v>1225</v>
      </c>
      <c r="BU326" s="32" t="s">
        <v>1225</v>
      </c>
      <c r="BV326" s="32" t="s">
        <v>1225</v>
      </c>
      <c r="BW326" s="32" t="str">
        <f t="shared" si="10"/>
        <v>View Full Record in Web of Science</v>
      </c>
      <c r="BY326" s="41" t="str">
        <f>IF(Deletion!J326=TRUE,"Yes","No")</f>
        <v>Yes</v>
      </c>
    </row>
    <row r="327" spans="1:77" x14ac:dyDescent="0.15">
      <c r="A327" s="34">
        <f t="shared" si="11"/>
        <v>326</v>
      </c>
      <c r="B327" s="34" t="s">
        <v>4</v>
      </c>
      <c r="C327" s="34" t="s">
        <v>4</v>
      </c>
      <c r="D327" s="34" t="s">
        <v>1223</v>
      </c>
      <c r="E327" s="34" t="s">
        <v>3460</v>
      </c>
      <c r="F327" s="32" t="s">
        <v>1225</v>
      </c>
      <c r="G327" s="32" t="s">
        <v>1225</v>
      </c>
      <c r="H327" s="32" t="s">
        <v>1225</v>
      </c>
      <c r="I327" s="34" t="s">
        <v>3461</v>
      </c>
      <c r="J327" s="32" t="s">
        <v>1225</v>
      </c>
      <c r="K327" s="32" t="s">
        <v>1225</v>
      </c>
      <c r="L327" s="34" t="s">
        <v>3462</v>
      </c>
      <c r="M327" s="34" t="s">
        <v>3463</v>
      </c>
      <c r="N327" s="32" t="s">
        <v>1225</v>
      </c>
      <c r="O327" s="32" t="s">
        <v>1225</v>
      </c>
      <c r="P327" s="32" t="s">
        <v>1225</v>
      </c>
      <c r="Q327" s="34" t="s">
        <v>1227</v>
      </c>
      <c r="R327" s="32" t="s">
        <v>1225</v>
      </c>
      <c r="S327" s="32" t="s">
        <v>1225</v>
      </c>
      <c r="T327" s="32" t="s">
        <v>1225</v>
      </c>
      <c r="U327" s="32" t="s">
        <v>1225</v>
      </c>
      <c r="V327" s="32" t="s">
        <v>1225</v>
      </c>
      <c r="W327" s="34" t="s">
        <v>3464</v>
      </c>
      <c r="X327" s="34" t="s">
        <v>3465</v>
      </c>
      <c r="Y327" s="34" t="s">
        <v>3466</v>
      </c>
      <c r="Z327" s="32" t="s">
        <v>1225</v>
      </c>
      <c r="AA327" s="32" t="s">
        <v>1225</v>
      </c>
      <c r="AB327" s="32" t="s">
        <v>1225</v>
      </c>
      <c r="AC327" s="32" t="s">
        <v>1225</v>
      </c>
      <c r="AD327" s="32" t="s">
        <v>1225</v>
      </c>
      <c r="AE327" s="32" t="s">
        <v>1225</v>
      </c>
      <c r="AF327" s="32" t="s">
        <v>1225</v>
      </c>
      <c r="AG327" s="32" t="s">
        <v>1225</v>
      </c>
      <c r="AH327" s="32" t="s">
        <v>1225</v>
      </c>
      <c r="AI327" s="32" t="s">
        <v>1225</v>
      </c>
      <c r="AJ327" s="32" t="s">
        <v>1225</v>
      </c>
      <c r="AK327" s="32" t="s">
        <v>1225</v>
      </c>
      <c r="AL327" s="32" t="s">
        <v>1225</v>
      </c>
      <c r="AM327" s="32" t="s">
        <v>1225</v>
      </c>
      <c r="AN327" s="32" t="s">
        <v>1225</v>
      </c>
      <c r="AO327" s="32" t="s">
        <v>1225</v>
      </c>
      <c r="AP327" s="32" t="s">
        <v>1225</v>
      </c>
      <c r="AQ327" s="32" t="s">
        <v>1225</v>
      </c>
      <c r="AR327" s="32" t="s">
        <v>1225</v>
      </c>
      <c r="AS327" s="32" t="s">
        <v>1225</v>
      </c>
      <c r="AT327" s="32" t="s">
        <v>1225</v>
      </c>
      <c r="AU327" s="32" t="s">
        <v>1225</v>
      </c>
      <c r="AV327" s="32" t="s">
        <v>1225</v>
      </c>
      <c r="AW327" s="34" t="s">
        <v>3467</v>
      </c>
      <c r="AX327" s="34">
        <v>2019</v>
      </c>
      <c r="AY327" s="32">
        <v>13</v>
      </c>
      <c r="AZ327" s="32">
        <v>10</v>
      </c>
      <c r="BA327" s="32" t="s">
        <v>1225</v>
      </c>
      <c r="BB327" s="32" t="s">
        <v>1225</v>
      </c>
      <c r="BC327" s="32" t="s">
        <v>1225</v>
      </c>
      <c r="BD327" s="32" t="s">
        <v>1225</v>
      </c>
      <c r="BE327" s="32">
        <v>4988</v>
      </c>
      <c r="BF327" s="32">
        <v>5012</v>
      </c>
      <c r="BG327" s="32" t="s">
        <v>1225</v>
      </c>
      <c r="BH327" s="34" t="s">
        <v>3468</v>
      </c>
      <c r="BI327" s="34" t="str">
        <f>HYPERLINK("http://dx.doi.org/10.3837/tiis.2019.10.010","http://dx.doi.org/10.3837/tiis.2019.10.010")</f>
        <v>http://dx.doi.org/10.3837/tiis.2019.10.010</v>
      </c>
      <c r="BJ327" s="32" t="s">
        <v>1225</v>
      </c>
      <c r="BK327" s="32" t="s">
        <v>1225</v>
      </c>
      <c r="BL327" s="32" t="s">
        <v>1225</v>
      </c>
      <c r="BM327" s="32" t="s">
        <v>1225</v>
      </c>
      <c r="BN327" s="32" t="s">
        <v>1225</v>
      </c>
      <c r="BO327" s="32" t="s">
        <v>1225</v>
      </c>
      <c r="BP327" s="32" t="s">
        <v>1225</v>
      </c>
      <c r="BQ327" s="32" t="s">
        <v>1225</v>
      </c>
      <c r="BR327" s="32" t="s">
        <v>1225</v>
      </c>
      <c r="BS327" s="32" t="s">
        <v>1225</v>
      </c>
      <c r="BT327" s="32" t="s">
        <v>1225</v>
      </c>
      <c r="BU327" s="32" t="s">
        <v>1225</v>
      </c>
      <c r="BV327" s="32" t="s">
        <v>1225</v>
      </c>
      <c r="BW327" s="32" t="str">
        <f t="shared" si="10"/>
        <v>View Full Record in Web of Science</v>
      </c>
      <c r="BY327" s="41" t="str">
        <f>IF(Deletion!J327=TRUE,"Yes","No")</f>
        <v>No</v>
      </c>
    </row>
    <row r="328" spans="1:77" x14ac:dyDescent="0.15">
      <c r="A328" s="32">
        <f t="shared" si="11"/>
        <v>327</v>
      </c>
      <c r="D328" s="32" t="s">
        <v>1223</v>
      </c>
      <c r="E328" s="32" t="s">
        <v>3469</v>
      </c>
      <c r="F328" s="32" t="s">
        <v>1225</v>
      </c>
      <c r="G328" s="32" t="s">
        <v>1225</v>
      </c>
      <c r="H328" s="32" t="s">
        <v>1225</v>
      </c>
      <c r="I328" s="32" t="s">
        <v>3470</v>
      </c>
      <c r="J328" s="32" t="s">
        <v>1225</v>
      </c>
      <c r="K328" s="32" t="s">
        <v>1225</v>
      </c>
      <c r="L328" s="32" t="s">
        <v>3471</v>
      </c>
      <c r="M328" s="32" t="s">
        <v>1794</v>
      </c>
      <c r="N328" s="32" t="s">
        <v>1225</v>
      </c>
      <c r="O328" s="32" t="s">
        <v>1225</v>
      </c>
      <c r="P328" s="32" t="s">
        <v>1225</v>
      </c>
      <c r="Q328" s="32" t="s">
        <v>1227</v>
      </c>
      <c r="R328" s="32" t="s">
        <v>1225</v>
      </c>
      <c r="S328" s="32" t="s">
        <v>1225</v>
      </c>
      <c r="T328" s="32" t="s">
        <v>1225</v>
      </c>
      <c r="U328" s="32" t="s">
        <v>1225</v>
      </c>
      <c r="V328" s="32" t="s">
        <v>1225</v>
      </c>
      <c r="W328" s="32" t="s">
        <v>3472</v>
      </c>
      <c r="X328" s="32" t="s">
        <v>3473</v>
      </c>
      <c r="Y328" s="32" t="s">
        <v>3474</v>
      </c>
      <c r="Z328" s="32" t="s">
        <v>1225</v>
      </c>
      <c r="AA328" s="32" t="s">
        <v>1225</v>
      </c>
      <c r="AB328" s="32" t="s">
        <v>1225</v>
      </c>
      <c r="AC328" s="32" t="s">
        <v>1225</v>
      </c>
      <c r="AD328" s="32" t="s">
        <v>1225</v>
      </c>
      <c r="AE328" s="32" t="s">
        <v>1225</v>
      </c>
      <c r="AF328" s="32" t="s">
        <v>1225</v>
      </c>
      <c r="AG328" s="32" t="s">
        <v>1225</v>
      </c>
      <c r="AH328" s="32" t="s">
        <v>1225</v>
      </c>
      <c r="AI328" s="32" t="s">
        <v>1225</v>
      </c>
      <c r="AJ328" s="32" t="s">
        <v>1225</v>
      </c>
      <c r="AK328" s="32" t="s">
        <v>1225</v>
      </c>
      <c r="AL328" s="32" t="s">
        <v>1225</v>
      </c>
      <c r="AM328" s="32" t="s">
        <v>1225</v>
      </c>
      <c r="AN328" s="32" t="s">
        <v>1225</v>
      </c>
      <c r="AO328" s="32" t="s">
        <v>1225</v>
      </c>
      <c r="AP328" s="32" t="s">
        <v>1225</v>
      </c>
      <c r="AQ328" s="32" t="s">
        <v>1225</v>
      </c>
      <c r="AR328" s="32" t="s">
        <v>1225</v>
      </c>
      <c r="AS328" s="32" t="s">
        <v>1225</v>
      </c>
      <c r="AT328" s="32" t="s">
        <v>1225</v>
      </c>
      <c r="AU328" s="32" t="s">
        <v>1225</v>
      </c>
      <c r="AV328" s="32" t="s">
        <v>1225</v>
      </c>
      <c r="AW328" s="32" t="s">
        <v>1229</v>
      </c>
      <c r="AX328" s="32">
        <v>2021</v>
      </c>
      <c r="AY328" s="32">
        <v>7</v>
      </c>
      <c r="AZ328" s="32" t="s">
        <v>1225</v>
      </c>
      <c r="BA328" s="32" t="s">
        <v>1225</v>
      </c>
      <c r="BB328" s="32" t="s">
        <v>1225</v>
      </c>
      <c r="BC328" s="32" t="s">
        <v>1225</v>
      </c>
      <c r="BD328" s="32" t="s">
        <v>1225</v>
      </c>
      <c r="BE328" s="32">
        <v>8760</v>
      </c>
      <c r="BF328" s="32">
        <v>8771</v>
      </c>
      <c r="BG328" s="32" t="s">
        <v>1225</v>
      </c>
      <c r="BH328" s="32" t="s">
        <v>3475</v>
      </c>
      <c r="BI328" s="32" t="str">
        <f>HYPERLINK("http://dx.doi.org/10.1016/j.egyr.2021.11.207","http://dx.doi.org/10.1016/j.egyr.2021.11.207")</f>
        <v>http://dx.doi.org/10.1016/j.egyr.2021.11.207</v>
      </c>
      <c r="BJ328" s="32" t="s">
        <v>1225</v>
      </c>
      <c r="BK328" s="32" t="s">
        <v>3476</v>
      </c>
      <c r="BL328" s="32" t="s">
        <v>1225</v>
      </c>
      <c r="BM328" s="32" t="s">
        <v>1225</v>
      </c>
      <c r="BN328" s="32" t="s">
        <v>1225</v>
      </c>
      <c r="BO328" s="32" t="s">
        <v>1225</v>
      </c>
      <c r="BP328" s="32" t="s">
        <v>1225</v>
      </c>
      <c r="BQ328" s="32" t="s">
        <v>1225</v>
      </c>
      <c r="BR328" s="32" t="s">
        <v>1225</v>
      </c>
      <c r="BS328" s="32" t="s">
        <v>1225</v>
      </c>
      <c r="BT328" s="32" t="s">
        <v>1225</v>
      </c>
      <c r="BU328" s="32" t="s">
        <v>1225</v>
      </c>
      <c r="BV328" s="32" t="s">
        <v>1225</v>
      </c>
      <c r="BW328" s="32" t="str">
        <f t="shared" si="10"/>
        <v>View Full Record in Web of Science</v>
      </c>
      <c r="BY328" s="41" t="str">
        <f>IF(Deletion!J328=TRUE,"Yes","No")</f>
        <v>Yes</v>
      </c>
    </row>
    <row r="329" spans="1:77" x14ac:dyDescent="0.15">
      <c r="A329" s="32">
        <f t="shared" si="11"/>
        <v>328</v>
      </c>
      <c r="D329" s="32" t="s">
        <v>1223</v>
      </c>
      <c r="E329" s="32" t="s">
        <v>3477</v>
      </c>
      <c r="F329" s="32" t="s">
        <v>1225</v>
      </c>
      <c r="G329" s="32" t="s">
        <v>1225</v>
      </c>
      <c r="H329" s="32" t="s">
        <v>1225</v>
      </c>
      <c r="I329" s="32" t="s">
        <v>3478</v>
      </c>
      <c r="J329" s="32" t="s">
        <v>1225</v>
      </c>
      <c r="K329" s="32" t="s">
        <v>1225</v>
      </c>
      <c r="L329" s="32" t="s">
        <v>3479</v>
      </c>
      <c r="M329" s="32" t="s">
        <v>422</v>
      </c>
      <c r="N329" s="32" t="s">
        <v>1225</v>
      </c>
      <c r="O329" s="32" t="s">
        <v>1225</v>
      </c>
      <c r="P329" s="32" t="s">
        <v>1225</v>
      </c>
      <c r="Q329" s="32" t="s">
        <v>1227</v>
      </c>
      <c r="R329" s="32" t="s">
        <v>1225</v>
      </c>
      <c r="S329" s="32" t="s">
        <v>1225</v>
      </c>
      <c r="T329" s="32" t="s">
        <v>1225</v>
      </c>
      <c r="U329" s="32" t="s">
        <v>1225</v>
      </c>
      <c r="V329" s="32" t="s">
        <v>1225</v>
      </c>
      <c r="W329" s="32" t="s">
        <v>3480</v>
      </c>
      <c r="X329" s="32" t="s">
        <v>1225</v>
      </c>
      <c r="Y329" s="32" t="s">
        <v>3481</v>
      </c>
      <c r="Z329" s="32" t="s">
        <v>1225</v>
      </c>
      <c r="AA329" s="32" t="s">
        <v>1225</v>
      </c>
      <c r="AB329" s="32" t="s">
        <v>1225</v>
      </c>
      <c r="AC329" s="32" t="s">
        <v>1225</v>
      </c>
      <c r="AD329" s="32" t="s">
        <v>1225</v>
      </c>
      <c r="AE329" s="32" t="s">
        <v>1225</v>
      </c>
      <c r="AF329" s="32" t="s">
        <v>1225</v>
      </c>
      <c r="AG329" s="32" t="s">
        <v>1225</v>
      </c>
      <c r="AH329" s="32" t="s">
        <v>1225</v>
      </c>
      <c r="AI329" s="32" t="s">
        <v>1225</v>
      </c>
      <c r="AJ329" s="32" t="s">
        <v>1225</v>
      </c>
      <c r="AK329" s="32" t="s">
        <v>1225</v>
      </c>
      <c r="AL329" s="32" t="s">
        <v>1225</v>
      </c>
      <c r="AM329" s="32" t="s">
        <v>1225</v>
      </c>
      <c r="AN329" s="32" t="s">
        <v>1225</v>
      </c>
      <c r="AO329" s="32" t="s">
        <v>1225</v>
      </c>
      <c r="AP329" s="32" t="s">
        <v>1225</v>
      </c>
      <c r="AQ329" s="32" t="s">
        <v>1225</v>
      </c>
      <c r="AR329" s="32" t="s">
        <v>1225</v>
      </c>
      <c r="AS329" s="32" t="s">
        <v>1225</v>
      </c>
      <c r="AT329" s="32" t="s">
        <v>1225</v>
      </c>
      <c r="AU329" s="32" t="s">
        <v>1225</v>
      </c>
      <c r="AV329" s="32" t="s">
        <v>1225</v>
      </c>
      <c r="AW329" s="32" t="s">
        <v>1239</v>
      </c>
      <c r="AX329" s="32">
        <v>2017</v>
      </c>
      <c r="AY329" s="32">
        <v>10</v>
      </c>
      <c r="AZ329" s="32">
        <v>7</v>
      </c>
      <c r="BA329" s="32" t="s">
        <v>1225</v>
      </c>
      <c r="BB329" s="32" t="s">
        <v>1225</v>
      </c>
      <c r="BC329" s="32" t="s">
        <v>1225</v>
      </c>
      <c r="BD329" s="32" t="s">
        <v>1225</v>
      </c>
      <c r="BE329" s="32" t="s">
        <v>1225</v>
      </c>
      <c r="BF329" s="32" t="s">
        <v>1225</v>
      </c>
      <c r="BG329" s="32">
        <v>929</v>
      </c>
      <c r="BH329" s="32" t="s">
        <v>3482</v>
      </c>
      <c r="BI329" s="32" t="str">
        <f>HYPERLINK("http://dx.doi.org/10.3390/en10070929","http://dx.doi.org/10.3390/en10070929")</f>
        <v>http://dx.doi.org/10.3390/en10070929</v>
      </c>
      <c r="BJ329" s="32" t="s">
        <v>1225</v>
      </c>
      <c r="BK329" s="32" t="s">
        <v>1225</v>
      </c>
      <c r="BL329" s="32" t="s">
        <v>1225</v>
      </c>
      <c r="BM329" s="32" t="s">
        <v>1225</v>
      </c>
      <c r="BN329" s="32" t="s">
        <v>1225</v>
      </c>
      <c r="BO329" s="32" t="s">
        <v>1225</v>
      </c>
      <c r="BP329" s="32" t="s">
        <v>1225</v>
      </c>
      <c r="BQ329" s="32" t="s">
        <v>1225</v>
      </c>
      <c r="BR329" s="32" t="s">
        <v>1225</v>
      </c>
      <c r="BS329" s="32" t="s">
        <v>1225</v>
      </c>
      <c r="BT329" s="32" t="s">
        <v>1225</v>
      </c>
      <c r="BU329" s="32" t="s">
        <v>1225</v>
      </c>
      <c r="BV329" s="32" t="s">
        <v>1225</v>
      </c>
      <c r="BW329" s="32" t="str">
        <f t="shared" si="10"/>
        <v>View Full Record in Web of Science</v>
      </c>
      <c r="BY329" s="41" t="str">
        <f>IF(Deletion!J329=TRUE,"Yes","No")</f>
        <v>Yes</v>
      </c>
    </row>
    <row r="330" spans="1:77" x14ac:dyDescent="0.15">
      <c r="A330" s="32">
        <f t="shared" si="11"/>
        <v>329</v>
      </c>
      <c r="D330" s="32" t="s">
        <v>1223</v>
      </c>
      <c r="E330" s="32" t="s">
        <v>3483</v>
      </c>
      <c r="F330" s="32" t="s">
        <v>1225</v>
      </c>
      <c r="G330" s="32" t="s">
        <v>1225</v>
      </c>
      <c r="H330" s="32" t="s">
        <v>1225</v>
      </c>
      <c r="I330" s="32" t="s">
        <v>3484</v>
      </c>
      <c r="J330" s="32" t="s">
        <v>1225</v>
      </c>
      <c r="K330" s="32" t="s">
        <v>1225</v>
      </c>
      <c r="L330" s="32" t="s">
        <v>3485</v>
      </c>
      <c r="M330" s="32" t="s">
        <v>228</v>
      </c>
      <c r="N330" s="32" t="s">
        <v>1225</v>
      </c>
      <c r="O330" s="32" t="s">
        <v>1225</v>
      </c>
      <c r="P330" s="32" t="s">
        <v>1225</v>
      </c>
      <c r="Q330" s="32" t="s">
        <v>1227</v>
      </c>
      <c r="R330" s="32" t="s">
        <v>1225</v>
      </c>
      <c r="S330" s="32" t="s">
        <v>1225</v>
      </c>
      <c r="T330" s="32" t="s">
        <v>1225</v>
      </c>
      <c r="U330" s="32" t="s">
        <v>1225</v>
      </c>
      <c r="V330" s="32" t="s">
        <v>1225</v>
      </c>
      <c r="W330" s="32" t="s">
        <v>3486</v>
      </c>
      <c r="X330" s="32" t="s">
        <v>3487</v>
      </c>
      <c r="Y330" s="32" t="s">
        <v>3488</v>
      </c>
      <c r="Z330" s="32" t="s">
        <v>1225</v>
      </c>
      <c r="AA330" s="32" t="s">
        <v>1225</v>
      </c>
      <c r="AB330" s="32" t="s">
        <v>1225</v>
      </c>
      <c r="AC330" s="32" t="s">
        <v>1225</v>
      </c>
      <c r="AD330" s="32" t="s">
        <v>1225</v>
      </c>
      <c r="AE330" s="32" t="s">
        <v>1225</v>
      </c>
      <c r="AF330" s="32" t="s">
        <v>1225</v>
      </c>
      <c r="AG330" s="32" t="s">
        <v>1225</v>
      </c>
      <c r="AH330" s="32" t="s">
        <v>1225</v>
      </c>
      <c r="AI330" s="32" t="s">
        <v>1225</v>
      </c>
      <c r="AJ330" s="32" t="s">
        <v>1225</v>
      </c>
      <c r="AK330" s="32" t="s">
        <v>1225</v>
      </c>
      <c r="AL330" s="32" t="s">
        <v>1225</v>
      </c>
      <c r="AM330" s="32" t="s">
        <v>1225</v>
      </c>
      <c r="AN330" s="32" t="s">
        <v>1225</v>
      </c>
      <c r="AO330" s="32" t="s">
        <v>1225</v>
      </c>
      <c r="AP330" s="32" t="s">
        <v>1225</v>
      </c>
      <c r="AQ330" s="32" t="s">
        <v>1225</v>
      </c>
      <c r="AR330" s="32" t="s">
        <v>1225</v>
      </c>
      <c r="AS330" s="32" t="s">
        <v>1225</v>
      </c>
      <c r="AT330" s="32" t="s">
        <v>1225</v>
      </c>
      <c r="AU330" s="32" t="s">
        <v>1225</v>
      </c>
      <c r="AV330" s="32" t="s">
        <v>1225</v>
      </c>
      <c r="AW330" s="32" t="s">
        <v>1726</v>
      </c>
      <c r="AX330" s="32">
        <v>2017</v>
      </c>
      <c r="AY330" s="32">
        <v>27</v>
      </c>
      <c r="AZ330" s="32">
        <v>4</v>
      </c>
      <c r="BA330" s="32" t="s">
        <v>1225</v>
      </c>
      <c r="BB330" s="32" t="s">
        <v>1225</v>
      </c>
      <c r="BC330" s="32" t="s">
        <v>1225</v>
      </c>
      <c r="BD330" s="32" t="s">
        <v>1225</v>
      </c>
      <c r="BE330" s="32" t="s">
        <v>1225</v>
      </c>
      <c r="BF330" s="32" t="s">
        <v>1225</v>
      </c>
      <c r="BG330" s="32" t="s">
        <v>3489</v>
      </c>
      <c r="BH330" s="32" t="s">
        <v>3490</v>
      </c>
      <c r="BI330" s="32" t="str">
        <f>HYPERLINK("http://dx.doi.org/10.1002/etep.2283","http://dx.doi.org/10.1002/etep.2283")</f>
        <v>http://dx.doi.org/10.1002/etep.2283</v>
      </c>
      <c r="BJ330" s="32" t="s">
        <v>1225</v>
      </c>
      <c r="BK330" s="32" t="s">
        <v>1225</v>
      </c>
      <c r="BL330" s="32" t="s">
        <v>1225</v>
      </c>
      <c r="BM330" s="32" t="s">
        <v>1225</v>
      </c>
      <c r="BN330" s="32" t="s">
        <v>1225</v>
      </c>
      <c r="BO330" s="32" t="s">
        <v>1225</v>
      </c>
      <c r="BP330" s="32" t="s">
        <v>1225</v>
      </c>
      <c r="BQ330" s="32" t="s">
        <v>1225</v>
      </c>
      <c r="BR330" s="32" t="s">
        <v>1225</v>
      </c>
      <c r="BS330" s="32" t="s">
        <v>1225</v>
      </c>
      <c r="BT330" s="32" t="s">
        <v>1225</v>
      </c>
      <c r="BU330" s="32" t="s">
        <v>1225</v>
      </c>
      <c r="BV330" s="32" t="s">
        <v>1225</v>
      </c>
      <c r="BW330" s="32" t="str">
        <f t="shared" si="10"/>
        <v>View Full Record in Web of Science</v>
      </c>
      <c r="BY330" s="41" t="str">
        <f>IF(Deletion!J330=TRUE,"Yes","No")</f>
        <v>Yes</v>
      </c>
    </row>
    <row r="331" spans="1:77" x14ac:dyDescent="0.15">
      <c r="A331" s="32">
        <f t="shared" si="11"/>
        <v>330</v>
      </c>
      <c r="D331" s="32" t="s">
        <v>1223</v>
      </c>
      <c r="E331" s="32" t="s">
        <v>3491</v>
      </c>
      <c r="F331" s="32" t="s">
        <v>1225</v>
      </c>
      <c r="G331" s="32" t="s">
        <v>1225</v>
      </c>
      <c r="H331" s="32" t="s">
        <v>1225</v>
      </c>
      <c r="I331" s="32" t="s">
        <v>3492</v>
      </c>
      <c r="J331" s="32" t="s">
        <v>1225</v>
      </c>
      <c r="K331" s="32" t="s">
        <v>1225</v>
      </c>
      <c r="L331" s="32" t="s">
        <v>3493</v>
      </c>
      <c r="M331" s="32" t="s">
        <v>124</v>
      </c>
      <c r="N331" s="32" t="s">
        <v>1225</v>
      </c>
      <c r="O331" s="32" t="s">
        <v>1225</v>
      </c>
      <c r="P331" s="32" t="s">
        <v>1225</v>
      </c>
      <c r="Q331" s="32" t="s">
        <v>1227</v>
      </c>
      <c r="R331" s="32" t="s">
        <v>1225</v>
      </c>
      <c r="S331" s="32" t="s">
        <v>1225</v>
      </c>
      <c r="T331" s="32" t="s">
        <v>1225</v>
      </c>
      <c r="U331" s="32" t="s">
        <v>1225</v>
      </c>
      <c r="V331" s="32" t="s">
        <v>1225</v>
      </c>
      <c r="W331" s="32" t="s">
        <v>3494</v>
      </c>
      <c r="X331" s="32" t="s">
        <v>3495</v>
      </c>
      <c r="Y331" s="32" t="s">
        <v>3496</v>
      </c>
      <c r="Z331" s="32" t="s">
        <v>1225</v>
      </c>
      <c r="AA331" s="32" t="s">
        <v>1225</v>
      </c>
      <c r="AB331" s="32" t="s">
        <v>1225</v>
      </c>
      <c r="AC331" s="32" t="s">
        <v>1225</v>
      </c>
      <c r="AD331" s="32" t="s">
        <v>1225</v>
      </c>
      <c r="AE331" s="32" t="s">
        <v>1225</v>
      </c>
      <c r="AF331" s="32" t="s">
        <v>1225</v>
      </c>
      <c r="AG331" s="32" t="s">
        <v>1225</v>
      </c>
      <c r="AH331" s="32" t="s">
        <v>1225</v>
      </c>
      <c r="AI331" s="32" t="s">
        <v>1225</v>
      </c>
      <c r="AJ331" s="32" t="s">
        <v>1225</v>
      </c>
      <c r="AK331" s="32" t="s">
        <v>1225</v>
      </c>
      <c r="AL331" s="32" t="s">
        <v>1225</v>
      </c>
      <c r="AM331" s="32" t="s">
        <v>1225</v>
      </c>
      <c r="AN331" s="32" t="s">
        <v>1225</v>
      </c>
      <c r="AO331" s="32" t="s">
        <v>1225</v>
      </c>
      <c r="AP331" s="32" t="s">
        <v>1225</v>
      </c>
      <c r="AQ331" s="32" t="s">
        <v>1225</v>
      </c>
      <c r="AR331" s="32" t="s">
        <v>1225</v>
      </c>
      <c r="AS331" s="32" t="s">
        <v>1225</v>
      </c>
      <c r="AT331" s="32" t="s">
        <v>1225</v>
      </c>
      <c r="AU331" s="32" t="s">
        <v>1225</v>
      </c>
      <c r="AV331" s="32" t="s">
        <v>1225</v>
      </c>
      <c r="AW331" s="32" t="s">
        <v>1272</v>
      </c>
      <c r="AX331" s="32">
        <v>2016</v>
      </c>
      <c r="AY331" s="32">
        <v>7</v>
      </c>
      <c r="AZ331" s="32">
        <v>2</v>
      </c>
      <c r="BA331" s="32" t="s">
        <v>1225</v>
      </c>
      <c r="BB331" s="32" t="s">
        <v>1225</v>
      </c>
      <c r="BC331" s="32" t="s">
        <v>1511</v>
      </c>
      <c r="BD331" s="32" t="s">
        <v>1225</v>
      </c>
      <c r="BE331" s="32">
        <v>627</v>
      </c>
      <c r="BF331" s="32">
        <v>636</v>
      </c>
      <c r="BG331" s="32" t="s">
        <v>1225</v>
      </c>
      <c r="BH331" s="32" t="s">
        <v>3497</v>
      </c>
      <c r="BI331" s="32" t="str">
        <f>HYPERLINK("http://dx.doi.org/10.1109/TSG.2015.2437415","http://dx.doi.org/10.1109/TSG.2015.2437415")</f>
        <v>http://dx.doi.org/10.1109/TSG.2015.2437415</v>
      </c>
      <c r="BJ331" s="32" t="s">
        <v>1225</v>
      </c>
      <c r="BK331" s="32" t="s">
        <v>1225</v>
      </c>
      <c r="BL331" s="32" t="s">
        <v>1225</v>
      </c>
      <c r="BM331" s="32" t="s">
        <v>1225</v>
      </c>
      <c r="BN331" s="32" t="s">
        <v>1225</v>
      </c>
      <c r="BO331" s="32" t="s">
        <v>1225</v>
      </c>
      <c r="BP331" s="32" t="s">
        <v>1225</v>
      </c>
      <c r="BQ331" s="32" t="s">
        <v>1225</v>
      </c>
      <c r="BR331" s="32" t="s">
        <v>1225</v>
      </c>
      <c r="BS331" s="32" t="s">
        <v>1225</v>
      </c>
      <c r="BT331" s="32" t="s">
        <v>1225</v>
      </c>
      <c r="BU331" s="32" t="s">
        <v>1225</v>
      </c>
      <c r="BV331" s="32" t="s">
        <v>1225</v>
      </c>
      <c r="BW331" s="32" t="str">
        <f t="shared" si="10"/>
        <v>View Full Record in Web of Science</v>
      </c>
      <c r="BY331" s="41" t="str">
        <f>IF(Deletion!J331=TRUE,"Yes","No")</f>
        <v>Yes</v>
      </c>
    </row>
    <row r="332" spans="1:77" x14ac:dyDescent="0.15">
      <c r="A332" s="34">
        <f t="shared" si="11"/>
        <v>331</v>
      </c>
      <c r="B332" s="34" t="s">
        <v>4</v>
      </c>
      <c r="C332" s="34" t="s">
        <v>4</v>
      </c>
      <c r="D332" s="34" t="s">
        <v>1223</v>
      </c>
      <c r="E332" s="34" t="s">
        <v>3498</v>
      </c>
      <c r="F332" s="32" t="s">
        <v>1225</v>
      </c>
      <c r="G332" s="32" t="s">
        <v>1225</v>
      </c>
      <c r="H332" s="32" t="s">
        <v>1225</v>
      </c>
      <c r="I332" s="34" t="s">
        <v>3499</v>
      </c>
      <c r="J332" s="32" t="s">
        <v>1225</v>
      </c>
      <c r="K332" s="32" t="s">
        <v>1225</v>
      </c>
      <c r="L332" s="34" t="s">
        <v>3500</v>
      </c>
      <c r="M332" s="34" t="s">
        <v>3501</v>
      </c>
      <c r="N332" s="32" t="s">
        <v>1225</v>
      </c>
      <c r="O332" s="32" t="s">
        <v>1225</v>
      </c>
      <c r="P332" s="32" t="s">
        <v>1225</v>
      </c>
      <c r="Q332" s="34" t="s">
        <v>1227</v>
      </c>
      <c r="R332" s="32" t="s">
        <v>1225</v>
      </c>
      <c r="S332" s="32" t="s">
        <v>1225</v>
      </c>
      <c r="T332" s="32" t="s">
        <v>1225</v>
      </c>
      <c r="U332" s="32" t="s">
        <v>1225</v>
      </c>
      <c r="V332" s="32" t="s">
        <v>1225</v>
      </c>
      <c r="W332" s="34" t="s">
        <v>3502</v>
      </c>
      <c r="X332" s="34" t="s">
        <v>3503</v>
      </c>
      <c r="Y332" s="34" t="s">
        <v>3504</v>
      </c>
      <c r="Z332" s="32" t="s">
        <v>1225</v>
      </c>
      <c r="AA332" s="32" t="s">
        <v>1225</v>
      </c>
      <c r="AB332" s="32" t="s">
        <v>1225</v>
      </c>
      <c r="AC332" s="32" t="s">
        <v>1225</v>
      </c>
      <c r="AD332" s="32" t="s">
        <v>1225</v>
      </c>
      <c r="AE332" s="32" t="s">
        <v>1225</v>
      </c>
      <c r="AF332" s="32" t="s">
        <v>1225</v>
      </c>
      <c r="AG332" s="32" t="s">
        <v>1225</v>
      </c>
      <c r="AH332" s="32" t="s">
        <v>1225</v>
      </c>
      <c r="AI332" s="32" t="s">
        <v>1225</v>
      </c>
      <c r="AJ332" s="32" t="s">
        <v>1225</v>
      </c>
      <c r="AK332" s="32" t="s">
        <v>1225</v>
      </c>
      <c r="AL332" s="32" t="s">
        <v>1225</v>
      </c>
      <c r="AM332" s="32" t="s">
        <v>1225</v>
      </c>
      <c r="AN332" s="32" t="s">
        <v>1225</v>
      </c>
      <c r="AO332" s="32" t="s">
        <v>1225</v>
      </c>
      <c r="AP332" s="32" t="s">
        <v>1225</v>
      </c>
      <c r="AQ332" s="32" t="s">
        <v>1225</v>
      </c>
      <c r="AR332" s="32" t="s">
        <v>1225</v>
      </c>
      <c r="AS332" s="32" t="s">
        <v>1225</v>
      </c>
      <c r="AT332" s="32" t="s">
        <v>1225</v>
      </c>
      <c r="AU332" s="32" t="s">
        <v>1225</v>
      </c>
      <c r="AV332" s="32" t="s">
        <v>1225</v>
      </c>
      <c r="AW332" s="34" t="s">
        <v>3133</v>
      </c>
      <c r="AX332" s="34">
        <v>2019</v>
      </c>
      <c r="AY332" s="32">
        <v>2019</v>
      </c>
      <c r="AZ332" s="32">
        <v>1</v>
      </c>
      <c r="BA332" s="32" t="s">
        <v>1225</v>
      </c>
      <c r="BB332" s="32" t="s">
        <v>1225</v>
      </c>
      <c r="BC332" s="32" t="s">
        <v>1225</v>
      </c>
      <c r="BD332" s="32" t="s">
        <v>1225</v>
      </c>
      <c r="BE332" s="32" t="s">
        <v>1225</v>
      </c>
      <c r="BF332" s="32" t="s">
        <v>1225</v>
      </c>
      <c r="BG332" s="32">
        <v>271</v>
      </c>
      <c r="BH332" s="34" t="s">
        <v>3505</v>
      </c>
      <c r="BI332" s="34" t="str">
        <f>HYPERLINK("http://dx.doi.org/10.1186/s13638-019-1589-8","http://dx.doi.org/10.1186/s13638-019-1589-8")</f>
        <v>http://dx.doi.org/10.1186/s13638-019-1589-8</v>
      </c>
      <c r="BJ332" s="32" t="s">
        <v>1225</v>
      </c>
      <c r="BK332" s="32" t="s">
        <v>1225</v>
      </c>
      <c r="BL332" s="32" t="s">
        <v>1225</v>
      </c>
      <c r="BM332" s="32" t="s">
        <v>1225</v>
      </c>
      <c r="BN332" s="32" t="s">
        <v>1225</v>
      </c>
      <c r="BO332" s="32" t="s">
        <v>1225</v>
      </c>
      <c r="BP332" s="32" t="s">
        <v>1225</v>
      </c>
      <c r="BQ332" s="32" t="s">
        <v>1225</v>
      </c>
      <c r="BR332" s="32" t="s">
        <v>1225</v>
      </c>
      <c r="BS332" s="32" t="s">
        <v>1225</v>
      </c>
      <c r="BT332" s="32" t="s">
        <v>1225</v>
      </c>
      <c r="BU332" s="32" t="s">
        <v>1225</v>
      </c>
      <c r="BV332" s="32" t="s">
        <v>1225</v>
      </c>
      <c r="BW332" s="32" t="str">
        <f t="shared" si="10"/>
        <v>View Full Record in Web of Science</v>
      </c>
      <c r="BY332" s="41" t="str">
        <f>IF(Deletion!J332=TRUE,"Yes","No")</f>
        <v>No</v>
      </c>
    </row>
    <row r="333" spans="1:77" x14ac:dyDescent="0.15">
      <c r="A333" s="32">
        <f t="shared" si="11"/>
        <v>332</v>
      </c>
      <c r="D333" s="32" t="s">
        <v>1223</v>
      </c>
      <c r="E333" s="32" t="s">
        <v>3506</v>
      </c>
      <c r="F333" s="32" t="s">
        <v>1225</v>
      </c>
      <c r="G333" s="32" t="s">
        <v>1225</v>
      </c>
      <c r="H333" s="32" t="s">
        <v>1225</v>
      </c>
      <c r="I333" s="32" t="s">
        <v>3507</v>
      </c>
      <c r="J333" s="32" t="s">
        <v>1225</v>
      </c>
      <c r="K333" s="32" t="s">
        <v>1225</v>
      </c>
      <c r="L333" s="32" t="s">
        <v>3508</v>
      </c>
      <c r="M333" s="32" t="s">
        <v>882</v>
      </c>
      <c r="N333" s="32" t="s">
        <v>1225</v>
      </c>
      <c r="O333" s="32" t="s">
        <v>1225</v>
      </c>
      <c r="P333" s="32" t="s">
        <v>1225</v>
      </c>
      <c r="Q333" s="32" t="s">
        <v>1227</v>
      </c>
      <c r="R333" s="32" t="s">
        <v>1225</v>
      </c>
      <c r="S333" s="32" t="s">
        <v>1225</v>
      </c>
      <c r="T333" s="32" t="s">
        <v>1225</v>
      </c>
      <c r="U333" s="32" t="s">
        <v>1225</v>
      </c>
      <c r="V333" s="32" t="s">
        <v>1225</v>
      </c>
      <c r="W333" s="32" t="s">
        <v>3509</v>
      </c>
      <c r="X333" s="32" t="s">
        <v>3510</v>
      </c>
      <c r="Y333" s="32" t="s">
        <v>3511</v>
      </c>
      <c r="Z333" s="32" t="s">
        <v>1225</v>
      </c>
      <c r="AA333" s="32" t="s">
        <v>1225</v>
      </c>
      <c r="AB333" s="32" t="s">
        <v>1225</v>
      </c>
      <c r="AC333" s="32" t="s">
        <v>1225</v>
      </c>
      <c r="AD333" s="32" t="s">
        <v>1225</v>
      </c>
      <c r="AE333" s="32" t="s">
        <v>1225</v>
      </c>
      <c r="AF333" s="32" t="s">
        <v>1225</v>
      </c>
      <c r="AG333" s="32" t="s">
        <v>1225</v>
      </c>
      <c r="AH333" s="32" t="s">
        <v>1225</v>
      </c>
      <c r="AI333" s="32" t="s">
        <v>1225</v>
      </c>
      <c r="AJ333" s="32" t="s">
        <v>1225</v>
      </c>
      <c r="AK333" s="32" t="s">
        <v>1225</v>
      </c>
      <c r="AL333" s="32" t="s">
        <v>1225</v>
      </c>
      <c r="AM333" s="32" t="s">
        <v>1225</v>
      </c>
      <c r="AN333" s="32" t="s">
        <v>1225</v>
      </c>
      <c r="AO333" s="32" t="s">
        <v>1225</v>
      </c>
      <c r="AP333" s="32" t="s">
        <v>1225</v>
      </c>
      <c r="AQ333" s="32" t="s">
        <v>1225</v>
      </c>
      <c r="AR333" s="32" t="s">
        <v>1225</v>
      </c>
      <c r="AS333" s="32" t="s">
        <v>1225</v>
      </c>
      <c r="AT333" s="32" t="s">
        <v>1225</v>
      </c>
      <c r="AU333" s="32" t="s">
        <v>1225</v>
      </c>
      <c r="AV333" s="32" t="s">
        <v>1225</v>
      </c>
      <c r="AW333" s="32" t="s">
        <v>3512</v>
      </c>
      <c r="AX333" s="32">
        <v>2018</v>
      </c>
      <c r="AY333" s="32">
        <v>12</v>
      </c>
      <c r="AZ333" s="32">
        <v>18</v>
      </c>
      <c r="BA333" s="32" t="s">
        <v>1225</v>
      </c>
      <c r="BB333" s="32" t="s">
        <v>1225</v>
      </c>
      <c r="BC333" s="32" t="s">
        <v>1225</v>
      </c>
      <c r="BD333" s="32" t="s">
        <v>1225</v>
      </c>
      <c r="BE333" s="32">
        <v>4134</v>
      </c>
      <c r="BF333" s="32">
        <v>4141</v>
      </c>
      <c r="BG333" s="32" t="s">
        <v>1225</v>
      </c>
      <c r="BH333" s="32" t="s">
        <v>3513</v>
      </c>
      <c r="BI333" s="32" t="str">
        <f>HYPERLINK("http://dx.doi.org/10.1049/iet-gtd.2018.5592","http://dx.doi.org/10.1049/iet-gtd.2018.5592")</f>
        <v>http://dx.doi.org/10.1049/iet-gtd.2018.5592</v>
      </c>
      <c r="BJ333" s="32" t="s">
        <v>1225</v>
      </c>
      <c r="BK333" s="32" t="s">
        <v>1225</v>
      </c>
      <c r="BL333" s="32" t="s">
        <v>1225</v>
      </c>
      <c r="BM333" s="32" t="s">
        <v>1225</v>
      </c>
      <c r="BN333" s="32" t="s">
        <v>1225</v>
      </c>
      <c r="BO333" s="32" t="s">
        <v>1225</v>
      </c>
      <c r="BP333" s="32" t="s">
        <v>1225</v>
      </c>
      <c r="BQ333" s="32" t="s">
        <v>1225</v>
      </c>
      <c r="BR333" s="32" t="s">
        <v>1225</v>
      </c>
      <c r="BS333" s="32" t="s">
        <v>1225</v>
      </c>
      <c r="BT333" s="32" t="s">
        <v>1225</v>
      </c>
      <c r="BU333" s="32" t="s">
        <v>1225</v>
      </c>
      <c r="BV333" s="32" t="s">
        <v>1225</v>
      </c>
      <c r="BW333" s="32" t="str">
        <f t="shared" si="10"/>
        <v>View Full Record in Web of Science</v>
      </c>
      <c r="BY333" s="41" t="str">
        <f>IF(Deletion!J333=TRUE,"Yes","No")</f>
        <v>Yes</v>
      </c>
    </row>
    <row r="334" spans="1:77" x14ac:dyDescent="0.15">
      <c r="A334" s="32">
        <f t="shared" si="11"/>
        <v>333</v>
      </c>
      <c r="D334" s="32" t="s">
        <v>1223</v>
      </c>
      <c r="E334" s="32" t="s">
        <v>3514</v>
      </c>
      <c r="F334" s="32" t="s">
        <v>1225</v>
      </c>
      <c r="G334" s="32" t="s">
        <v>1225</v>
      </c>
      <c r="H334" s="32" t="s">
        <v>1225</v>
      </c>
      <c r="I334" s="32" t="s">
        <v>3515</v>
      </c>
      <c r="J334" s="32" t="s">
        <v>1225</v>
      </c>
      <c r="K334" s="32" t="s">
        <v>1225</v>
      </c>
      <c r="L334" s="32" t="s">
        <v>3516</v>
      </c>
      <c r="M334" s="32" t="s">
        <v>3517</v>
      </c>
      <c r="N334" s="32" t="s">
        <v>1225</v>
      </c>
      <c r="O334" s="32" t="s">
        <v>1225</v>
      </c>
      <c r="P334" s="32" t="s">
        <v>1225</v>
      </c>
      <c r="Q334" s="32" t="s">
        <v>1227</v>
      </c>
      <c r="R334" s="32" t="s">
        <v>1225</v>
      </c>
      <c r="S334" s="32" t="s">
        <v>1225</v>
      </c>
      <c r="T334" s="32" t="s">
        <v>1225</v>
      </c>
      <c r="U334" s="32" t="s">
        <v>1225</v>
      </c>
      <c r="V334" s="32" t="s">
        <v>1225</v>
      </c>
      <c r="W334" s="32" t="s">
        <v>3518</v>
      </c>
      <c r="X334" s="32" t="s">
        <v>1225</v>
      </c>
      <c r="Y334" s="32" t="s">
        <v>3519</v>
      </c>
      <c r="Z334" s="32" t="s">
        <v>1225</v>
      </c>
      <c r="AA334" s="32" t="s">
        <v>1225</v>
      </c>
      <c r="AB334" s="32" t="s">
        <v>1225</v>
      </c>
      <c r="AC334" s="32" t="s">
        <v>1225</v>
      </c>
      <c r="AD334" s="32" t="s">
        <v>1225</v>
      </c>
      <c r="AE334" s="32" t="s">
        <v>1225</v>
      </c>
      <c r="AF334" s="32" t="s">
        <v>1225</v>
      </c>
      <c r="AG334" s="32" t="s">
        <v>1225</v>
      </c>
      <c r="AH334" s="32" t="s">
        <v>1225</v>
      </c>
      <c r="AI334" s="32" t="s">
        <v>1225</v>
      </c>
      <c r="AJ334" s="32" t="s">
        <v>1225</v>
      </c>
      <c r="AK334" s="32" t="s">
        <v>1225</v>
      </c>
      <c r="AL334" s="32" t="s">
        <v>1225</v>
      </c>
      <c r="AM334" s="32" t="s">
        <v>1225</v>
      </c>
      <c r="AN334" s="32" t="s">
        <v>1225</v>
      </c>
      <c r="AO334" s="32" t="s">
        <v>1225</v>
      </c>
      <c r="AP334" s="32" t="s">
        <v>1225</v>
      </c>
      <c r="AQ334" s="32" t="s">
        <v>1225</v>
      </c>
      <c r="AR334" s="32" t="s">
        <v>1225</v>
      </c>
      <c r="AS334" s="32" t="s">
        <v>1225</v>
      </c>
      <c r="AT334" s="32" t="s">
        <v>1225</v>
      </c>
      <c r="AU334" s="32" t="s">
        <v>1225</v>
      </c>
      <c r="AV334" s="32" t="s">
        <v>1225</v>
      </c>
      <c r="AW334" s="32" t="s">
        <v>1256</v>
      </c>
      <c r="AX334" s="32">
        <v>2018</v>
      </c>
      <c r="AY334" s="32">
        <v>13</v>
      </c>
      <c r="AZ334" s="32">
        <v>12</v>
      </c>
      <c r="BA334" s="32" t="s">
        <v>1225</v>
      </c>
      <c r="BB334" s="32" t="s">
        <v>1225</v>
      </c>
      <c r="BC334" s="32" t="s">
        <v>1225</v>
      </c>
      <c r="BD334" s="32" t="s">
        <v>1225</v>
      </c>
      <c r="BE334" s="32">
        <v>1682</v>
      </c>
      <c r="BF334" s="32">
        <v>1689</v>
      </c>
      <c r="BG334" s="32" t="s">
        <v>1225</v>
      </c>
      <c r="BH334" s="32" t="s">
        <v>3520</v>
      </c>
      <c r="BI334" s="32" t="str">
        <f>HYPERLINK("http://dx.doi.org/10.1002/tee.22785","http://dx.doi.org/10.1002/tee.22785")</f>
        <v>http://dx.doi.org/10.1002/tee.22785</v>
      </c>
      <c r="BJ334" s="32" t="s">
        <v>1225</v>
      </c>
      <c r="BK334" s="32" t="s">
        <v>1225</v>
      </c>
      <c r="BL334" s="32" t="s">
        <v>1225</v>
      </c>
      <c r="BM334" s="32" t="s">
        <v>1225</v>
      </c>
      <c r="BN334" s="32" t="s">
        <v>1225</v>
      </c>
      <c r="BO334" s="32" t="s">
        <v>1225</v>
      </c>
      <c r="BP334" s="32" t="s">
        <v>1225</v>
      </c>
      <c r="BQ334" s="32" t="s">
        <v>1225</v>
      </c>
      <c r="BR334" s="32" t="s">
        <v>1225</v>
      </c>
      <c r="BS334" s="32" t="s">
        <v>1225</v>
      </c>
      <c r="BT334" s="32" t="s">
        <v>1225</v>
      </c>
      <c r="BU334" s="32" t="s">
        <v>1225</v>
      </c>
      <c r="BV334" s="32" t="s">
        <v>1225</v>
      </c>
      <c r="BW334" s="32" t="str">
        <f t="shared" si="10"/>
        <v>View Full Record in Web of Science</v>
      </c>
      <c r="BY334" s="41" t="str">
        <f>IF(Deletion!J334=TRUE,"Yes","No")</f>
        <v>Yes</v>
      </c>
    </row>
    <row r="335" spans="1:77" x14ac:dyDescent="0.15">
      <c r="A335" s="32">
        <f t="shared" si="11"/>
        <v>334</v>
      </c>
      <c r="D335" s="32" t="s">
        <v>1223</v>
      </c>
      <c r="E335" s="32" t="s">
        <v>3521</v>
      </c>
      <c r="F335" s="32" t="s">
        <v>1225</v>
      </c>
      <c r="G335" s="32" t="s">
        <v>1225</v>
      </c>
      <c r="H335" s="32" t="s">
        <v>1225</v>
      </c>
      <c r="I335" s="32" t="s">
        <v>3522</v>
      </c>
      <c r="J335" s="32" t="s">
        <v>1225</v>
      </c>
      <c r="K335" s="32" t="s">
        <v>1225</v>
      </c>
      <c r="L335" s="32" t="s">
        <v>3523</v>
      </c>
      <c r="M335" s="32" t="s">
        <v>124</v>
      </c>
      <c r="N335" s="32" t="s">
        <v>1225</v>
      </c>
      <c r="O335" s="32" t="s">
        <v>1225</v>
      </c>
      <c r="P335" s="32" t="s">
        <v>1225</v>
      </c>
      <c r="Q335" s="32" t="s">
        <v>1227</v>
      </c>
      <c r="R335" s="32" t="s">
        <v>1225</v>
      </c>
      <c r="S335" s="32" t="s">
        <v>1225</v>
      </c>
      <c r="T335" s="32" t="s">
        <v>1225</v>
      </c>
      <c r="U335" s="32" t="s">
        <v>1225</v>
      </c>
      <c r="V335" s="32" t="s">
        <v>1225</v>
      </c>
      <c r="W335" s="32" t="s">
        <v>3524</v>
      </c>
      <c r="X335" s="32" t="s">
        <v>3525</v>
      </c>
      <c r="Y335" s="32" t="s">
        <v>3526</v>
      </c>
      <c r="Z335" s="32" t="s">
        <v>1225</v>
      </c>
      <c r="AA335" s="32" t="s">
        <v>1225</v>
      </c>
      <c r="AB335" s="32" t="s">
        <v>1225</v>
      </c>
      <c r="AC335" s="32" t="s">
        <v>1225</v>
      </c>
      <c r="AD335" s="32" t="s">
        <v>1225</v>
      </c>
      <c r="AE335" s="32" t="s">
        <v>1225</v>
      </c>
      <c r="AF335" s="32" t="s">
        <v>1225</v>
      </c>
      <c r="AG335" s="32" t="s">
        <v>1225</v>
      </c>
      <c r="AH335" s="32" t="s">
        <v>1225</v>
      </c>
      <c r="AI335" s="32" t="s">
        <v>1225</v>
      </c>
      <c r="AJ335" s="32" t="s">
        <v>1225</v>
      </c>
      <c r="AK335" s="32" t="s">
        <v>1225</v>
      </c>
      <c r="AL335" s="32" t="s">
        <v>1225</v>
      </c>
      <c r="AM335" s="32" t="s">
        <v>1225</v>
      </c>
      <c r="AN335" s="32" t="s">
        <v>1225</v>
      </c>
      <c r="AO335" s="32" t="s">
        <v>1225</v>
      </c>
      <c r="AP335" s="32" t="s">
        <v>1225</v>
      </c>
      <c r="AQ335" s="32" t="s">
        <v>1225</v>
      </c>
      <c r="AR335" s="32" t="s">
        <v>1225</v>
      </c>
      <c r="AS335" s="32" t="s">
        <v>1225</v>
      </c>
      <c r="AT335" s="32" t="s">
        <v>1225</v>
      </c>
      <c r="AU335" s="32" t="s">
        <v>1225</v>
      </c>
      <c r="AV335" s="32" t="s">
        <v>1225</v>
      </c>
      <c r="AW335" s="32" t="s">
        <v>1272</v>
      </c>
      <c r="AX335" s="32">
        <v>2018</v>
      </c>
      <c r="AY335" s="32">
        <v>9</v>
      </c>
      <c r="AZ335" s="32">
        <v>2</v>
      </c>
      <c r="BA335" s="32" t="s">
        <v>1225</v>
      </c>
      <c r="BB335" s="32" t="s">
        <v>1225</v>
      </c>
      <c r="BC335" s="32" t="s">
        <v>1225</v>
      </c>
      <c r="BD335" s="32" t="s">
        <v>1225</v>
      </c>
      <c r="BE335" s="32">
        <v>1096</v>
      </c>
      <c r="BF335" s="32">
        <v>1106</v>
      </c>
      <c r="BG335" s="32" t="s">
        <v>1225</v>
      </c>
      <c r="BH335" s="32" t="s">
        <v>3527</v>
      </c>
      <c r="BI335" s="32" t="str">
        <f>HYPERLINK("http://dx.doi.org/10.1109/TSG.2016.2576902","http://dx.doi.org/10.1109/TSG.2016.2576902")</f>
        <v>http://dx.doi.org/10.1109/TSG.2016.2576902</v>
      </c>
      <c r="BJ335" s="32" t="s">
        <v>1225</v>
      </c>
      <c r="BK335" s="32" t="s">
        <v>1225</v>
      </c>
      <c r="BL335" s="32" t="s">
        <v>1225</v>
      </c>
      <c r="BM335" s="32" t="s">
        <v>1225</v>
      </c>
      <c r="BN335" s="32" t="s">
        <v>1225</v>
      </c>
      <c r="BO335" s="32" t="s">
        <v>1225</v>
      </c>
      <c r="BP335" s="32" t="s">
        <v>1225</v>
      </c>
      <c r="BQ335" s="32" t="s">
        <v>1225</v>
      </c>
      <c r="BR335" s="32" t="s">
        <v>1225</v>
      </c>
      <c r="BS335" s="32" t="s">
        <v>1225</v>
      </c>
      <c r="BT335" s="32" t="s">
        <v>1225</v>
      </c>
      <c r="BU335" s="32" t="s">
        <v>1225</v>
      </c>
      <c r="BV335" s="32" t="s">
        <v>1225</v>
      </c>
      <c r="BW335" s="32" t="str">
        <f t="shared" si="10"/>
        <v>View Full Record in Web of Science</v>
      </c>
      <c r="BY335" s="41" t="str">
        <f>IF(Deletion!J335=TRUE,"Yes","No")</f>
        <v>Yes</v>
      </c>
    </row>
    <row r="336" spans="1:77" x14ac:dyDescent="0.15">
      <c r="A336" s="32">
        <f t="shared" si="11"/>
        <v>335</v>
      </c>
      <c r="D336" s="32" t="s">
        <v>1223</v>
      </c>
      <c r="E336" s="32" t="s">
        <v>3528</v>
      </c>
      <c r="F336" s="32" t="s">
        <v>1225</v>
      </c>
      <c r="G336" s="32" t="s">
        <v>1225</v>
      </c>
      <c r="H336" s="32" t="s">
        <v>1225</v>
      </c>
      <c r="I336" s="32" t="s">
        <v>3529</v>
      </c>
      <c r="J336" s="32" t="s">
        <v>1225</v>
      </c>
      <c r="K336" s="32" t="s">
        <v>1225</v>
      </c>
      <c r="L336" s="32" t="s">
        <v>3530</v>
      </c>
      <c r="M336" s="32" t="s">
        <v>89</v>
      </c>
      <c r="N336" s="32" t="s">
        <v>1225</v>
      </c>
      <c r="O336" s="32" t="s">
        <v>1225</v>
      </c>
      <c r="P336" s="32" t="s">
        <v>1225</v>
      </c>
      <c r="Q336" s="32" t="s">
        <v>1227</v>
      </c>
      <c r="R336" s="32" t="s">
        <v>1225</v>
      </c>
      <c r="S336" s="32" t="s">
        <v>1225</v>
      </c>
      <c r="T336" s="32" t="s">
        <v>1225</v>
      </c>
      <c r="U336" s="32" t="s">
        <v>1225</v>
      </c>
      <c r="V336" s="32" t="s">
        <v>1225</v>
      </c>
      <c r="W336" s="32" t="s">
        <v>3531</v>
      </c>
      <c r="X336" s="32" t="s">
        <v>502</v>
      </c>
      <c r="Y336" s="32" t="s">
        <v>3532</v>
      </c>
      <c r="Z336" s="32" t="s">
        <v>1225</v>
      </c>
      <c r="AA336" s="32" t="s">
        <v>1225</v>
      </c>
      <c r="AB336" s="32" t="s">
        <v>1225</v>
      </c>
      <c r="AC336" s="32" t="s">
        <v>1225</v>
      </c>
      <c r="AD336" s="32" t="s">
        <v>1225</v>
      </c>
      <c r="AE336" s="32" t="s">
        <v>1225</v>
      </c>
      <c r="AF336" s="32" t="s">
        <v>1225</v>
      </c>
      <c r="AG336" s="32" t="s">
        <v>1225</v>
      </c>
      <c r="AH336" s="32" t="s">
        <v>1225</v>
      </c>
      <c r="AI336" s="32" t="s">
        <v>1225</v>
      </c>
      <c r="AJ336" s="32" t="s">
        <v>1225</v>
      </c>
      <c r="AK336" s="32" t="s">
        <v>1225</v>
      </c>
      <c r="AL336" s="32" t="s">
        <v>1225</v>
      </c>
      <c r="AM336" s="32" t="s">
        <v>1225</v>
      </c>
      <c r="AN336" s="32" t="s">
        <v>1225</v>
      </c>
      <c r="AO336" s="32" t="s">
        <v>1225</v>
      </c>
      <c r="AP336" s="32" t="s">
        <v>1225</v>
      </c>
      <c r="AQ336" s="32" t="s">
        <v>1225</v>
      </c>
      <c r="AR336" s="32" t="s">
        <v>1225</v>
      </c>
      <c r="AS336" s="32" t="s">
        <v>1225</v>
      </c>
      <c r="AT336" s="32" t="s">
        <v>1225</v>
      </c>
      <c r="AU336" s="32" t="s">
        <v>1225</v>
      </c>
      <c r="AV336" s="32" t="s">
        <v>1225</v>
      </c>
      <c r="AW336" s="32" t="s">
        <v>1285</v>
      </c>
      <c r="AX336" s="32">
        <v>2017</v>
      </c>
      <c r="AY336" s="32">
        <v>146</v>
      </c>
      <c r="AZ336" s="32" t="s">
        <v>1225</v>
      </c>
      <c r="BA336" s="32" t="s">
        <v>1225</v>
      </c>
      <c r="BB336" s="32" t="s">
        <v>1225</v>
      </c>
      <c r="BC336" s="32" t="s">
        <v>1225</v>
      </c>
      <c r="BD336" s="32" t="s">
        <v>1225</v>
      </c>
      <c r="BE336" s="32">
        <v>177</v>
      </c>
      <c r="BF336" s="32">
        <v>188</v>
      </c>
      <c r="BG336" s="32" t="s">
        <v>1225</v>
      </c>
      <c r="BH336" s="32" t="s">
        <v>3533</v>
      </c>
      <c r="BI336" s="32" t="str">
        <f>HYPERLINK("http://dx.doi.org/10.1016/j.epsr.2016.11.008","http://dx.doi.org/10.1016/j.epsr.2016.11.008")</f>
        <v>http://dx.doi.org/10.1016/j.epsr.2016.11.008</v>
      </c>
      <c r="BJ336" s="32" t="s">
        <v>1225</v>
      </c>
      <c r="BK336" s="32" t="s">
        <v>1225</v>
      </c>
      <c r="BL336" s="32" t="s">
        <v>1225</v>
      </c>
      <c r="BM336" s="32" t="s">
        <v>1225</v>
      </c>
      <c r="BN336" s="32" t="s">
        <v>1225</v>
      </c>
      <c r="BO336" s="32" t="s">
        <v>1225</v>
      </c>
      <c r="BP336" s="32" t="s">
        <v>1225</v>
      </c>
      <c r="BQ336" s="32" t="s">
        <v>1225</v>
      </c>
      <c r="BR336" s="32" t="s">
        <v>1225</v>
      </c>
      <c r="BS336" s="32" t="s">
        <v>1225</v>
      </c>
      <c r="BT336" s="32" t="s">
        <v>1225</v>
      </c>
      <c r="BU336" s="32" t="s">
        <v>1225</v>
      </c>
      <c r="BV336" s="32" t="s">
        <v>1225</v>
      </c>
      <c r="BW336" s="32" t="str">
        <f t="shared" si="10"/>
        <v>View Full Record in Web of Science</v>
      </c>
      <c r="BY336" s="41" t="str">
        <f>IF(Deletion!J336=TRUE,"Yes","No")</f>
        <v>Yes</v>
      </c>
    </row>
    <row r="337" spans="1:77" x14ac:dyDescent="0.15">
      <c r="A337" s="38">
        <f t="shared" si="11"/>
        <v>336</v>
      </c>
      <c r="B337" s="38" t="s">
        <v>1413</v>
      </c>
      <c r="C337" s="38" t="s">
        <v>1413</v>
      </c>
      <c r="D337" s="38" t="s">
        <v>1223</v>
      </c>
      <c r="E337" s="38" t="s">
        <v>3534</v>
      </c>
      <c r="F337" s="32" t="s">
        <v>1225</v>
      </c>
      <c r="G337" s="32" t="s">
        <v>1225</v>
      </c>
      <c r="H337" s="32" t="s">
        <v>1225</v>
      </c>
      <c r="I337" s="38" t="s">
        <v>3535</v>
      </c>
      <c r="J337" s="32" t="s">
        <v>1225</v>
      </c>
      <c r="K337" s="32" t="s">
        <v>1225</v>
      </c>
      <c r="L337" s="38" t="s">
        <v>3536</v>
      </c>
      <c r="M337" s="38" t="s">
        <v>1451</v>
      </c>
      <c r="N337" s="32" t="s">
        <v>1225</v>
      </c>
      <c r="O337" s="32" t="s">
        <v>1225</v>
      </c>
      <c r="P337" s="32" t="s">
        <v>1225</v>
      </c>
      <c r="Q337" s="38" t="s">
        <v>1417</v>
      </c>
      <c r="R337" s="32" t="s">
        <v>1225</v>
      </c>
      <c r="S337" s="32" t="s">
        <v>1225</v>
      </c>
      <c r="T337" s="32" t="s">
        <v>1225</v>
      </c>
      <c r="U337" s="32" t="s">
        <v>1225</v>
      </c>
      <c r="V337" s="32" t="s">
        <v>1225</v>
      </c>
      <c r="W337" s="38" t="s">
        <v>3537</v>
      </c>
      <c r="X337" s="38" t="s">
        <v>3538</v>
      </c>
      <c r="Y337" s="38" t="s">
        <v>3539</v>
      </c>
      <c r="Z337" s="32" t="s">
        <v>1225</v>
      </c>
      <c r="AA337" s="32" t="s">
        <v>1225</v>
      </c>
      <c r="AB337" s="32" t="s">
        <v>1225</v>
      </c>
      <c r="AC337" s="32" t="s">
        <v>1225</v>
      </c>
      <c r="AD337" s="32" t="s">
        <v>1225</v>
      </c>
      <c r="AE337" s="32" t="s">
        <v>1225</v>
      </c>
      <c r="AF337" s="32" t="s">
        <v>1225</v>
      </c>
      <c r="AG337" s="32" t="s">
        <v>1225</v>
      </c>
      <c r="AH337" s="32" t="s">
        <v>1225</v>
      </c>
      <c r="AI337" s="32" t="s">
        <v>1225</v>
      </c>
      <c r="AJ337" s="32" t="s">
        <v>1225</v>
      </c>
      <c r="AK337" s="32" t="s">
        <v>1225</v>
      </c>
      <c r="AL337" s="32" t="s">
        <v>1225</v>
      </c>
      <c r="AM337" s="32" t="s">
        <v>1225</v>
      </c>
      <c r="AN337" s="32" t="s">
        <v>1225</v>
      </c>
      <c r="AO337" s="32" t="s">
        <v>1225</v>
      </c>
      <c r="AP337" s="32" t="s">
        <v>1225</v>
      </c>
      <c r="AQ337" s="32" t="s">
        <v>1225</v>
      </c>
      <c r="AR337" s="32" t="s">
        <v>1225</v>
      </c>
      <c r="AS337" s="32" t="s">
        <v>1225</v>
      </c>
      <c r="AT337" s="32" t="s">
        <v>1225</v>
      </c>
      <c r="AU337" s="32" t="s">
        <v>1225</v>
      </c>
      <c r="AV337" s="32" t="s">
        <v>1225</v>
      </c>
      <c r="AW337" s="38" t="s">
        <v>1229</v>
      </c>
      <c r="AX337" s="38">
        <v>2015</v>
      </c>
      <c r="AY337" s="32">
        <v>51</v>
      </c>
      <c r="AZ337" s="32" t="s">
        <v>1225</v>
      </c>
      <c r="BA337" s="32" t="s">
        <v>1225</v>
      </c>
      <c r="BB337" s="32" t="s">
        <v>1225</v>
      </c>
      <c r="BC337" s="32" t="s">
        <v>1225</v>
      </c>
      <c r="BD337" s="32" t="s">
        <v>1225</v>
      </c>
      <c r="BE337" s="32">
        <v>648</v>
      </c>
      <c r="BF337" s="32">
        <v>661</v>
      </c>
      <c r="BG337" s="32" t="s">
        <v>1225</v>
      </c>
      <c r="BH337" s="38" t="s">
        <v>3540</v>
      </c>
      <c r="BI337" s="38" t="str">
        <f>HYPERLINK("http://dx.doi.org/10.1016/j.rser.2015.06.036","http://dx.doi.org/10.1016/j.rser.2015.06.036")</f>
        <v>http://dx.doi.org/10.1016/j.rser.2015.06.036</v>
      </c>
      <c r="BJ337" s="32" t="s">
        <v>1225</v>
      </c>
      <c r="BK337" s="32" t="s">
        <v>1225</v>
      </c>
      <c r="BL337" s="32" t="s">
        <v>1225</v>
      </c>
      <c r="BM337" s="32" t="s">
        <v>1225</v>
      </c>
      <c r="BN337" s="32" t="s">
        <v>1225</v>
      </c>
      <c r="BO337" s="32" t="s">
        <v>1225</v>
      </c>
      <c r="BP337" s="32" t="s">
        <v>1225</v>
      </c>
      <c r="BQ337" s="32" t="s">
        <v>1225</v>
      </c>
      <c r="BR337" s="32" t="s">
        <v>1225</v>
      </c>
      <c r="BS337" s="32" t="s">
        <v>1225</v>
      </c>
      <c r="BT337" s="32" t="s">
        <v>1225</v>
      </c>
      <c r="BU337" s="32" t="s">
        <v>1225</v>
      </c>
      <c r="BV337" s="32" t="s">
        <v>1225</v>
      </c>
      <c r="BW337" s="32" t="str">
        <f t="shared" si="10"/>
        <v>View Full Record in Web of Science</v>
      </c>
      <c r="BY337" s="41" t="str">
        <f>IF(Deletion!J337=TRUE,"Yes","No")</f>
        <v>No</v>
      </c>
    </row>
    <row r="338" spans="1:77" x14ac:dyDescent="0.15">
      <c r="A338" s="32">
        <f t="shared" si="11"/>
        <v>337</v>
      </c>
      <c r="D338" s="32" t="s">
        <v>1223</v>
      </c>
      <c r="E338" s="32" t="s">
        <v>3541</v>
      </c>
      <c r="F338" s="32" t="s">
        <v>1225</v>
      </c>
      <c r="G338" s="32" t="s">
        <v>1225</v>
      </c>
      <c r="H338" s="32" t="s">
        <v>1225</v>
      </c>
      <c r="I338" s="32" t="s">
        <v>3542</v>
      </c>
      <c r="J338" s="32" t="s">
        <v>1225</v>
      </c>
      <c r="K338" s="32" t="s">
        <v>1225</v>
      </c>
      <c r="L338" s="32" t="s">
        <v>3543</v>
      </c>
      <c r="M338" s="32" t="s">
        <v>1562</v>
      </c>
      <c r="N338" s="32" t="s">
        <v>1225</v>
      </c>
      <c r="O338" s="32" t="s">
        <v>1225</v>
      </c>
      <c r="P338" s="32" t="s">
        <v>1225</v>
      </c>
      <c r="Q338" s="32" t="s">
        <v>1227</v>
      </c>
      <c r="R338" s="32" t="s">
        <v>1225</v>
      </c>
      <c r="S338" s="32" t="s">
        <v>1225</v>
      </c>
      <c r="T338" s="32" t="s">
        <v>1225</v>
      </c>
      <c r="U338" s="32" t="s">
        <v>1225</v>
      </c>
      <c r="V338" s="32" t="s">
        <v>1225</v>
      </c>
      <c r="W338" s="32" t="s">
        <v>3544</v>
      </c>
      <c r="X338" s="32" t="s">
        <v>3545</v>
      </c>
      <c r="Y338" s="32" t="s">
        <v>3546</v>
      </c>
      <c r="Z338" s="32" t="s">
        <v>1225</v>
      </c>
      <c r="AA338" s="32" t="s">
        <v>1225</v>
      </c>
      <c r="AB338" s="32" t="s">
        <v>1225</v>
      </c>
      <c r="AC338" s="32" t="s">
        <v>1225</v>
      </c>
      <c r="AD338" s="32" t="s">
        <v>1225</v>
      </c>
      <c r="AE338" s="32" t="s">
        <v>1225</v>
      </c>
      <c r="AF338" s="32" t="s">
        <v>1225</v>
      </c>
      <c r="AG338" s="32" t="s">
        <v>1225</v>
      </c>
      <c r="AH338" s="32" t="s">
        <v>1225</v>
      </c>
      <c r="AI338" s="32" t="s">
        <v>1225</v>
      </c>
      <c r="AJ338" s="32" t="s">
        <v>1225</v>
      </c>
      <c r="AK338" s="32" t="s">
        <v>1225</v>
      </c>
      <c r="AL338" s="32" t="s">
        <v>1225</v>
      </c>
      <c r="AM338" s="32" t="s">
        <v>1225</v>
      </c>
      <c r="AN338" s="32" t="s">
        <v>1225</v>
      </c>
      <c r="AO338" s="32" t="s">
        <v>1225</v>
      </c>
      <c r="AP338" s="32" t="s">
        <v>1225</v>
      </c>
      <c r="AQ338" s="32" t="s">
        <v>1225</v>
      </c>
      <c r="AR338" s="32" t="s">
        <v>1225</v>
      </c>
      <c r="AS338" s="32" t="s">
        <v>1225</v>
      </c>
      <c r="AT338" s="32" t="s">
        <v>1225</v>
      </c>
      <c r="AU338" s="32" t="s">
        <v>1225</v>
      </c>
      <c r="AV338" s="32" t="s">
        <v>1225</v>
      </c>
      <c r="AW338" s="32" t="s">
        <v>3547</v>
      </c>
      <c r="AX338" s="32">
        <v>2016</v>
      </c>
      <c r="AY338" s="32">
        <v>336</v>
      </c>
      <c r="AZ338" s="32" t="s">
        <v>1225</v>
      </c>
      <c r="BA338" s="32" t="s">
        <v>1225</v>
      </c>
      <c r="BB338" s="32" t="s">
        <v>1225</v>
      </c>
      <c r="BC338" s="32" t="s">
        <v>1225</v>
      </c>
      <c r="BD338" s="32" t="s">
        <v>1225</v>
      </c>
      <c r="BE338" s="32">
        <v>63</v>
      </c>
      <c r="BF338" s="32">
        <v>74</v>
      </c>
      <c r="BG338" s="32" t="s">
        <v>1225</v>
      </c>
      <c r="BH338" s="32" t="s">
        <v>3548</v>
      </c>
      <c r="BI338" s="32" t="str">
        <f>HYPERLINK("http://dx.doi.org/10.1016/j.jpowsour.2016.10.048","http://dx.doi.org/10.1016/j.jpowsour.2016.10.048")</f>
        <v>http://dx.doi.org/10.1016/j.jpowsour.2016.10.048</v>
      </c>
      <c r="BJ338" s="32" t="s">
        <v>1225</v>
      </c>
      <c r="BK338" s="32" t="s">
        <v>1225</v>
      </c>
      <c r="BL338" s="32" t="s">
        <v>1225</v>
      </c>
      <c r="BM338" s="32" t="s">
        <v>1225</v>
      </c>
      <c r="BN338" s="32" t="s">
        <v>1225</v>
      </c>
      <c r="BO338" s="32" t="s">
        <v>1225</v>
      </c>
      <c r="BP338" s="32" t="s">
        <v>1225</v>
      </c>
      <c r="BQ338" s="32" t="s">
        <v>1225</v>
      </c>
      <c r="BR338" s="32" t="s">
        <v>1225</v>
      </c>
      <c r="BS338" s="32" t="s">
        <v>1225</v>
      </c>
      <c r="BT338" s="32" t="s">
        <v>1225</v>
      </c>
      <c r="BU338" s="32" t="s">
        <v>1225</v>
      </c>
      <c r="BV338" s="32" t="s">
        <v>1225</v>
      </c>
      <c r="BW338" s="32" t="str">
        <f t="shared" si="10"/>
        <v>View Full Record in Web of Science</v>
      </c>
      <c r="BY338" s="41" t="str">
        <f>IF(Deletion!J338=TRUE,"Yes","No")</f>
        <v>Yes</v>
      </c>
    </row>
    <row r="339" spans="1:77" x14ac:dyDescent="0.15">
      <c r="A339" s="32">
        <f t="shared" si="11"/>
        <v>338</v>
      </c>
      <c r="D339" s="32" t="s">
        <v>1223</v>
      </c>
      <c r="E339" s="32" t="s">
        <v>3549</v>
      </c>
      <c r="F339" s="32" t="s">
        <v>1225</v>
      </c>
      <c r="G339" s="32" t="s">
        <v>1225</v>
      </c>
      <c r="H339" s="32" t="s">
        <v>1225</v>
      </c>
      <c r="I339" s="32" t="s">
        <v>3550</v>
      </c>
      <c r="J339" s="32" t="s">
        <v>1225</v>
      </c>
      <c r="K339" s="32" t="s">
        <v>1225</v>
      </c>
      <c r="L339" s="32" t="s">
        <v>3551</v>
      </c>
      <c r="M339" s="32" t="s">
        <v>2193</v>
      </c>
      <c r="N339" s="32" t="s">
        <v>1225</v>
      </c>
      <c r="O339" s="32" t="s">
        <v>1225</v>
      </c>
      <c r="P339" s="32" t="s">
        <v>1225</v>
      </c>
      <c r="Q339" s="32" t="s">
        <v>1688</v>
      </c>
      <c r="R339" s="32" t="s">
        <v>1225</v>
      </c>
      <c r="S339" s="32" t="s">
        <v>1225</v>
      </c>
      <c r="T339" s="32" t="s">
        <v>1225</v>
      </c>
      <c r="U339" s="32" t="s">
        <v>1225</v>
      </c>
      <c r="V339" s="32" t="s">
        <v>1225</v>
      </c>
      <c r="W339" s="32" t="s">
        <v>3552</v>
      </c>
      <c r="X339" s="32" t="s">
        <v>1225</v>
      </c>
      <c r="Y339" s="32" t="s">
        <v>3553</v>
      </c>
      <c r="Z339" s="32" t="s">
        <v>1225</v>
      </c>
      <c r="AA339" s="32" t="s">
        <v>1225</v>
      </c>
      <c r="AB339" s="32" t="s">
        <v>1225</v>
      </c>
      <c r="AC339" s="32" t="s">
        <v>1225</v>
      </c>
      <c r="AD339" s="32" t="s">
        <v>1225</v>
      </c>
      <c r="AE339" s="32" t="s">
        <v>1225</v>
      </c>
      <c r="AF339" s="32" t="s">
        <v>1225</v>
      </c>
      <c r="AG339" s="32" t="s">
        <v>1225</v>
      </c>
      <c r="AH339" s="32" t="s">
        <v>1225</v>
      </c>
      <c r="AI339" s="32" t="s">
        <v>1225</v>
      </c>
      <c r="AJ339" s="32" t="s">
        <v>1225</v>
      </c>
      <c r="AK339" s="32" t="s">
        <v>1225</v>
      </c>
      <c r="AL339" s="32" t="s">
        <v>1225</v>
      </c>
      <c r="AM339" s="32" t="s">
        <v>1225</v>
      </c>
      <c r="AN339" s="32" t="s">
        <v>1225</v>
      </c>
      <c r="AO339" s="32" t="s">
        <v>1225</v>
      </c>
      <c r="AP339" s="32" t="s">
        <v>1225</v>
      </c>
      <c r="AQ339" s="32" t="s">
        <v>1225</v>
      </c>
      <c r="AR339" s="32" t="s">
        <v>1225</v>
      </c>
      <c r="AS339" s="32" t="s">
        <v>1225</v>
      </c>
      <c r="AT339" s="32" t="s">
        <v>1225</v>
      </c>
      <c r="AU339" s="32" t="s">
        <v>1225</v>
      </c>
      <c r="AV339" s="32" t="s">
        <v>1225</v>
      </c>
      <c r="AW339" s="32" t="s">
        <v>1225</v>
      </c>
      <c r="AX339" s="32" t="s">
        <v>1225</v>
      </c>
      <c r="AY339" s="32" t="s">
        <v>1225</v>
      </c>
      <c r="AZ339" s="32" t="s">
        <v>1225</v>
      </c>
      <c r="BA339" s="32" t="s">
        <v>1225</v>
      </c>
      <c r="BB339" s="32" t="s">
        <v>1225</v>
      </c>
      <c r="BC339" s="32" t="s">
        <v>1225</v>
      </c>
      <c r="BD339" s="32" t="s">
        <v>1225</v>
      </c>
      <c r="BE339" s="32" t="s">
        <v>1225</v>
      </c>
      <c r="BF339" s="32" t="s">
        <v>1225</v>
      </c>
      <c r="BG339" s="32" t="s">
        <v>1225</v>
      </c>
      <c r="BH339" s="32" t="s">
        <v>3554</v>
      </c>
      <c r="BI339" s="32" t="str">
        <f>HYPERLINK("http://dx.doi.org/10.1002/er.8199","http://dx.doi.org/10.1002/er.8199")</f>
        <v>http://dx.doi.org/10.1002/er.8199</v>
      </c>
      <c r="BJ339" s="32" t="s">
        <v>1225</v>
      </c>
      <c r="BK339" s="32" t="s">
        <v>3555</v>
      </c>
      <c r="BL339" s="32" t="s">
        <v>1225</v>
      </c>
      <c r="BM339" s="32" t="s">
        <v>1225</v>
      </c>
      <c r="BN339" s="32" t="s">
        <v>1225</v>
      </c>
      <c r="BO339" s="32" t="s">
        <v>1225</v>
      </c>
      <c r="BP339" s="32" t="s">
        <v>1225</v>
      </c>
      <c r="BQ339" s="32" t="s">
        <v>1225</v>
      </c>
      <c r="BR339" s="32" t="s">
        <v>1225</v>
      </c>
      <c r="BS339" s="32" t="s">
        <v>1225</v>
      </c>
      <c r="BT339" s="32" t="s">
        <v>1225</v>
      </c>
      <c r="BU339" s="32" t="s">
        <v>1225</v>
      </c>
      <c r="BV339" s="32" t="s">
        <v>1225</v>
      </c>
      <c r="BW339" s="32" t="str">
        <f t="shared" si="10"/>
        <v>View Full Record in Web of Science</v>
      </c>
      <c r="BY339" s="41" t="str">
        <f>IF(Deletion!J339=TRUE,"Yes","No")</f>
        <v>Yes</v>
      </c>
    </row>
    <row r="340" spans="1:77" x14ac:dyDescent="0.15">
      <c r="A340" s="38">
        <f t="shared" si="11"/>
        <v>339</v>
      </c>
      <c r="B340" s="38" t="s">
        <v>1413</v>
      </c>
      <c r="C340" s="38" t="s">
        <v>1413</v>
      </c>
      <c r="D340" s="38" t="s">
        <v>1223</v>
      </c>
      <c r="E340" s="38" t="s">
        <v>3556</v>
      </c>
      <c r="F340" s="32" t="s">
        <v>1225</v>
      </c>
      <c r="G340" s="32" t="s">
        <v>1225</v>
      </c>
      <c r="H340" s="32" t="s">
        <v>1225</v>
      </c>
      <c r="I340" s="38" t="s">
        <v>3557</v>
      </c>
      <c r="J340" s="32" t="s">
        <v>1225</v>
      </c>
      <c r="K340" s="32" t="s">
        <v>1225</v>
      </c>
      <c r="L340" s="38" t="s">
        <v>3558</v>
      </c>
      <c r="M340" s="38" t="s">
        <v>422</v>
      </c>
      <c r="N340" s="32" t="s">
        <v>1225</v>
      </c>
      <c r="O340" s="32" t="s">
        <v>1225</v>
      </c>
      <c r="P340" s="32" t="s">
        <v>1225</v>
      </c>
      <c r="Q340" s="38" t="s">
        <v>1417</v>
      </c>
      <c r="R340" s="32" t="s">
        <v>1225</v>
      </c>
      <c r="S340" s="32" t="s">
        <v>1225</v>
      </c>
      <c r="T340" s="32" t="s">
        <v>1225</v>
      </c>
      <c r="U340" s="32" t="s">
        <v>1225</v>
      </c>
      <c r="V340" s="32" t="s">
        <v>1225</v>
      </c>
      <c r="W340" s="38" t="s">
        <v>3559</v>
      </c>
      <c r="X340" s="38" t="s">
        <v>3560</v>
      </c>
      <c r="Y340" s="38" t="s">
        <v>3561</v>
      </c>
      <c r="Z340" s="32" t="s">
        <v>1225</v>
      </c>
      <c r="AA340" s="32" t="s">
        <v>1225</v>
      </c>
      <c r="AB340" s="32" t="s">
        <v>1225</v>
      </c>
      <c r="AC340" s="32" t="s">
        <v>1225</v>
      </c>
      <c r="AD340" s="32" t="s">
        <v>1225</v>
      </c>
      <c r="AE340" s="32" t="s">
        <v>1225</v>
      </c>
      <c r="AF340" s="32" t="s">
        <v>1225</v>
      </c>
      <c r="AG340" s="32" t="s">
        <v>1225</v>
      </c>
      <c r="AH340" s="32" t="s">
        <v>1225</v>
      </c>
      <c r="AI340" s="32" t="s">
        <v>1225</v>
      </c>
      <c r="AJ340" s="32" t="s">
        <v>1225</v>
      </c>
      <c r="AK340" s="32" t="s">
        <v>1225</v>
      </c>
      <c r="AL340" s="32" t="s">
        <v>1225</v>
      </c>
      <c r="AM340" s="32" t="s">
        <v>1225</v>
      </c>
      <c r="AN340" s="32" t="s">
        <v>1225</v>
      </c>
      <c r="AO340" s="32" t="s">
        <v>1225</v>
      </c>
      <c r="AP340" s="32" t="s">
        <v>1225</v>
      </c>
      <c r="AQ340" s="32" t="s">
        <v>1225</v>
      </c>
      <c r="AR340" s="32" t="s">
        <v>1225</v>
      </c>
      <c r="AS340" s="32" t="s">
        <v>1225</v>
      </c>
      <c r="AT340" s="32" t="s">
        <v>1225</v>
      </c>
      <c r="AU340" s="32" t="s">
        <v>1225</v>
      </c>
      <c r="AV340" s="32" t="s">
        <v>1225</v>
      </c>
      <c r="AW340" s="38" t="s">
        <v>1894</v>
      </c>
      <c r="AX340" s="38">
        <v>2019</v>
      </c>
      <c r="AY340" s="32">
        <v>12</v>
      </c>
      <c r="AZ340" s="32">
        <v>16</v>
      </c>
      <c r="BA340" s="32" t="s">
        <v>1225</v>
      </c>
      <c r="BB340" s="32" t="s">
        <v>1225</v>
      </c>
      <c r="BC340" s="32" t="s">
        <v>1225</v>
      </c>
      <c r="BD340" s="32" t="s">
        <v>1225</v>
      </c>
      <c r="BE340" s="32" t="s">
        <v>1225</v>
      </c>
      <c r="BF340" s="32" t="s">
        <v>1225</v>
      </c>
      <c r="BG340" s="32">
        <v>3114</v>
      </c>
      <c r="BH340" s="38" t="s">
        <v>3562</v>
      </c>
      <c r="BI340" s="38" t="str">
        <f>HYPERLINK("http://dx.doi.org/10.3390/en12163114","http://dx.doi.org/10.3390/en12163114")</f>
        <v>http://dx.doi.org/10.3390/en12163114</v>
      </c>
      <c r="BJ340" s="32" t="s">
        <v>1225</v>
      </c>
      <c r="BK340" s="32" t="s">
        <v>1225</v>
      </c>
      <c r="BL340" s="32" t="s">
        <v>1225</v>
      </c>
      <c r="BM340" s="32" t="s">
        <v>1225</v>
      </c>
      <c r="BN340" s="32" t="s">
        <v>1225</v>
      </c>
      <c r="BO340" s="32" t="s">
        <v>1225</v>
      </c>
      <c r="BP340" s="32" t="s">
        <v>1225</v>
      </c>
      <c r="BQ340" s="32" t="s">
        <v>1225</v>
      </c>
      <c r="BR340" s="32" t="s">
        <v>1225</v>
      </c>
      <c r="BS340" s="32" t="s">
        <v>1225</v>
      </c>
      <c r="BT340" s="32" t="s">
        <v>1225</v>
      </c>
      <c r="BU340" s="32" t="s">
        <v>1225</v>
      </c>
      <c r="BV340" s="32" t="s">
        <v>1225</v>
      </c>
      <c r="BW340" s="32" t="str">
        <f t="shared" si="10"/>
        <v>View Full Record in Web of Science</v>
      </c>
      <c r="BY340" s="41" t="str">
        <f>IF(Deletion!J340=TRUE,"Yes","No")</f>
        <v>Yes</v>
      </c>
    </row>
    <row r="341" spans="1:77" x14ac:dyDescent="0.15">
      <c r="A341" s="34">
        <f t="shared" si="11"/>
        <v>340</v>
      </c>
      <c r="B341" s="34" t="s">
        <v>4</v>
      </c>
      <c r="C341" s="34" t="s">
        <v>4</v>
      </c>
      <c r="D341" s="34" t="s">
        <v>1223</v>
      </c>
      <c r="E341" s="34" t="s">
        <v>3563</v>
      </c>
      <c r="F341" s="32" t="s">
        <v>1225</v>
      </c>
      <c r="G341" s="32" t="s">
        <v>1225</v>
      </c>
      <c r="H341" s="32" t="s">
        <v>1225</v>
      </c>
      <c r="I341" s="34" t="s">
        <v>3564</v>
      </c>
      <c r="J341" s="32" t="s">
        <v>1225</v>
      </c>
      <c r="K341" s="32" t="s">
        <v>1225</v>
      </c>
      <c r="L341" s="34" t="s">
        <v>3565</v>
      </c>
      <c r="M341" s="34" t="s">
        <v>124</v>
      </c>
      <c r="N341" s="32" t="s">
        <v>1225</v>
      </c>
      <c r="O341" s="32" t="s">
        <v>1225</v>
      </c>
      <c r="P341" s="32" t="s">
        <v>1225</v>
      </c>
      <c r="Q341" s="34" t="s">
        <v>1227</v>
      </c>
      <c r="R341" s="32" t="s">
        <v>1225</v>
      </c>
      <c r="S341" s="32" t="s">
        <v>1225</v>
      </c>
      <c r="T341" s="32" t="s">
        <v>1225</v>
      </c>
      <c r="U341" s="32" t="s">
        <v>1225</v>
      </c>
      <c r="V341" s="32" t="s">
        <v>1225</v>
      </c>
      <c r="W341" s="34" t="s">
        <v>3566</v>
      </c>
      <c r="X341" s="34" t="s">
        <v>3015</v>
      </c>
      <c r="Y341" s="34" t="s">
        <v>3567</v>
      </c>
      <c r="Z341" s="32" t="s">
        <v>1225</v>
      </c>
      <c r="AA341" s="32" t="s">
        <v>1225</v>
      </c>
      <c r="AB341" s="32" t="s">
        <v>1225</v>
      </c>
      <c r="AC341" s="32" t="s">
        <v>1225</v>
      </c>
      <c r="AD341" s="32" t="s">
        <v>1225</v>
      </c>
      <c r="AE341" s="32" t="s">
        <v>1225</v>
      </c>
      <c r="AF341" s="32" t="s">
        <v>1225</v>
      </c>
      <c r="AG341" s="32" t="s">
        <v>1225</v>
      </c>
      <c r="AH341" s="32" t="s">
        <v>1225</v>
      </c>
      <c r="AI341" s="32" t="s">
        <v>1225</v>
      </c>
      <c r="AJ341" s="32" t="s">
        <v>1225</v>
      </c>
      <c r="AK341" s="32" t="s">
        <v>1225</v>
      </c>
      <c r="AL341" s="32" t="s">
        <v>1225</v>
      </c>
      <c r="AM341" s="32" t="s">
        <v>1225</v>
      </c>
      <c r="AN341" s="32" t="s">
        <v>1225</v>
      </c>
      <c r="AO341" s="32" t="s">
        <v>1225</v>
      </c>
      <c r="AP341" s="32" t="s">
        <v>1225</v>
      </c>
      <c r="AQ341" s="32" t="s">
        <v>1225</v>
      </c>
      <c r="AR341" s="32" t="s">
        <v>1225</v>
      </c>
      <c r="AS341" s="32" t="s">
        <v>1225</v>
      </c>
      <c r="AT341" s="32" t="s">
        <v>1225</v>
      </c>
      <c r="AU341" s="32" t="s">
        <v>1225</v>
      </c>
      <c r="AV341" s="32" t="s">
        <v>1225</v>
      </c>
      <c r="AW341" s="34" t="s">
        <v>1272</v>
      </c>
      <c r="AX341" s="34">
        <v>2015</v>
      </c>
      <c r="AY341" s="32">
        <v>6</v>
      </c>
      <c r="AZ341" s="32">
        <v>2</v>
      </c>
      <c r="BA341" s="32" t="s">
        <v>1225</v>
      </c>
      <c r="BB341" s="32" t="s">
        <v>1225</v>
      </c>
      <c r="BC341" s="32" t="s">
        <v>1225</v>
      </c>
      <c r="BD341" s="32" t="s">
        <v>1225</v>
      </c>
      <c r="BE341" s="32">
        <v>759</v>
      </c>
      <c r="BF341" s="32">
        <v>766</v>
      </c>
      <c r="BG341" s="32" t="s">
        <v>1225</v>
      </c>
      <c r="BH341" s="34" t="s">
        <v>3568</v>
      </c>
      <c r="BI341" s="34" t="str">
        <f>HYPERLINK("http://dx.doi.org/10.1109/TSG.2014.2380826","http://dx.doi.org/10.1109/TSG.2014.2380826")</f>
        <v>http://dx.doi.org/10.1109/TSG.2014.2380826</v>
      </c>
      <c r="BJ341" s="32" t="s">
        <v>1225</v>
      </c>
      <c r="BK341" s="32" t="s">
        <v>1225</v>
      </c>
      <c r="BL341" s="32" t="s">
        <v>1225</v>
      </c>
      <c r="BM341" s="32" t="s">
        <v>1225</v>
      </c>
      <c r="BN341" s="32" t="s">
        <v>1225</v>
      </c>
      <c r="BO341" s="32" t="s">
        <v>1225</v>
      </c>
      <c r="BP341" s="32" t="s">
        <v>1225</v>
      </c>
      <c r="BQ341" s="32" t="s">
        <v>1225</v>
      </c>
      <c r="BR341" s="32" t="s">
        <v>1225</v>
      </c>
      <c r="BS341" s="32" t="s">
        <v>1225</v>
      </c>
      <c r="BT341" s="32" t="s">
        <v>1225</v>
      </c>
      <c r="BU341" s="32" t="s">
        <v>1225</v>
      </c>
      <c r="BV341" s="32" t="s">
        <v>1225</v>
      </c>
      <c r="BW341" s="32" t="str">
        <f t="shared" si="10"/>
        <v>View Full Record in Web of Science</v>
      </c>
      <c r="BY341" s="41" t="str">
        <f>IF(Deletion!J341=TRUE,"Yes","No")</f>
        <v>No</v>
      </c>
    </row>
    <row r="342" spans="1:77" x14ac:dyDescent="0.15">
      <c r="A342" s="34">
        <f t="shared" si="11"/>
        <v>341</v>
      </c>
      <c r="B342" s="34" t="s">
        <v>4</v>
      </c>
      <c r="C342" s="34" t="s">
        <v>4</v>
      </c>
      <c r="D342" s="34" t="s">
        <v>1223</v>
      </c>
      <c r="E342" s="34" t="s">
        <v>3569</v>
      </c>
      <c r="F342" s="32" t="s">
        <v>1225</v>
      </c>
      <c r="G342" s="32" t="s">
        <v>1225</v>
      </c>
      <c r="H342" s="32" t="s">
        <v>1225</v>
      </c>
      <c r="I342" s="34" t="s">
        <v>3570</v>
      </c>
      <c r="J342" s="32" t="s">
        <v>1225</v>
      </c>
      <c r="K342" s="32" t="s">
        <v>1225</v>
      </c>
      <c r="L342" s="34" t="s">
        <v>3571</v>
      </c>
      <c r="M342" s="34" t="s">
        <v>3572</v>
      </c>
      <c r="N342" s="32" t="s">
        <v>1225</v>
      </c>
      <c r="O342" s="32" t="s">
        <v>1225</v>
      </c>
      <c r="P342" s="32" t="s">
        <v>1225</v>
      </c>
      <c r="Q342" s="34" t="s">
        <v>1688</v>
      </c>
      <c r="R342" s="32" t="s">
        <v>1225</v>
      </c>
      <c r="S342" s="32" t="s">
        <v>1225</v>
      </c>
      <c r="T342" s="32" t="s">
        <v>1225</v>
      </c>
      <c r="U342" s="32" t="s">
        <v>1225</v>
      </c>
      <c r="V342" s="32" t="s">
        <v>1225</v>
      </c>
      <c r="W342" s="34" t="s">
        <v>3573</v>
      </c>
      <c r="X342" s="34" t="s">
        <v>3574</v>
      </c>
      <c r="Y342" s="34" t="s">
        <v>3575</v>
      </c>
      <c r="Z342" s="32" t="s">
        <v>1225</v>
      </c>
      <c r="AA342" s="32" t="s">
        <v>1225</v>
      </c>
      <c r="AB342" s="32" t="s">
        <v>1225</v>
      </c>
      <c r="AC342" s="32" t="s">
        <v>1225</v>
      </c>
      <c r="AD342" s="32" t="s">
        <v>1225</v>
      </c>
      <c r="AE342" s="32" t="s">
        <v>1225</v>
      </c>
      <c r="AF342" s="32" t="s">
        <v>1225</v>
      </c>
      <c r="AG342" s="32" t="s">
        <v>1225</v>
      </c>
      <c r="AH342" s="32" t="s">
        <v>1225</v>
      </c>
      <c r="AI342" s="32" t="s">
        <v>1225</v>
      </c>
      <c r="AJ342" s="32" t="s">
        <v>1225</v>
      </c>
      <c r="AK342" s="32" t="s">
        <v>1225</v>
      </c>
      <c r="AL342" s="32" t="s">
        <v>1225</v>
      </c>
      <c r="AM342" s="32" t="s">
        <v>1225</v>
      </c>
      <c r="AN342" s="32" t="s">
        <v>1225</v>
      </c>
      <c r="AO342" s="32" t="s">
        <v>1225</v>
      </c>
      <c r="AP342" s="32" t="s">
        <v>1225</v>
      </c>
      <c r="AQ342" s="32" t="s">
        <v>1225</v>
      </c>
      <c r="AR342" s="32" t="s">
        <v>1225</v>
      </c>
      <c r="AS342" s="32" t="s">
        <v>1225</v>
      </c>
      <c r="AT342" s="32" t="s">
        <v>1225</v>
      </c>
      <c r="AU342" s="32" t="s">
        <v>1225</v>
      </c>
      <c r="AV342" s="32" t="s">
        <v>1225</v>
      </c>
      <c r="AW342" s="34" t="s">
        <v>1225</v>
      </c>
      <c r="AX342" s="34" t="s">
        <v>1225</v>
      </c>
      <c r="AY342" s="32" t="s">
        <v>1225</v>
      </c>
      <c r="AZ342" s="32" t="s">
        <v>1225</v>
      </c>
      <c r="BA342" s="32" t="s">
        <v>1225</v>
      </c>
      <c r="BB342" s="32" t="s">
        <v>1225</v>
      </c>
      <c r="BC342" s="32" t="s">
        <v>1225</v>
      </c>
      <c r="BD342" s="32" t="s">
        <v>1225</v>
      </c>
      <c r="BE342" s="32" t="s">
        <v>1225</v>
      </c>
      <c r="BF342" s="32" t="s">
        <v>1225</v>
      </c>
      <c r="BG342" s="32" t="s">
        <v>1225</v>
      </c>
      <c r="BH342" s="34" t="s">
        <v>3576</v>
      </c>
      <c r="BI342" s="34" t="str">
        <f>HYPERLINK("http://dx.doi.org/10.1515/ijeeps-2021-0347","http://dx.doi.org/10.1515/ijeeps-2021-0347")</f>
        <v>http://dx.doi.org/10.1515/ijeeps-2021-0347</v>
      </c>
      <c r="BJ342" s="32" t="s">
        <v>1225</v>
      </c>
      <c r="BK342" s="32" t="s">
        <v>2710</v>
      </c>
      <c r="BL342" s="32" t="s">
        <v>1225</v>
      </c>
      <c r="BM342" s="32" t="s">
        <v>1225</v>
      </c>
      <c r="BN342" s="32" t="s">
        <v>1225</v>
      </c>
      <c r="BO342" s="32" t="s">
        <v>1225</v>
      </c>
      <c r="BP342" s="32" t="s">
        <v>1225</v>
      </c>
      <c r="BQ342" s="32" t="s">
        <v>1225</v>
      </c>
      <c r="BR342" s="32" t="s">
        <v>1225</v>
      </c>
      <c r="BS342" s="32" t="s">
        <v>1225</v>
      </c>
      <c r="BT342" s="32" t="s">
        <v>1225</v>
      </c>
      <c r="BU342" s="32" t="s">
        <v>1225</v>
      </c>
      <c r="BV342" s="32" t="s">
        <v>1225</v>
      </c>
      <c r="BW342" s="32" t="str">
        <f t="shared" si="10"/>
        <v>View Full Record in Web of Science</v>
      </c>
      <c r="BY342" s="41" t="str">
        <f>IF(Deletion!J342=TRUE,"Yes","No")</f>
        <v>No</v>
      </c>
    </row>
    <row r="343" spans="1:77" x14ac:dyDescent="0.15">
      <c r="A343" s="32">
        <f t="shared" si="11"/>
        <v>342</v>
      </c>
      <c r="D343" s="32" t="s">
        <v>1223</v>
      </c>
      <c r="E343" s="32" t="s">
        <v>3577</v>
      </c>
      <c r="F343" s="32" t="s">
        <v>1225</v>
      </c>
      <c r="G343" s="32" t="s">
        <v>1225</v>
      </c>
      <c r="H343" s="32" t="s">
        <v>1225</v>
      </c>
      <c r="I343" s="32" t="s">
        <v>3578</v>
      </c>
      <c r="J343" s="32" t="s">
        <v>1225</v>
      </c>
      <c r="K343" s="32" t="s">
        <v>1225</v>
      </c>
      <c r="L343" s="32" t="s">
        <v>3579</v>
      </c>
      <c r="M343" s="32" t="s">
        <v>97</v>
      </c>
      <c r="N343" s="32" t="s">
        <v>1225</v>
      </c>
      <c r="O343" s="32" t="s">
        <v>1225</v>
      </c>
      <c r="P343" s="32" t="s">
        <v>1225</v>
      </c>
      <c r="Q343" s="32" t="s">
        <v>1227</v>
      </c>
      <c r="R343" s="32" t="s">
        <v>1225</v>
      </c>
      <c r="S343" s="32" t="s">
        <v>1225</v>
      </c>
      <c r="T343" s="32" t="s">
        <v>1225</v>
      </c>
      <c r="U343" s="32" t="s">
        <v>1225</v>
      </c>
      <c r="V343" s="32" t="s">
        <v>1225</v>
      </c>
      <c r="W343" s="32" t="s">
        <v>3580</v>
      </c>
      <c r="X343" s="32" t="s">
        <v>3581</v>
      </c>
      <c r="Y343" s="32" t="s">
        <v>3582</v>
      </c>
      <c r="Z343" s="32" t="s">
        <v>1225</v>
      </c>
      <c r="AA343" s="32" t="s">
        <v>1225</v>
      </c>
      <c r="AB343" s="32" t="s">
        <v>1225</v>
      </c>
      <c r="AC343" s="32" t="s">
        <v>1225</v>
      </c>
      <c r="AD343" s="32" t="s">
        <v>1225</v>
      </c>
      <c r="AE343" s="32" t="s">
        <v>1225</v>
      </c>
      <c r="AF343" s="32" t="s">
        <v>1225</v>
      </c>
      <c r="AG343" s="32" t="s">
        <v>1225</v>
      </c>
      <c r="AH343" s="32" t="s">
        <v>1225</v>
      </c>
      <c r="AI343" s="32" t="s">
        <v>1225</v>
      </c>
      <c r="AJ343" s="32" t="s">
        <v>1225</v>
      </c>
      <c r="AK343" s="32" t="s">
        <v>1225</v>
      </c>
      <c r="AL343" s="32" t="s">
        <v>1225</v>
      </c>
      <c r="AM343" s="32" t="s">
        <v>1225</v>
      </c>
      <c r="AN343" s="32" t="s">
        <v>1225</v>
      </c>
      <c r="AO343" s="32" t="s">
        <v>1225</v>
      </c>
      <c r="AP343" s="32" t="s">
        <v>1225</v>
      </c>
      <c r="AQ343" s="32" t="s">
        <v>1225</v>
      </c>
      <c r="AR343" s="32" t="s">
        <v>1225</v>
      </c>
      <c r="AS343" s="32" t="s">
        <v>1225</v>
      </c>
      <c r="AT343" s="32" t="s">
        <v>1225</v>
      </c>
      <c r="AU343" s="32" t="s">
        <v>1225</v>
      </c>
      <c r="AV343" s="32" t="s">
        <v>1225</v>
      </c>
      <c r="AW343" s="32" t="s">
        <v>2434</v>
      </c>
      <c r="AX343" s="32">
        <v>2021</v>
      </c>
      <c r="AY343" s="32">
        <v>285</v>
      </c>
      <c r="AZ343" s="32" t="s">
        <v>1225</v>
      </c>
      <c r="BA343" s="32" t="s">
        <v>1225</v>
      </c>
      <c r="BB343" s="32" t="s">
        <v>1225</v>
      </c>
      <c r="BC343" s="32" t="s">
        <v>1225</v>
      </c>
      <c r="BD343" s="32" t="s">
        <v>1225</v>
      </c>
      <c r="BE343" s="32" t="s">
        <v>1225</v>
      </c>
      <c r="BF343" s="32" t="s">
        <v>1225</v>
      </c>
      <c r="BG343" s="32">
        <v>116382</v>
      </c>
      <c r="BH343" s="32" t="s">
        <v>3583</v>
      </c>
      <c r="BI343" s="32" t="str">
        <f>HYPERLINK("http://dx.doi.org/10.1016/j.apenergy.2020.116382","http://dx.doi.org/10.1016/j.apenergy.2020.116382")</f>
        <v>http://dx.doi.org/10.1016/j.apenergy.2020.116382</v>
      </c>
      <c r="BJ343" s="32" t="s">
        <v>1225</v>
      </c>
      <c r="BK343" s="32" t="s">
        <v>1679</v>
      </c>
      <c r="BL343" s="32" t="s">
        <v>1225</v>
      </c>
      <c r="BM343" s="32" t="s">
        <v>1225</v>
      </c>
      <c r="BN343" s="32" t="s">
        <v>1225</v>
      </c>
      <c r="BO343" s="32" t="s">
        <v>1225</v>
      </c>
      <c r="BP343" s="32" t="s">
        <v>1225</v>
      </c>
      <c r="BQ343" s="32" t="s">
        <v>1225</v>
      </c>
      <c r="BR343" s="32" t="s">
        <v>1225</v>
      </c>
      <c r="BS343" s="32" t="s">
        <v>1225</v>
      </c>
      <c r="BT343" s="32" t="s">
        <v>1225</v>
      </c>
      <c r="BU343" s="32" t="s">
        <v>1225</v>
      </c>
      <c r="BV343" s="32" t="s">
        <v>1225</v>
      </c>
      <c r="BW343" s="32" t="str">
        <f t="shared" si="10"/>
        <v>View Full Record in Web of Science</v>
      </c>
      <c r="BY343" s="41" t="str">
        <f>IF(Deletion!J343=TRUE,"Yes","No")</f>
        <v>Yes</v>
      </c>
    </row>
    <row r="344" spans="1:77" x14ac:dyDescent="0.15">
      <c r="A344" s="32">
        <f t="shared" si="11"/>
        <v>343</v>
      </c>
      <c r="D344" s="32" t="s">
        <v>1223</v>
      </c>
      <c r="E344" s="32" t="s">
        <v>3584</v>
      </c>
      <c r="F344" s="32" t="s">
        <v>1225</v>
      </c>
      <c r="G344" s="32" t="s">
        <v>1225</v>
      </c>
      <c r="H344" s="32" t="s">
        <v>1225</v>
      </c>
      <c r="I344" s="32" t="s">
        <v>3585</v>
      </c>
      <c r="J344" s="32" t="s">
        <v>1225</v>
      </c>
      <c r="K344" s="32" t="s">
        <v>1225</v>
      </c>
      <c r="L344" s="32" t="s">
        <v>3586</v>
      </c>
      <c r="M344" s="32" t="s">
        <v>422</v>
      </c>
      <c r="N344" s="32" t="s">
        <v>1225</v>
      </c>
      <c r="O344" s="32" t="s">
        <v>1225</v>
      </c>
      <c r="P344" s="32" t="s">
        <v>1225</v>
      </c>
      <c r="Q344" s="32" t="s">
        <v>1227</v>
      </c>
      <c r="R344" s="32" t="s">
        <v>1225</v>
      </c>
      <c r="S344" s="32" t="s">
        <v>1225</v>
      </c>
      <c r="T344" s="32" t="s">
        <v>1225</v>
      </c>
      <c r="U344" s="32" t="s">
        <v>1225</v>
      </c>
      <c r="V344" s="32" t="s">
        <v>1225</v>
      </c>
      <c r="W344" s="32" t="s">
        <v>3587</v>
      </c>
      <c r="X344" s="32" t="s">
        <v>3588</v>
      </c>
      <c r="Y344" s="32" t="s">
        <v>3589</v>
      </c>
      <c r="Z344" s="32" t="s">
        <v>1225</v>
      </c>
      <c r="AA344" s="32" t="s">
        <v>1225</v>
      </c>
      <c r="AB344" s="32" t="s">
        <v>1225</v>
      </c>
      <c r="AC344" s="32" t="s">
        <v>1225</v>
      </c>
      <c r="AD344" s="32" t="s">
        <v>1225</v>
      </c>
      <c r="AE344" s="32" t="s">
        <v>1225</v>
      </c>
      <c r="AF344" s="32" t="s">
        <v>1225</v>
      </c>
      <c r="AG344" s="32" t="s">
        <v>1225</v>
      </c>
      <c r="AH344" s="32" t="s">
        <v>1225</v>
      </c>
      <c r="AI344" s="32" t="s">
        <v>1225</v>
      </c>
      <c r="AJ344" s="32" t="s">
        <v>1225</v>
      </c>
      <c r="AK344" s="32" t="s">
        <v>1225</v>
      </c>
      <c r="AL344" s="32" t="s">
        <v>1225</v>
      </c>
      <c r="AM344" s="32" t="s">
        <v>1225</v>
      </c>
      <c r="AN344" s="32" t="s">
        <v>1225</v>
      </c>
      <c r="AO344" s="32" t="s">
        <v>1225</v>
      </c>
      <c r="AP344" s="32" t="s">
        <v>1225</v>
      </c>
      <c r="AQ344" s="32" t="s">
        <v>1225</v>
      </c>
      <c r="AR344" s="32" t="s">
        <v>1225</v>
      </c>
      <c r="AS344" s="32" t="s">
        <v>1225</v>
      </c>
      <c r="AT344" s="32" t="s">
        <v>1225</v>
      </c>
      <c r="AU344" s="32" t="s">
        <v>1225</v>
      </c>
      <c r="AV344" s="32" t="s">
        <v>1225</v>
      </c>
      <c r="AW344" s="32" t="s">
        <v>1393</v>
      </c>
      <c r="AX344" s="32">
        <v>2020</v>
      </c>
      <c r="AY344" s="32">
        <v>13</v>
      </c>
      <c r="AZ344" s="32">
        <v>12</v>
      </c>
      <c r="BA344" s="32" t="s">
        <v>1225</v>
      </c>
      <c r="BB344" s="32" t="s">
        <v>1225</v>
      </c>
      <c r="BC344" s="32" t="s">
        <v>1225</v>
      </c>
      <c r="BD344" s="32" t="s">
        <v>1225</v>
      </c>
      <c r="BE344" s="32" t="s">
        <v>1225</v>
      </c>
      <c r="BF344" s="32" t="s">
        <v>1225</v>
      </c>
      <c r="BG344" s="32">
        <v>3119</v>
      </c>
      <c r="BH344" s="32" t="s">
        <v>3590</v>
      </c>
      <c r="BI344" s="32" t="str">
        <f>HYPERLINK("http://dx.doi.org/10.3390/en13123119","http://dx.doi.org/10.3390/en13123119")</f>
        <v>http://dx.doi.org/10.3390/en13123119</v>
      </c>
      <c r="BJ344" s="32" t="s">
        <v>1225</v>
      </c>
      <c r="BK344" s="32" t="s">
        <v>1225</v>
      </c>
      <c r="BL344" s="32" t="s">
        <v>1225</v>
      </c>
      <c r="BM344" s="32" t="s">
        <v>1225</v>
      </c>
      <c r="BN344" s="32" t="s">
        <v>1225</v>
      </c>
      <c r="BO344" s="32" t="s">
        <v>1225</v>
      </c>
      <c r="BP344" s="32" t="s">
        <v>1225</v>
      </c>
      <c r="BQ344" s="32" t="s">
        <v>1225</v>
      </c>
      <c r="BR344" s="32" t="s">
        <v>1225</v>
      </c>
      <c r="BS344" s="32" t="s">
        <v>1225</v>
      </c>
      <c r="BT344" s="32" t="s">
        <v>1225</v>
      </c>
      <c r="BU344" s="32" t="s">
        <v>1225</v>
      </c>
      <c r="BV344" s="32" t="s">
        <v>1225</v>
      </c>
      <c r="BW344" s="32" t="str">
        <f t="shared" si="10"/>
        <v>View Full Record in Web of Science</v>
      </c>
      <c r="BY344" s="41" t="str">
        <f>IF(Deletion!J344=TRUE,"Yes","No")</f>
        <v>Yes</v>
      </c>
    </row>
    <row r="345" spans="1:77" x14ac:dyDescent="0.15">
      <c r="A345" s="32">
        <f t="shared" si="11"/>
        <v>344</v>
      </c>
      <c r="D345" s="32" t="s">
        <v>1223</v>
      </c>
      <c r="E345" s="32" t="s">
        <v>3591</v>
      </c>
      <c r="F345" s="32" t="s">
        <v>1225</v>
      </c>
      <c r="G345" s="32" t="s">
        <v>1225</v>
      </c>
      <c r="H345" s="32" t="s">
        <v>1225</v>
      </c>
      <c r="I345" s="32" t="s">
        <v>3592</v>
      </c>
      <c r="J345" s="32" t="s">
        <v>1225</v>
      </c>
      <c r="K345" s="32" t="s">
        <v>1225</v>
      </c>
      <c r="L345" s="32" t="s">
        <v>3593</v>
      </c>
      <c r="M345" s="32" t="s">
        <v>228</v>
      </c>
      <c r="N345" s="32" t="s">
        <v>1225</v>
      </c>
      <c r="O345" s="32" t="s">
        <v>1225</v>
      </c>
      <c r="P345" s="32" t="s">
        <v>1225</v>
      </c>
      <c r="Q345" s="32" t="s">
        <v>1227</v>
      </c>
      <c r="R345" s="32" t="s">
        <v>1225</v>
      </c>
      <c r="S345" s="32" t="s">
        <v>1225</v>
      </c>
      <c r="T345" s="32" t="s">
        <v>1225</v>
      </c>
      <c r="U345" s="32" t="s">
        <v>1225</v>
      </c>
      <c r="V345" s="32" t="s">
        <v>1225</v>
      </c>
      <c r="W345" s="32" t="s">
        <v>3594</v>
      </c>
      <c r="X345" s="32" t="s">
        <v>3595</v>
      </c>
      <c r="Y345" s="32" t="s">
        <v>3596</v>
      </c>
      <c r="Z345" s="32" t="s">
        <v>1225</v>
      </c>
      <c r="AA345" s="32" t="s">
        <v>1225</v>
      </c>
      <c r="AB345" s="32" t="s">
        <v>1225</v>
      </c>
      <c r="AC345" s="32" t="s">
        <v>1225</v>
      </c>
      <c r="AD345" s="32" t="s">
        <v>1225</v>
      </c>
      <c r="AE345" s="32" t="s">
        <v>1225</v>
      </c>
      <c r="AF345" s="32" t="s">
        <v>1225</v>
      </c>
      <c r="AG345" s="32" t="s">
        <v>1225</v>
      </c>
      <c r="AH345" s="32" t="s">
        <v>1225</v>
      </c>
      <c r="AI345" s="32" t="s">
        <v>1225</v>
      </c>
      <c r="AJ345" s="32" t="s">
        <v>1225</v>
      </c>
      <c r="AK345" s="32" t="s">
        <v>1225</v>
      </c>
      <c r="AL345" s="32" t="s">
        <v>1225</v>
      </c>
      <c r="AM345" s="32" t="s">
        <v>1225</v>
      </c>
      <c r="AN345" s="32" t="s">
        <v>1225</v>
      </c>
      <c r="AO345" s="32" t="s">
        <v>1225</v>
      </c>
      <c r="AP345" s="32" t="s">
        <v>1225</v>
      </c>
      <c r="AQ345" s="32" t="s">
        <v>1225</v>
      </c>
      <c r="AR345" s="32" t="s">
        <v>1225</v>
      </c>
      <c r="AS345" s="32" t="s">
        <v>1225</v>
      </c>
      <c r="AT345" s="32" t="s">
        <v>1225</v>
      </c>
      <c r="AU345" s="32" t="s">
        <v>1225</v>
      </c>
      <c r="AV345" s="32" t="s">
        <v>1225</v>
      </c>
      <c r="AW345" s="32" t="s">
        <v>1465</v>
      </c>
      <c r="AX345" s="32">
        <v>2020</v>
      </c>
      <c r="AY345" s="32">
        <v>30</v>
      </c>
      <c r="AZ345" s="32">
        <v>2</v>
      </c>
      <c r="BA345" s="32" t="s">
        <v>1225</v>
      </c>
      <c r="BB345" s="32" t="s">
        <v>1225</v>
      </c>
      <c r="BC345" s="32" t="s">
        <v>1225</v>
      </c>
      <c r="BD345" s="32" t="s">
        <v>1225</v>
      </c>
      <c r="BE345" s="32" t="s">
        <v>1225</v>
      </c>
      <c r="BF345" s="32" t="s">
        <v>1225</v>
      </c>
      <c r="BG345" s="32" t="s">
        <v>3597</v>
      </c>
      <c r="BH345" s="32" t="s">
        <v>3598</v>
      </c>
      <c r="BI345" s="32" t="str">
        <f>HYPERLINK("http://dx.doi.org/10.1002/2050-7038.12226","http://dx.doi.org/10.1002/2050-7038.12226")</f>
        <v>http://dx.doi.org/10.1002/2050-7038.12226</v>
      </c>
      <c r="BJ345" s="32" t="s">
        <v>1225</v>
      </c>
      <c r="BK345" s="32" t="s">
        <v>2413</v>
      </c>
      <c r="BL345" s="32" t="s">
        <v>1225</v>
      </c>
      <c r="BM345" s="32" t="s">
        <v>1225</v>
      </c>
      <c r="BN345" s="32" t="s">
        <v>1225</v>
      </c>
      <c r="BO345" s="32" t="s">
        <v>1225</v>
      </c>
      <c r="BP345" s="32" t="s">
        <v>1225</v>
      </c>
      <c r="BQ345" s="32" t="s">
        <v>1225</v>
      </c>
      <c r="BR345" s="32" t="s">
        <v>1225</v>
      </c>
      <c r="BS345" s="32" t="s">
        <v>1225</v>
      </c>
      <c r="BT345" s="32" t="s">
        <v>1225</v>
      </c>
      <c r="BU345" s="32" t="s">
        <v>1225</v>
      </c>
      <c r="BV345" s="32" t="s">
        <v>1225</v>
      </c>
      <c r="BW345" s="32" t="str">
        <f t="shared" si="10"/>
        <v>View Full Record in Web of Science</v>
      </c>
      <c r="BY345" s="41" t="str">
        <f>IF(Deletion!J345=TRUE,"Yes","No")</f>
        <v>Yes</v>
      </c>
    </row>
    <row r="346" spans="1:77" x14ac:dyDescent="0.15">
      <c r="A346" s="32">
        <f t="shared" si="11"/>
        <v>345</v>
      </c>
      <c r="D346" s="32" t="s">
        <v>1223</v>
      </c>
      <c r="E346" s="32" t="s">
        <v>3599</v>
      </c>
      <c r="F346" s="32" t="s">
        <v>1225</v>
      </c>
      <c r="G346" s="32" t="s">
        <v>1225</v>
      </c>
      <c r="H346" s="32" t="s">
        <v>1225</v>
      </c>
      <c r="I346" s="32" t="s">
        <v>3600</v>
      </c>
      <c r="J346" s="32" t="s">
        <v>1225</v>
      </c>
      <c r="K346" s="32" t="s">
        <v>1225</v>
      </c>
      <c r="L346" s="32" t="s">
        <v>3601</v>
      </c>
      <c r="M346" s="32" t="s">
        <v>1484</v>
      </c>
      <c r="N346" s="32" t="s">
        <v>1225</v>
      </c>
      <c r="O346" s="32" t="s">
        <v>1225</v>
      </c>
      <c r="P346" s="32" t="s">
        <v>1225</v>
      </c>
      <c r="Q346" s="32" t="s">
        <v>1227</v>
      </c>
      <c r="R346" s="32" t="s">
        <v>1225</v>
      </c>
      <c r="S346" s="32" t="s">
        <v>1225</v>
      </c>
      <c r="T346" s="32" t="s">
        <v>1225</v>
      </c>
      <c r="U346" s="32" t="s">
        <v>1225</v>
      </c>
      <c r="V346" s="32" t="s">
        <v>1225</v>
      </c>
      <c r="W346" s="32" t="s">
        <v>3602</v>
      </c>
      <c r="X346" s="32" t="s">
        <v>1225</v>
      </c>
      <c r="Y346" s="32" t="s">
        <v>3603</v>
      </c>
      <c r="Z346" s="32" t="s">
        <v>1225</v>
      </c>
      <c r="AA346" s="32" t="s">
        <v>1225</v>
      </c>
      <c r="AB346" s="32" t="s">
        <v>1225</v>
      </c>
      <c r="AC346" s="32" t="s">
        <v>1225</v>
      </c>
      <c r="AD346" s="32" t="s">
        <v>1225</v>
      </c>
      <c r="AE346" s="32" t="s">
        <v>1225</v>
      </c>
      <c r="AF346" s="32" t="s">
        <v>1225</v>
      </c>
      <c r="AG346" s="32" t="s">
        <v>1225</v>
      </c>
      <c r="AH346" s="32" t="s">
        <v>1225</v>
      </c>
      <c r="AI346" s="32" t="s">
        <v>1225</v>
      </c>
      <c r="AJ346" s="32" t="s">
        <v>1225</v>
      </c>
      <c r="AK346" s="32" t="s">
        <v>1225</v>
      </c>
      <c r="AL346" s="32" t="s">
        <v>1225</v>
      </c>
      <c r="AM346" s="32" t="s">
        <v>1225</v>
      </c>
      <c r="AN346" s="32" t="s">
        <v>1225</v>
      </c>
      <c r="AO346" s="32" t="s">
        <v>1225</v>
      </c>
      <c r="AP346" s="32" t="s">
        <v>1225</v>
      </c>
      <c r="AQ346" s="32" t="s">
        <v>1225</v>
      </c>
      <c r="AR346" s="32" t="s">
        <v>1225</v>
      </c>
      <c r="AS346" s="32" t="s">
        <v>1225</v>
      </c>
      <c r="AT346" s="32" t="s">
        <v>1225</v>
      </c>
      <c r="AU346" s="32" t="s">
        <v>1225</v>
      </c>
      <c r="AV346" s="32" t="s">
        <v>1225</v>
      </c>
      <c r="AW346" s="32" t="s">
        <v>3604</v>
      </c>
      <c r="AX346" s="32">
        <v>2021</v>
      </c>
      <c r="AY346" s="32">
        <v>8</v>
      </c>
      <c r="AZ346" s="32" t="s">
        <v>1225</v>
      </c>
      <c r="BA346" s="32" t="s">
        <v>1225</v>
      </c>
      <c r="BB346" s="32" t="s">
        <v>1225</v>
      </c>
      <c r="BC346" s="32" t="s">
        <v>1225</v>
      </c>
      <c r="BD346" s="32" t="s">
        <v>1225</v>
      </c>
      <c r="BE346" s="32" t="s">
        <v>1225</v>
      </c>
      <c r="BF346" s="32" t="s">
        <v>1225</v>
      </c>
      <c r="BG346" s="32">
        <v>563498</v>
      </c>
      <c r="BH346" s="32" t="s">
        <v>3605</v>
      </c>
      <c r="BI346" s="32" t="str">
        <f>HYPERLINK("http://dx.doi.org/10.3389/fenrg.2020.563498","http://dx.doi.org/10.3389/fenrg.2020.563498")</f>
        <v>http://dx.doi.org/10.3389/fenrg.2020.563498</v>
      </c>
      <c r="BJ346" s="32" t="s">
        <v>1225</v>
      </c>
      <c r="BK346" s="32" t="s">
        <v>1225</v>
      </c>
      <c r="BL346" s="32" t="s">
        <v>1225</v>
      </c>
      <c r="BM346" s="32" t="s">
        <v>1225</v>
      </c>
      <c r="BN346" s="32" t="s">
        <v>1225</v>
      </c>
      <c r="BO346" s="32" t="s">
        <v>1225</v>
      </c>
      <c r="BP346" s="32" t="s">
        <v>1225</v>
      </c>
      <c r="BQ346" s="32" t="s">
        <v>1225</v>
      </c>
      <c r="BR346" s="32" t="s">
        <v>1225</v>
      </c>
      <c r="BS346" s="32" t="s">
        <v>1225</v>
      </c>
      <c r="BT346" s="32" t="s">
        <v>1225</v>
      </c>
      <c r="BU346" s="32" t="s">
        <v>1225</v>
      </c>
      <c r="BV346" s="32" t="s">
        <v>1225</v>
      </c>
      <c r="BW346" s="32" t="str">
        <f t="shared" si="10"/>
        <v>View Full Record in Web of Science</v>
      </c>
      <c r="BY346" s="41" t="str">
        <f>IF(Deletion!J346=TRUE,"Yes","No")</f>
        <v>Yes</v>
      </c>
    </row>
    <row r="347" spans="1:77" x14ac:dyDescent="0.15">
      <c r="A347" s="32">
        <f t="shared" si="11"/>
        <v>346</v>
      </c>
      <c r="D347" s="32" t="s">
        <v>1223</v>
      </c>
      <c r="E347" s="32" t="s">
        <v>3606</v>
      </c>
      <c r="F347" s="32" t="s">
        <v>1225</v>
      </c>
      <c r="G347" s="32" t="s">
        <v>1225</v>
      </c>
      <c r="H347" s="32" t="s">
        <v>1225</v>
      </c>
      <c r="I347" s="32" t="s">
        <v>3607</v>
      </c>
      <c r="J347" s="32" t="s">
        <v>1225</v>
      </c>
      <c r="K347" s="32" t="s">
        <v>1225</v>
      </c>
      <c r="L347" s="32" t="s">
        <v>3608</v>
      </c>
      <c r="M347" s="32" t="s">
        <v>124</v>
      </c>
      <c r="N347" s="32" t="s">
        <v>1225</v>
      </c>
      <c r="O347" s="32" t="s">
        <v>1225</v>
      </c>
      <c r="P347" s="32" t="s">
        <v>1225</v>
      </c>
      <c r="Q347" s="32" t="s">
        <v>1227</v>
      </c>
      <c r="R347" s="32" t="s">
        <v>1225</v>
      </c>
      <c r="S347" s="32" t="s">
        <v>1225</v>
      </c>
      <c r="T347" s="32" t="s">
        <v>1225</v>
      </c>
      <c r="U347" s="32" t="s">
        <v>1225</v>
      </c>
      <c r="V347" s="32" t="s">
        <v>1225</v>
      </c>
      <c r="W347" s="32" t="s">
        <v>3609</v>
      </c>
      <c r="X347" s="32" t="s">
        <v>1225</v>
      </c>
      <c r="Y347" s="32" t="s">
        <v>3610</v>
      </c>
      <c r="Z347" s="32" t="s">
        <v>1225</v>
      </c>
      <c r="AA347" s="32" t="s">
        <v>1225</v>
      </c>
      <c r="AB347" s="32" t="s">
        <v>1225</v>
      </c>
      <c r="AC347" s="32" t="s">
        <v>1225</v>
      </c>
      <c r="AD347" s="32" t="s">
        <v>1225</v>
      </c>
      <c r="AE347" s="32" t="s">
        <v>1225</v>
      </c>
      <c r="AF347" s="32" t="s">
        <v>1225</v>
      </c>
      <c r="AG347" s="32" t="s">
        <v>1225</v>
      </c>
      <c r="AH347" s="32" t="s">
        <v>1225</v>
      </c>
      <c r="AI347" s="32" t="s">
        <v>1225</v>
      </c>
      <c r="AJ347" s="32" t="s">
        <v>1225</v>
      </c>
      <c r="AK347" s="32" t="s">
        <v>1225</v>
      </c>
      <c r="AL347" s="32" t="s">
        <v>1225</v>
      </c>
      <c r="AM347" s="32" t="s">
        <v>1225</v>
      </c>
      <c r="AN347" s="32" t="s">
        <v>1225</v>
      </c>
      <c r="AO347" s="32" t="s">
        <v>1225</v>
      </c>
      <c r="AP347" s="32" t="s">
        <v>1225</v>
      </c>
      <c r="AQ347" s="32" t="s">
        <v>1225</v>
      </c>
      <c r="AR347" s="32" t="s">
        <v>1225</v>
      </c>
      <c r="AS347" s="32" t="s">
        <v>1225</v>
      </c>
      <c r="AT347" s="32" t="s">
        <v>1225</v>
      </c>
      <c r="AU347" s="32" t="s">
        <v>1225</v>
      </c>
      <c r="AV347" s="32" t="s">
        <v>1225</v>
      </c>
      <c r="AW347" s="32" t="s">
        <v>1272</v>
      </c>
      <c r="AX347" s="32">
        <v>2012</v>
      </c>
      <c r="AY347" s="32">
        <v>3</v>
      </c>
      <c r="AZ347" s="32">
        <v>1</v>
      </c>
      <c r="BA347" s="32" t="s">
        <v>1225</v>
      </c>
      <c r="BB347" s="32" t="s">
        <v>1225</v>
      </c>
      <c r="BC347" s="32" t="s">
        <v>1225</v>
      </c>
      <c r="BD347" s="32" t="s">
        <v>1225</v>
      </c>
      <c r="BE347" s="32">
        <v>559</v>
      </c>
      <c r="BF347" s="32">
        <v>564</v>
      </c>
      <c r="BG347" s="32" t="s">
        <v>1225</v>
      </c>
      <c r="BH347" s="32" t="s">
        <v>3611</v>
      </c>
      <c r="BI347" s="32" t="str">
        <f>HYPERLINK("http://dx.doi.org/10.1109/TSG.2011.2167993","http://dx.doi.org/10.1109/TSG.2011.2167993")</f>
        <v>http://dx.doi.org/10.1109/TSG.2011.2167993</v>
      </c>
      <c r="BJ347" s="32" t="s">
        <v>1225</v>
      </c>
      <c r="BK347" s="32" t="s">
        <v>1225</v>
      </c>
      <c r="BL347" s="32" t="s">
        <v>1225</v>
      </c>
      <c r="BM347" s="32" t="s">
        <v>1225</v>
      </c>
      <c r="BN347" s="32" t="s">
        <v>1225</v>
      </c>
      <c r="BO347" s="32" t="s">
        <v>1225</v>
      </c>
      <c r="BP347" s="32" t="s">
        <v>1225</v>
      </c>
      <c r="BQ347" s="32" t="s">
        <v>1225</v>
      </c>
      <c r="BR347" s="32" t="s">
        <v>1225</v>
      </c>
      <c r="BS347" s="32" t="s">
        <v>1225</v>
      </c>
      <c r="BT347" s="32" t="s">
        <v>1225</v>
      </c>
      <c r="BU347" s="32" t="s">
        <v>1225</v>
      </c>
      <c r="BV347" s="32" t="s">
        <v>1225</v>
      </c>
      <c r="BW347" s="32" t="str">
        <f t="shared" si="10"/>
        <v>View Full Record in Web of Science</v>
      </c>
      <c r="BY347" s="41" t="str">
        <f>IF(Deletion!J347=TRUE,"Yes","No")</f>
        <v>Yes</v>
      </c>
    </row>
    <row r="348" spans="1:77" x14ac:dyDescent="0.15">
      <c r="A348" s="38">
        <f t="shared" si="11"/>
        <v>347</v>
      </c>
      <c r="B348" s="38" t="s">
        <v>1413</v>
      </c>
      <c r="C348" s="38" t="s">
        <v>1413</v>
      </c>
      <c r="D348" s="38" t="s">
        <v>1223</v>
      </c>
      <c r="E348" s="38" t="s">
        <v>3612</v>
      </c>
      <c r="F348" s="32" t="s">
        <v>1225</v>
      </c>
      <c r="G348" s="32" t="s">
        <v>1225</v>
      </c>
      <c r="H348" s="32" t="s">
        <v>1225</v>
      </c>
      <c r="I348" s="38" t="s">
        <v>3613</v>
      </c>
      <c r="J348" s="32" t="s">
        <v>1225</v>
      </c>
      <c r="K348" s="32" t="s">
        <v>1225</v>
      </c>
      <c r="L348" s="38" t="s">
        <v>3614</v>
      </c>
      <c r="M348" s="38" t="s">
        <v>1451</v>
      </c>
      <c r="N348" s="32" t="s">
        <v>1225</v>
      </c>
      <c r="O348" s="32" t="s">
        <v>1225</v>
      </c>
      <c r="P348" s="32" t="s">
        <v>1225</v>
      </c>
      <c r="Q348" s="38" t="s">
        <v>1417</v>
      </c>
      <c r="R348" s="32" t="s">
        <v>1225</v>
      </c>
      <c r="S348" s="32" t="s">
        <v>1225</v>
      </c>
      <c r="T348" s="32" t="s">
        <v>1225</v>
      </c>
      <c r="U348" s="32" t="s">
        <v>1225</v>
      </c>
      <c r="V348" s="32" t="s">
        <v>1225</v>
      </c>
      <c r="W348" s="38" t="s">
        <v>3615</v>
      </c>
      <c r="X348" s="38" t="s">
        <v>3616</v>
      </c>
      <c r="Y348" s="38" t="s">
        <v>3617</v>
      </c>
      <c r="Z348" s="32" t="s">
        <v>1225</v>
      </c>
      <c r="AA348" s="32" t="s">
        <v>1225</v>
      </c>
      <c r="AB348" s="32" t="s">
        <v>1225</v>
      </c>
      <c r="AC348" s="32" t="s">
        <v>1225</v>
      </c>
      <c r="AD348" s="32" t="s">
        <v>1225</v>
      </c>
      <c r="AE348" s="32" t="s">
        <v>1225</v>
      </c>
      <c r="AF348" s="32" t="s">
        <v>1225</v>
      </c>
      <c r="AG348" s="32" t="s">
        <v>1225</v>
      </c>
      <c r="AH348" s="32" t="s">
        <v>1225</v>
      </c>
      <c r="AI348" s="32" t="s">
        <v>1225</v>
      </c>
      <c r="AJ348" s="32" t="s">
        <v>1225</v>
      </c>
      <c r="AK348" s="32" t="s">
        <v>1225</v>
      </c>
      <c r="AL348" s="32" t="s">
        <v>1225</v>
      </c>
      <c r="AM348" s="32" t="s">
        <v>1225</v>
      </c>
      <c r="AN348" s="32" t="s">
        <v>1225</v>
      </c>
      <c r="AO348" s="32" t="s">
        <v>1225</v>
      </c>
      <c r="AP348" s="32" t="s">
        <v>1225</v>
      </c>
      <c r="AQ348" s="32" t="s">
        <v>1225</v>
      </c>
      <c r="AR348" s="32" t="s">
        <v>1225</v>
      </c>
      <c r="AS348" s="32" t="s">
        <v>1225</v>
      </c>
      <c r="AT348" s="32" t="s">
        <v>1225</v>
      </c>
      <c r="AU348" s="32" t="s">
        <v>1225</v>
      </c>
      <c r="AV348" s="32" t="s">
        <v>1225</v>
      </c>
      <c r="AW348" s="38" t="s">
        <v>1726</v>
      </c>
      <c r="AX348" s="38">
        <v>2016</v>
      </c>
      <c r="AY348" s="32">
        <v>56</v>
      </c>
      <c r="AZ348" s="32" t="s">
        <v>1225</v>
      </c>
      <c r="BA348" s="32" t="s">
        <v>1225</v>
      </c>
      <c r="BB348" s="32" t="s">
        <v>1225</v>
      </c>
      <c r="BC348" s="32" t="s">
        <v>1225</v>
      </c>
      <c r="BD348" s="32" t="s">
        <v>1225</v>
      </c>
      <c r="BE348" s="32">
        <v>1207</v>
      </c>
      <c r="BF348" s="32">
        <v>1226</v>
      </c>
      <c r="BG348" s="32" t="s">
        <v>1225</v>
      </c>
      <c r="BH348" s="38" t="s">
        <v>3618</v>
      </c>
      <c r="BI348" s="38" t="str">
        <f>HYPERLINK("http://dx.doi.org/10.1016/j.rser.2015.12.014","http://dx.doi.org/10.1016/j.rser.2015.12.014")</f>
        <v>http://dx.doi.org/10.1016/j.rser.2015.12.014</v>
      </c>
      <c r="BJ348" s="32" t="s">
        <v>1225</v>
      </c>
      <c r="BK348" s="32" t="s">
        <v>1225</v>
      </c>
      <c r="BL348" s="32" t="s">
        <v>1225</v>
      </c>
      <c r="BM348" s="32" t="s">
        <v>1225</v>
      </c>
      <c r="BN348" s="32" t="s">
        <v>1225</v>
      </c>
      <c r="BO348" s="32" t="s">
        <v>1225</v>
      </c>
      <c r="BP348" s="32" t="s">
        <v>1225</v>
      </c>
      <c r="BQ348" s="32" t="s">
        <v>1225</v>
      </c>
      <c r="BR348" s="32" t="s">
        <v>1225</v>
      </c>
      <c r="BS348" s="32" t="s">
        <v>1225</v>
      </c>
      <c r="BT348" s="32" t="s">
        <v>1225</v>
      </c>
      <c r="BU348" s="32" t="s">
        <v>1225</v>
      </c>
      <c r="BV348" s="32" t="s">
        <v>1225</v>
      </c>
      <c r="BW348" s="32" t="str">
        <f t="shared" si="10"/>
        <v>View Full Record in Web of Science</v>
      </c>
      <c r="BY348" s="41" t="str">
        <f>IF(Deletion!J348=TRUE,"Yes","No")</f>
        <v>No</v>
      </c>
    </row>
    <row r="349" spans="1:77" x14ac:dyDescent="0.15">
      <c r="A349" s="32">
        <f t="shared" si="11"/>
        <v>348</v>
      </c>
      <c r="D349" s="32" t="s">
        <v>1223</v>
      </c>
      <c r="E349" s="32" t="s">
        <v>3619</v>
      </c>
      <c r="F349" s="32" t="s">
        <v>1225</v>
      </c>
      <c r="G349" s="32" t="s">
        <v>1225</v>
      </c>
      <c r="H349" s="32" t="s">
        <v>1225</v>
      </c>
      <c r="I349" s="32" t="s">
        <v>3620</v>
      </c>
      <c r="J349" s="32" t="s">
        <v>1225</v>
      </c>
      <c r="K349" s="32" t="s">
        <v>1225</v>
      </c>
      <c r="L349" s="32" t="s">
        <v>3621</v>
      </c>
      <c r="M349" s="32" t="s">
        <v>313</v>
      </c>
      <c r="N349" s="32" t="s">
        <v>1225</v>
      </c>
      <c r="O349" s="32" t="s">
        <v>1225</v>
      </c>
      <c r="P349" s="32" t="s">
        <v>1225</v>
      </c>
      <c r="Q349" s="32" t="s">
        <v>1227</v>
      </c>
      <c r="R349" s="32" t="s">
        <v>1225</v>
      </c>
      <c r="S349" s="32" t="s">
        <v>1225</v>
      </c>
      <c r="T349" s="32" t="s">
        <v>1225</v>
      </c>
      <c r="U349" s="32" t="s">
        <v>1225</v>
      </c>
      <c r="V349" s="32" t="s">
        <v>1225</v>
      </c>
      <c r="W349" s="32" t="s">
        <v>3622</v>
      </c>
      <c r="X349" s="32" t="s">
        <v>3623</v>
      </c>
      <c r="Y349" s="32" t="s">
        <v>3624</v>
      </c>
      <c r="Z349" s="32" t="s">
        <v>1225</v>
      </c>
      <c r="AA349" s="32" t="s">
        <v>1225</v>
      </c>
      <c r="AB349" s="32" t="s">
        <v>1225</v>
      </c>
      <c r="AC349" s="32" t="s">
        <v>1225</v>
      </c>
      <c r="AD349" s="32" t="s">
        <v>1225</v>
      </c>
      <c r="AE349" s="32" t="s">
        <v>1225</v>
      </c>
      <c r="AF349" s="32" t="s">
        <v>1225</v>
      </c>
      <c r="AG349" s="32" t="s">
        <v>1225</v>
      </c>
      <c r="AH349" s="32" t="s">
        <v>1225</v>
      </c>
      <c r="AI349" s="32" t="s">
        <v>1225</v>
      </c>
      <c r="AJ349" s="32" t="s">
        <v>1225</v>
      </c>
      <c r="AK349" s="32" t="s">
        <v>1225</v>
      </c>
      <c r="AL349" s="32" t="s">
        <v>1225</v>
      </c>
      <c r="AM349" s="32" t="s">
        <v>1225</v>
      </c>
      <c r="AN349" s="32" t="s">
        <v>1225</v>
      </c>
      <c r="AO349" s="32" t="s">
        <v>1225</v>
      </c>
      <c r="AP349" s="32" t="s">
        <v>1225</v>
      </c>
      <c r="AQ349" s="32" t="s">
        <v>1225</v>
      </c>
      <c r="AR349" s="32" t="s">
        <v>1225</v>
      </c>
      <c r="AS349" s="32" t="s">
        <v>1225</v>
      </c>
      <c r="AT349" s="32" t="s">
        <v>1225</v>
      </c>
      <c r="AU349" s="32" t="s">
        <v>1225</v>
      </c>
      <c r="AV349" s="32" t="s">
        <v>1225</v>
      </c>
      <c r="AW349" s="32" t="s">
        <v>1298</v>
      </c>
      <c r="AX349" s="32">
        <v>2022</v>
      </c>
      <c r="AY349" s="32">
        <v>140</v>
      </c>
      <c r="AZ349" s="32" t="s">
        <v>1225</v>
      </c>
      <c r="BA349" s="32" t="s">
        <v>1225</v>
      </c>
      <c r="BB349" s="32" t="s">
        <v>1225</v>
      </c>
      <c r="BC349" s="32" t="s">
        <v>1225</v>
      </c>
      <c r="BD349" s="32" t="s">
        <v>1225</v>
      </c>
      <c r="BE349" s="32" t="s">
        <v>1225</v>
      </c>
      <c r="BF349" s="32" t="s">
        <v>1225</v>
      </c>
      <c r="BG349" s="32">
        <v>108090</v>
      </c>
      <c r="BH349" s="32" t="s">
        <v>3625</v>
      </c>
      <c r="BI349" s="32" t="str">
        <f>HYPERLINK("http://dx.doi.org/10.1016/j.ijepes.2022.108090","http://dx.doi.org/10.1016/j.ijepes.2022.108090")</f>
        <v>http://dx.doi.org/10.1016/j.ijepes.2022.108090</v>
      </c>
      <c r="BJ349" s="32" t="s">
        <v>1225</v>
      </c>
      <c r="BK349" s="32" t="s">
        <v>1225</v>
      </c>
      <c r="BL349" s="32" t="s">
        <v>1225</v>
      </c>
      <c r="BM349" s="32" t="s">
        <v>1225</v>
      </c>
      <c r="BN349" s="32" t="s">
        <v>1225</v>
      </c>
      <c r="BO349" s="32" t="s">
        <v>1225</v>
      </c>
      <c r="BP349" s="32" t="s">
        <v>1225</v>
      </c>
      <c r="BQ349" s="32" t="s">
        <v>1225</v>
      </c>
      <c r="BR349" s="32" t="s">
        <v>1225</v>
      </c>
      <c r="BS349" s="32" t="s">
        <v>1225</v>
      </c>
      <c r="BT349" s="32" t="s">
        <v>1225</v>
      </c>
      <c r="BU349" s="32" t="s">
        <v>1225</v>
      </c>
      <c r="BV349" s="32" t="s">
        <v>1225</v>
      </c>
      <c r="BW349" s="32" t="str">
        <f t="shared" si="10"/>
        <v>View Full Record in Web of Science</v>
      </c>
      <c r="BY349" s="41" t="str">
        <f>IF(Deletion!J349=TRUE,"Yes","No")</f>
        <v>Yes</v>
      </c>
    </row>
    <row r="350" spans="1:77" x14ac:dyDescent="0.15">
      <c r="A350" s="32">
        <f t="shared" si="11"/>
        <v>349</v>
      </c>
      <c r="D350" s="32" t="s">
        <v>1223</v>
      </c>
      <c r="E350" s="32" t="s">
        <v>3626</v>
      </c>
      <c r="F350" s="32" t="s">
        <v>1225</v>
      </c>
      <c r="G350" s="32" t="s">
        <v>1225</v>
      </c>
      <c r="H350" s="32" t="s">
        <v>1225</v>
      </c>
      <c r="I350" s="32" t="s">
        <v>3627</v>
      </c>
      <c r="J350" s="32" t="s">
        <v>1225</v>
      </c>
      <c r="K350" s="32" t="s">
        <v>1225</v>
      </c>
      <c r="L350" s="32" t="s">
        <v>3628</v>
      </c>
      <c r="M350" s="32" t="s">
        <v>422</v>
      </c>
      <c r="N350" s="32" t="s">
        <v>1225</v>
      </c>
      <c r="O350" s="32" t="s">
        <v>1225</v>
      </c>
      <c r="P350" s="32" t="s">
        <v>1225</v>
      </c>
      <c r="Q350" s="32" t="s">
        <v>1227</v>
      </c>
      <c r="R350" s="32" t="s">
        <v>1225</v>
      </c>
      <c r="S350" s="32" t="s">
        <v>1225</v>
      </c>
      <c r="T350" s="32" t="s">
        <v>1225</v>
      </c>
      <c r="U350" s="32" t="s">
        <v>1225</v>
      </c>
      <c r="V350" s="32" t="s">
        <v>1225</v>
      </c>
      <c r="W350" s="32" t="s">
        <v>3629</v>
      </c>
      <c r="X350" s="32" t="s">
        <v>3630</v>
      </c>
      <c r="Y350" s="32" t="s">
        <v>3631</v>
      </c>
      <c r="Z350" s="32" t="s">
        <v>1225</v>
      </c>
      <c r="AA350" s="32" t="s">
        <v>1225</v>
      </c>
      <c r="AB350" s="32" t="s">
        <v>1225</v>
      </c>
      <c r="AC350" s="32" t="s">
        <v>1225</v>
      </c>
      <c r="AD350" s="32" t="s">
        <v>1225</v>
      </c>
      <c r="AE350" s="32" t="s">
        <v>1225</v>
      </c>
      <c r="AF350" s="32" t="s">
        <v>1225</v>
      </c>
      <c r="AG350" s="32" t="s">
        <v>1225</v>
      </c>
      <c r="AH350" s="32" t="s">
        <v>1225</v>
      </c>
      <c r="AI350" s="32" t="s">
        <v>1225</v>
      </c>
      <c r="AJ350" s="32" t="s">
        <v>1225</v>
      </c>
      <c r="AK350" s="32" t="s">
        <v>1225</v>
      </c>
      <c r="AL350" s="32" t="s">
        <v>1225</v>
      </c>
      <c r="AM350" s="32" t="s">
        <v>1225</v>
      </c>
      <c r="AN350" s="32" t="s">
        <v>1225</v>
      </c>
      <c r="AO350" s="32" t="s">
        <v>1225</v>
      </c>
      <c r="AP350" s="32" t="s">
        <v>1225</v>
      </c>
      <c r="AQ350" s="32" t="s">
        <v>1225</v>
      </c>
      <c r="AR350" s="32" t="s">
        <v>1225</v>
      </c>
      <c r="AS350" s="32" t="s">
        <v>1225</v>
      </c>
      <c r="AT350" s="32" t="s">
        <v>1225</v>
      </c>
      <c r="AU350" s="32" t="s">
        <v>1225</v>
      </c>
      <c r="AV350" s="32" t="s">
        <v>1225</v>
      </c>
      <c r="AW350" s="32" t="s">
        <v>1285</v>
      </c>
      <c r="AX350" s="32">
        <v>2022</v>
      </c>
      <c r="AY350" s="32">
        <v>15</v>
      </c>
      <c r="AZ350" s="32">
        <v>9</v>
      </c>
      <c r="BA350" s="32" t="s">
        <v>1225</v>
      </c>
      <c r="BB350" s="32" t="s">
        <v>1225</v>
      </c>
      <c r="BC350" s="32" t="s">
        <v>1225</v>
      </c>
      <c r="BD350" s="32" t="s">
        <v>1225</v>
      </c>
      <c r="BE350" s="32" t="s">
        <v>1225</v>
      </c>
      <c r="BF350" s="32" t="s">
        <v>1225</v>
      </c>
      <c r="BG350" s="32">
        <v>3334</v>
      </c>
      <c r="BH350" s="32" t="s">
        <v>3632</v>
      </c>
      <c r="BI350" s="32" t="str">
        <f>HYPERLINK("http://dx.doi.org/10.3390/en15093334","http://dx.doi.org/10.3390/en15093334")</f>
        <v>http://dx.doi.org/10.3390/en15093334</v>
      </c>
      <c r="BJ350" s="32" t="s">
        <v>1225</v>
      </c>
      <c r="BK350" s="32" t="s">
        <v>1225</v>
      </c>
      <c r="BL350" s="32" t="s">
        <v>1225</v>
      </c>
      <c r="BM350" s="32" t="s">
        <v>1225</v>
      </c>
      <c r="BN350" s="32" t="s">
        <v>1225</v>
      </c>
      <c r="BO350" s="32" t="s">
        <v>1225</v>
      </c>
      <c r="BP350" s="32" t="s">
        <v>1225</v>
      </c>
      <c r="BQ350" s="32" t="s">
        <v>1225</v>
      </c>
      <c r="BR350" s="32" t="s">
        <v>1225</v>
      </c>
      <c r="BS350" s="32" t="s">
        <v>1225</v>
      </c>
      <c r="BT350" s="32" t="s">
        <v>1225</v>
      </c>
      <c r="BU350" s="32" t="s">
        <v>1225</v>
      </c>
      <c r="BV350" s="32" t="s">
        <v>1225</v>
      </c>
      <c r="BW350" s="32" t="str">
        <f t="shared" si="10"/>
        <v>View Full Record in Web of Science</v>
      </c>
      <c r="BY350" s="41" t="str">
        <f>IF(Deletion!J350=TRUE,"Yes","No")</f>
        <v>Yes</v>
      </c>
    </row>
    <row r="351" spans="1:77" x14ac:dyDescent="0.15">
      <c r="A351" s="32">
        <f t="shared" si="11"/>
        <v>350</v>
      </c>
      <c r="D351" s="32" t="s">
        <v>1223</v>
      </c>
      <c r="E351" s="32" t="s">
        <v>3633</v>
      </c>
      <c r="F351" s="32" t="s">
        <v>1225</v>
      </c>
      <c r="G351" s="32" t="s">
        <v>1225</v>
      </c>
      <c r="H351" s="32" t="s">
        <v>1225</v>
      </c>
      <c r="I351" s="32" t="s">
        <v>3634</v>
      </c>
      <c r="J351" s="32" t="s">
        <v>1225</v>
      </c>
      <c r="K351" s="32" t="s">
        <v>1225</v>
      </c>
      <c r="L351" s="32" t="s">
        <v>3635</v>
      </c>
      <c r="M351" s="32" t="s">
        <v>97</v>
      </c>
      <c r="N351" s="32" t="s">
        <v>1225</v>
      </c>
      <c r="O351" s="32" t="s">
        <v>1225</v>
      </c>
      <c r="P351" s="32" t="s">
        <v>1225</v>
      </c>
      <c r="Q351" s="32" t="s">
        <v>1227</v>
      </c>
      <c r="R351" s="32" t="s">
        <v>1225</v>
      </c>
      <c r="S351" s="32" t="s">
        <v>1225</v>
      </c>
      <c r="T351" s="32" t="s">
        <v>1225</v>
      </c>
      <c r="U351" s="32" t="s">
        <v>1225</v>
      </c>
      <c r="V351" s="32" t="s">
        <v>1225</v>
      </c>
      <c r="W351" s="32" t="s">
        <v>3636</v>
      </c>
      <c r="X351" s="32" t="s">
        <v>3637</v>
      </c>
      <c r="Y351" s="32" t="s">
        <v>3638</v>
      </c>
      <c r="Z351" s="32" t="s">
        <v>1225</v>
      </c>
      <c r="AA351" s="32" t="s">
        <v>1225</v>
      </c>
      <c r="AB351" s="32" t="s">
        <v>1225</v>
      </c>
      <c r="AC351" s="32" t="s">
        <v>1225</v>
      </c>
      <c r="AD351" s="32" t="s">
        <v>1225</v>
      </c>
      <c r="AE351" s="32" t="s">
        <v>1225</v>
      </c>
      <c r="AF351" s="32" t="s">
        <v>1225</v>
      </c>
      <c r="AG351" s="32" t="s">
        <v>1225</v>
      </c>
      <c r="AH351" s="32" t="s">
        <v>1225</v>
      </c>
      <c r="AI351" s="32" t="s">
        <v>1225</v>
      </c>
      <c r="AJ351" s="32" t="s">
        <v>1225</v>
      </c>
      <c r="AK351" s="32" t="s">
        <v>1225</v>
      </c>
      <c r="AL351" s="32" t="s">
        <v>1225</v>
      </c>
      <c r="AM351" s="32" t="s">
        <v>1225</v>
      </c>
      <c r="AN351" s="32" t="s">
        <v>1225</v>
      </c>
      <c r="AO351" s="32" t="s">
        <v>1225</v>
      </c>
      <c r="AP351" s="32" t="s">
        <v>1225</v>
      </c>
      <c r="AQ351" s="32" t="s">
        <v>1225</v>
      </c>
      <c r="AR351" s="32" t="s">
        <v>1225</v>
      </c>
      <c r="AS351" s="32" t="s">
        <v>1225</v>
      </c>
      <c r="AT351" s="32" t="s">
        <v>1225</v>
      </c>
      <c r="AU351" s="32" t="s">
        <v>1225</v>
      </c>
      <c r="AV351" s="32" t="s">
        <v>1225</v>
      </c>
      <c r="AW351" s="32" t="s">
        <v>1424</v>
      </c>
      <c r="AX351" s="32">
        <v>2019</v>
      </c>
      <c r="AY351" s="32">
        <v>255</v>
      </c>
      <c r="AZ351" s="32" t="s">
        <v>1225</v>
      </c>
      <c r="BA351" s="32" t="s">
        <v>1225</v>
      </c>
      <c r="BB351" s="32" t="s">
        <v>1225</v>
      </c>
      <c r="BC351" s="32" t="s">
        <v>1225</v>
      </c>
      <c r="BD351" s="32" t="s">
        <v>1225</v>
      </c>
      <c r="BE351" s="32" t="s">
        <v>1225</v>
      </c>
      <c r="BF351" s="32" t="s">
        <v>1225</v>
      </c>
      <c r="BG351" s="32">
        <v>113848</v>
      </c>
      <c r="BH351" s="32" t="s">
        <v>3639</v>
      </c>
      <c r="BI351" s="32" t="str">
        <f>HYPERLINK("http://dx.doi.org/10.1016/j.apenergy.2019.113848","http://dx.doi.org/10.1016/j.apenergy.2019.113848")</f>
        <v>http://dx.doi.org/10.1016/j.apenergy.2019.113848</v>
      </c>
      <c r="BJ351" s="32" t="s">
        <v>1225</v>
      </c>
      <c r="BK351" s="32" t="s">
        <v>1225</v>
      </c>
      <c r="BL351" s="32" t="s">
        <v>1225</v>
      </c>
      <c r="BM351" s="32" t="s">
        <v>1225</v>
      </c>
      <c r="BN351" s="32" t="s">
        <v>1225</v>
      </c>
      <c r="BO351" s="32" t="s">
        <v>1225</v>
      </c>
      <c r="BP351" s="32" t="s">
        <v>1225</v>
      </c>
      <c r="BQ351" s="32" t="s">
        <v>1225</v>
      </c>
      <c r="BR351" s="32" t="s">
        <v>1225</v>
      </c>
      <c r="BS351" s="32" t="s">
        <v>1225</v>
      </c>
      <c r="BT351" s="32" t="s">
        <v>1225</v>
      </c>
      <c r="BU351" s="32" t="s">
        <v>1225</v>
      </c>
      <c r="BV351" s="32" t="s">
        <v>1225</v>
      </c>
      <c r="BW351" s="32" t="str">
        <f t="shared" si="10"/>
        <v>View Full Record in Web of Science</v>
      </c>
      <c r="BY351" s="41" t="str">
        <f>IF(Deletion!J351=TRUE,"Yes","No")</f>
        <v>Yes</v>
      </c>
    </row>
    <row r="352" spans="1:77" x14ac:dyDescent="0.15">
      <c r="A352" s="32">
        <f t="shared" si="11"/>
        <v>351</v>
      </c>
      <c r="D352" s="32" t="s">
        <v>1223</v>
      </c>
      <c r="E352" s="32" t="s">
        <v>3640</v>
      </c>
      <c r="F352" s="32" t="s">
        <v>1225</v>
      </c>
      <c r="G352" s="32" t="s">
        <v>1225</v>
      </c>
      <c r="H352" s="32" t="s">
        <v>1225</v>
      </c>
      <c r="I352" s="32" t="s">
        <v>3641</v>
      </c>
      <c r="J352" s="32" t="s">
        <v>1225</v>
      </c>
      <c r="K352" s="32" t="s">
        <v>1225</v>
      </c>
      <c r="L352" s="32" t="s">
        <v>3642</v>
      </c>
      <c r="M352" s="32" t="s">
        <v>422</v>
      </c>
      <c r="N352" s="32" t="s">
        <v>1225</v>
      </c>
      <c r="O352" s="32" t="s">
        <v>1225</v>
      </c>
      <c r="P352" s="32" t="s">
        <v>1225</v>
      </c>
      <c r="Q352" s="32" t="s">
        <v>1227</v>
      </c>
      <c r="R352" s="32" t="s">
        <v>1225</v>
      </c>
      <c r="S352" s="32" t="s">
        <v>1225</v>
      </c>
      <c r="T352" s="32" t="s">
        <v>1225</v>
      </c>
      <c r="U352" s="32" t="s">
        <v>1225</v>
      </c>
      <c r="V352" s="32" t="s">
        <v>1225</v>
      </c>
      <c r="W352" s="32" t="s">
        <v>3643</v>
      </c>
      <c r="X352" s="32" t="s">
        <v>1225</v>
      </c>
      <c r="Y352" s="32" t="s">
        <v>3644</v>
      </c>
      <c r="Z352" s="32" t="s">
        <v>1225</v>
      </c>
      <c r="AA352" s="32" t="s">
        <v>1225</v>
      </c>
      <c r="AB352" s="32" t="s">
        <v>1225</v>
      </c>
      <c r="AC352" s="32" t="s">
        <v>1225</v>
      </c>
      <c r="AD352" s="32" t="s">
        <v>1225</v>
      </c>
      <c r="AE352" s="32" t="s">
        <v>1225</v>
      </c>
      <c r="AF352" s="32" t="s">
        <v>1225</v>
      </c>
      <c r="AG352" s="32" t="s">
        <v>1225</v>
      </c>
      <c r="AH352" s="32" t="s">
        <v>1225</v>
      </c>
      <c r="AI352" s="32" t="s">
        <v>1225</v>
      </c>
      <c r="AJ352" s="32" t="s">
        <v>1225</v>
      </c>
      <c r="AK352" s="32" t="s">
        <v>1225</v>
      </c>
      <c r="AL352" s="32" t="s">
        <v>1225</v>
      </c>
      <c r="AM352" s="32" t="s">
        <v>1225</v>
      </c>
      <c r="AN352" s="32" t="s">
        <v>1225</v>
      </c>
      <c r="AO352" s="32" t="s">
        <v>1225</v>
      </c>
      <c r="AP352" s="32" t="s">
        <v>1225</v>
      </c>
      <c r="AQ352" s="32" t="s">
        <v>1225</v>
      </c>
      <c r="AR352" s="32" t="s">
        <v>1225</v>
      </c>
      <c r="AS352" s="32" t="s">
        <v>1225</v>
      </c>
      <c r="AT352" s="32" t="s">
        <v>1225</v>
      </c>
      <c r="AU352" s="32" t="s">
        <v>1225</v>
      </c>
      <c r="AV352" s="32" t="s">
        <v>1225</v>
      </c>
      <c r="AW352" s="32" t="s">
        <v>1317</v>
      </c>
      <c r="AX352" s="32">
        <v>2020</v>
      </c>
      <c r="AY352" s="32">
        <v>13</v>
      </c>
      <c r="AZ352" s="32">
        <v>2</v>
      </c>
      <c r="BA352" s="32" t="s">
        <v>1225</v>
      </c>
      <c r="BB352" s="32" t="s">
        <v>1225</v>
      </c>
      <c r="BC352" s="32" t="s">
        <v>1225</v>
      </c>
      <c r="BD352" s="32" t="s">
        <v>1225</v>
      </c>
      <c r="BE352" s="32" t="s">
        <v>1225</v>
      </c>
      <c r="BF352" s="32" t="s">
        <v>1225</v>
      </c>
      <c r="BG352" s="32">
        <v>298</v>
      </c>
      <c r="BH352" s="32" t="s">
        <v>3645</v>
      </c>
      <c r="BI352" s="32" t="str">
        <f>HYPERLINK("http://dx.doi.org/10.3390/en13020298","http://dx.doi.org/10.3390/en13020298")</f>
        <v>http://dx.doi.org/10.3390/en13020298</v>
      </c>
      <c r="BJ352" s="32" t="s">
        <v>1225</v>
      </c>
      <c r="BK352" s="32" t="s">
        <v>1225</v>
      </c>
      <c r="BL352" s="32" t="s">
        <v>1225</v>
      </c>
      <c r="BM352" s="32" t="s">
        <v>1225</v>
      </c>
      <c r="BN352" s="32" t="s">
        <v>1225</v>
      </c>
      <c r="BO352" s="32" t="s">
        <v>1225</v>
      </c>
      <c r="BP352" s="32" t="s">
        <v>1225</v>
      </c>
      <c r="BQ352" s="32" t="s">
        <v>1225</v>
      </c>
      <c r="BR352" s="32" t="s">
        <v>1225</v>
      </c>
      <c r="BS352" s="32" t="s">
        <v>1225</v>
      </c>
      <c r="BT352" s="32" t="s">
        <v>1225</v>
      </c>
      <c r="BU352" s="32" t="s">
        <v>1225</v>
      </c>
      <c r="BV352" s="32" t="s">
        <v>1225</v>
      </c>
      <c r="BW352" s="32" t="str">
        <f t="shared" si="10"/>
        <v>View Full Record in Web of Science</v>
      </c>
      <c r="BY352" s="41" t="str">
        <f>IF(Deletion!J352=TRUE,"Yes","No")</f>
        <v>Yes</v>
      </c>
    </row>
    <row r="353" spans="1:77" x14ac:dyDescent="0.15">
      <c r="A353" s="32">
        <f t="shared" si="11"/>
        <v>352</v>
      </c>
      <c r="D353" s="32" t="s">
        <v>1223</v>
      </c>
      <c r="E353" s="32" t="s">
        <v>3646</v>
      </c>
      <c r="F353" s="32" t="s">
        <v>1225</v>
      </c>
      <c r="G353" s="32" t="s">
        <v>1225</v>
      </c>
      <c r="H353" s="32" t="s">
        <v>1225</v>
      </c>
      <c r="I353" s="32" t="s">
        <v>3647</v>
      </c>
      <c r="J353" s="32" t="s">
        <v>1225</v>
      </c>
      <c r="K353" s="32" t="s">
        <v>1225</v>
      </c>
      <c r="L353" s="32" t="s">
        <v>3648</v>
      </c>
      <c r="M353" s="32" t="s">
        <v>3649</v>
      </c>
      <c r="N353" s="32" t="s">
        <v>1225</v>
      </c>
      <c r="O353" s="32" t="s">
        <v>1225</v>
      </c>
      <c r="P353" s="32" t="s">
        <v>1225</v>
      </c>
      <c r="Q353" s="32" t="s">
        <v>1227</v>
      </c>
      <c r="R353" s="32" t="s">
        <v>1225</v>
      </c>
      <c r="S353" s="32" t="s">
        <v>1225</v>
      </c>
      <c r="T353" s="32" t="s">
        <v>1225</v>
      </c>
      <c r="U353" s="32" t="s">
        <v>1225</v>
      </c>
      <c r="V353" s="32" t="s">
        <v>1225</v>
      </c>
      <c r="W353" s="32" t="s">
        <v>3650</v>
      </c>
      <c r="X353" s="32" t="s">
        <v>3651</v>
      </c>
      <c r="Y353" s="32" t="s">
        <v>3652</v>
      </c>
      <c r="Z353" s="32" t="s">
        <v>1225</v>
      </c>
      <c r="AA353" s="32" t="s">
        <v>1225</v>
      </c>
      <c r="AB353" s="32" t="s">
        <v>1225</v>
      </c>
      <c r="AC353" s="32" t="s">
        <v>1225</v>
      </c>
      <c r="AD353" s="32" t="s">
        <v>1225</v>
      </c>
      <c r="AE353" s="32" t="s">
        <v>1225</v>
      </c>
      <c r="AF353" s="32" t="s">
        <v>1225</v>
      </c>
      <c r="AG353" s="32" t="s">
        <v>1225</v>
      </c>
      <c r="AH353" s="32" t="s">
        <v>1225</v>
      </c>
      <c r="AI353" s="32" t="s">
        <v>1225</v>
      </c>
      <c r="AJ353" s="32" t="s">
        <v>1225</v>
      </c>
      <c r="AK353" s="32" t="s">
        <v>1225</v>
      </c>
      <c r="AL353" s="32" t="s">
        <v>1225</v>
      </c>
      <c r="AM353" s="32" t="s">
        <v>1225</v>
      </c>
      <c r="AN353" s="32" t="s">
        <v>1225</v>
      </c>
      <c r="AO353" s="32" t="s">
        <v>1225</v>
      </c>
      <c r="AP353" s="32" t="s">
        <v>1225</v>
      </c>
      <c r="AQ353" s="32" t="s">
        <v>1225</v>
      </c>
      <c r="AR353" s="32" t="s">
        <v>1225</v>
      </c>
      <c r="AS353" s="32" t="s">
        <v>1225</v>
      </c>
      <c r="AT353" s="32" t="s">
        <v>1225</v>
      </c>
      <c r="AU353" s="32" t="s">
        <v>1225</v>
      </c>
      <c r="AV353" s="32" t="s">
        <v>1225</v>
      </c>
      <c r="AW353" s="32" t="s">
        <v>1465</v>
      </c>
      <c r="AX353" s="32">
        <v>2022</v>
      </c>
      <c r="AY353" s="32">
        <v>161</v>
      </c>
      <c r="AZ353" s="32" t="s">
        <v>1225</v>
      </c>
      <c r="BA353" s="32" t="s">
        <v>1225</v>
      </c>
      <c r="BB353" s="32" t="s">
        <v>1225</v>
      </c>
      <c r="BC353" s="32" t="s">
        <v>1225</v>
      </c>
      <c r="BD353" s="32" t="s">
        <v>1225</v>
      </c>
      <c r="BE353" s="32" t="s">
        <v>1225</v>
      </c>
      <c r="BF353" s="32" t="s">
        <v>1225</v>
      </c>
      <c r="BG353" s="32">
        <v>112751</v>
      </c>
      <c r="BH353" s="32" t="s">
        <v>3653</v>
      </c>
      <c r="BI353" s="32" t="str">
        <f>HYPERLINK("http://dx.doi.org/10.1016/j.enpol.2021.112751","http://dx.doi.org/10.1016/j.enpol.2021.112751")</f>
        <v>http://dx.doi.org/10.1016/j.enpol.2021.112751</v>
      </c>
      <c r="BJ353" s="32" t="s">
        <v>1225</v>
      </c>
      <c r="BK353" s="32" t="s">
        <v>1225</v>
      </c>
      <c r="BL353" s="32" t="s">
        <v>1225</v>
      </c>
      <c r="BM353" s="32" t="s">
        <v>1225</v>
      </c>
      <c r="BN353" s="32" t="s">
        <v>1225</v>
      </c>
      <c r="BO353" s="32" t="s">
        <v>1225</v>
      </c>
      <c r="BP353" s="32" t="s">
        <v>1225</v>
      </c>
      <c r="BQ353" s="32" t="s">
        <v>1225</v>
      </c>
      <c r="BR353" s="32" t="s">
        <v>1225</v>
      </c>
      <c r="BS353" s="32" t="s">
        <v>1225</v>
      </c>
      <c r="BT353" s="32" t="s">
        <v>1225</v>
      </c>
      <c r="BU353" s="32" t="s">
        <v>1225</v>
      </c>
      <c r="BV353" s="32" t="s">
        <v>1225</v>
      </c>
      <c r="BW353" s="32" t="str">
        <f t="shared" si="10"/>
        <v>View Full Record in Web of Science</v>
      </c>
      <c r="BY353" s="41" t="str">
        <f>IF(Deletion!J353=TRUE,"Yes","No")</f>
        <v>Yes</v>
      </c>
    </row>
    <row r="354" spans="1:77" x14ac:dyDescent="0.15">
      <c r="A354" s="32">
        <f t="shared" si="11"/>
        <v>353</v>
      </c>
      <c r="D354" s="32" t="s">
        <v>1223</v>
      </c>
      <c r="E354" s="32" t="s">
        <v>3654</v>
      </c>
      <c r="F354" s="32" t="s">
        <v>1225</v>
      </c>
      <c r="G354" s="32" t="s">
        <v>1225</v>
      </c>
      <c r="H354" s="32" t="s">
        <v>1225</v>
      </c>
      <c r="I354" s="32" t="s">
        <v>3655</v>
      </c>
      <c r="J354" s="32" t="s">
        <v>1225</v>
      </c>
      <c r="K354" s="32" t="s">
        <v>1225</v>
      </c>
      <c r="L354" s="32" t="s">
        <v>3656</v>
      </c>
      <c r="M354" s="32" t="s">
        <v>313</v>
      </c>
      <c r="N354" s="32" t="s">
        <v>1225</v>
      </c>
      <c r="O354" s="32" t="s">
        <v>1225</v>
      </c>
      <c r="P354" s="32" t="s">
        <v>1225</v>
      </c>
      <c r="Q354" s="32" t="s">
        <v>1227</v>
      </c>
      <c r="R354" s="32" t="s">
        <v>1225</v>
      </c>
      <c r="S354" s="32" t="s">
        <v>1225</v>
      </c>
      <c r="T354" s="32" t="s">
        <v>1225</v>
      </c>
      <c r="U354" s="32" t="s">
        <v>1225</v>
      </c>
      <c r="V354" s="32" t="s">
        <v>1225</v>
      </c>
      <c r="W354" s="32" t="s">
        <v>3657</v>
      </c>
      <c r="X354" s="32" t="s">
        <v>3658</v>
      </c>
      <c r="Y354" s="32" t="s">
        <v>3659</v>
      </c>
      <c r="Z354" s="32" t="s">
        <v>1225</v>
      </c>
      <c r="AA354" s="32" t="s">
        <v>1225</v>
      </c>
      <c r="AB354" s="32" t="s">
        <v>1225</v>
      </c>
      <c r="AC354" s="32" t="s">
        <v>1225</v>
      </c>
      <c r="AD354" s="32" t="s">
        <v>1225</v>
      </c>
      <c r="AE354" s="32" t="s">
        <v>1225</v>
      </c>
      <c r="AF354" s="32" t="s">
        <v>1225</v>
      </c>
      <c r="AG354" s="32" t="s">
        <v>1225</v>
      </c>
      <c r="AH354" s="32" t="s">
        <v>1225</v>
      </c>
      <c r="AI354" s="32" t="s">
        <v>1225</v>
      </c>
      <c r="AJ354" s="32" t="s">
        <v>1225</v>
      </c>
      <c r="AK354" s="32" t="s">
        <v>1225</v>
      </c>
      <c r="AL354" s="32" t="s">
        <v>1225</v>
      </c>
      <c r="AM354" s="32" t="s">
        <v>1225</v>
      </c>
      <c r="AN354" s="32" t="s">
        <v>1225</v>
      </c>
      <c r="AO354" s="32" t="s">
        <v>1225</v>
      </c>
      <c r="AP354" s="32" t="s">
        <v>1225</v>
      </c>
      <c r="AQ354" s="32" t="s">
        <v>1225</v>
      </c>
      <c r="AR354" s="32" t="s">
        <v>1225</v>
      </c>
      <c r="AS354" s="32" t="s">
        <v>1225</v>
      </c>
      <c r="AT354" s="32" t="s">
        <v>1225</v>
      </c>
      <c r="AU354" s="32" t="s">
        <v>1225</v>
      </c>
      <c r="AV354" s="32" t="s">
        <v>1225</v>
      </c>
      <c r="AW354" s="32" t="s">
        <v>1276</v>
      </c>
      <c r="AX354" s="32">
        <v>2014</v>
      </c>
      <c r="AY354" s="32">
        <v>61</v>
      </c>
      <c r="AZ354" s="32" t="s">
        <v>1225</v>
      </c>
      <c r="BA354" s="32" t="s">
        <v>1225</v>
      </c>
      <c r="BB354" s="32" t="s">
        <v>1225</v>
      </c>
      <c r="BC354" s="32" t="s">
        <v>1225</v>
      </c>
      <c r="BD354" s="32" t="s">
        <v>1225</v>
      </c>
      <c r="BE354" s="32">
        <v>197</v>
      </c>
      <c r="BF354" s="32">
        <v>207</v>
      </c>
      <c r="BG354" s="32" t="s">
        <v>1225</v>
      </c>
      <c r="BH354" s="32" t="s">
        <v>3660</v>
      </c>
      <c r="BI354" s="32" t="str">
        <f>HYPERLINK("http://dx.doi.org/10.1016/j.ijepes.2014.03.021","http://dx.doi.org/10.1016/j.ijepes.2014.03.021")</f>
        <v>http://dx.doi.org/10.1016/j.ijepes.2014.03.021</v>
      </c>
      <c r="BJ354" s="32" t="s">
        <v>1225</v>
      </c>
      <c r="BK354" s="32" t="s">
        <v>1225</v>
      </c>
      <c r="BL354" s="32" t="s">
        <v>1225</v>
      </c>
      <c r="BM354" s="32" t="s">
        <v>1225</v>
      </c>
      <c r="BN354" s="32" t="s">
        <v>1225</v>
      </c>
      <c r="BO354" s="32" t="s">
        <v>1225</v>
      </c>
      <c r="BP354" s="32" t="s">
        <v>1225</v>
      </c>
      <c r="BQ354" s="32" t="s">
        <v>1225</v>
      </c>
      <c r="BR354" s="32" t="s">
        <v>1225</v>
      </c>
      <c r="BS354" s="32" t="s">
        <v>1225</v>
      </c>
      <c r="BT354" s="32" t="s">
        <v>1225</v>
      </c>
      <c r="BU354" s="32" t="s">
        <v>1225</v>
      </c>
      <c r="BV354" s="32" t="s">
        <v>1225</v>
      </c>
      <c r="BW354" s="32" t="str">
        <f t="shared" si="10"/>
        <v>View Full Record in Web of Science</v>
      </c>
      <c r="BY354" s="41" t="str">
        <f>IF(Deletion!J354=TRUE,"Yes","No")</f>
        <v>Yes</v>
      </c>
    </row>
    <row r="355" spans="1:77" x14ac:dyDescent="0.15">
      <c r="A355" s="32">
        <f t="shared" si="11"/>
        <v>354</v>
      </c>
      <c r="D355" s="32" t="s">
        <v>1223</v>
      </c>
      <c r="E355" s="32" t="s">
        <v>3661</v>
      </c>
      <c r="F355" s="32" t="s">
        <v>1225</v>
      </c>
      <c r="G355" s="32" t="s">
        <v>1225</v>
      </c>
      <c r="H355" s="32" t="s">
        <v>1225</v>
      </c>
      <c r="I355" s="32" t="s">
        <v>3662</v>
      </c>
      <c r="J355" s="32" t="s">
        <v>1225</v>
      </c>
      <c r="K355" s="32" t="s">
        <v>1225</v>
      </c>
      <c r="L355" s="32" t="s">
        <v>3663</v>
      </c>
      <c r="M355" s="32" t="s">
        <v>2044</v>
      </c>
      <c r="N355" s="32" t="s">
        <v>1225</v>
      </c>
      <c r="O355" s="32" t="s">
        <v>1225</v>
      </c>
      <c r="P355" s="32" t="s">
        <v>1225</v>
      </c>
      <c r="Q355" s="32" t="s">
        <v>1227</v>
      </c>
      <c r="R355" s="32" t="s">
        <v>1225</v>
      </c>
      <c r="S355" s="32" t="s">
        <v>1225</v>
      </c>
      <c r="T355" s="32" t="s">
        <v>1225</v>
      </c>
      <c r="U355" s="32" t="s">
        <v>1225</v>
      </c>
      <c r="V355" s="32" t="s">
        <v>1225</v>
      </c>
      <c r="W355" s="32" t="s">
        <v>3664</v>
      </c>
      <c r="X355" s="32" t="s">
        <v>3665</v>
      </c>
      <c r="Y355" s="32" t="s">
        <v>3666</v>
      </c>
      <c r="Z355" s="32" t="s">
        <v>1225</v>
      </c>
      <c r="AA355" s="32" t="s">
        <v>1225</v>
      </c>
      <c r="AB355" s="32" t="s">
        <v>1225</v>
      </c>
      <c r="AC355" s="32" t="s">
        <v>1225</v>
      </c>
      <c r="AD355" s="32" t="s">
        <v>1225</v>
      </c>
      <c r="AE355" s="32" t="s">
        <v>1225</v>
      </c>
      <c r="AF355" s="32" t="s">
        <v>1225</v>
      </c>
      <c r="AG355" s="32" t="s">
        <v>1225</v>
      </c>
      <c r="AH355" s="32" t="s">
        <v>1225</v>
      </c>
      <c r="AI355" s="32" t="s">
        <v>1225</v>
      </c>
      <c r="AJ355" s="32" t="s">
        <v>1225</v>
      </c>
      <c r="AK355" s="32" t="s">
        <v>1225</v>
      </c>
      <c r="AL355" s="32" t="s">
        <v>1225</v>
      </c>
      <c r="AM355" s="32" t="s">
        <v>1225</v>
      </c>
      <c r="AN355" s="32" t="s">
        <v>1225</v>
      </c>
      <c r="AO355" s="32" t="s">
        <v>1225</v>
      </c>
      <c r="AP355" s="32" t="s">
        <v>1225</v>
      </c>
      <c r="AQ355" s="32" t="s">
        <v>1225</v>
      </c>
      <c r="AR355" s="32" t="s">
        <v>1225</v>
      </c>
      <c r="AS355" s="32" t="s">
        <v>1225</v>
      </c>
      <c r="AT355" s="32" t="s">
        <v>1225</v>
      </c>
      <c r="AU355" s="32" t="s">
        <v>1225</v>
      </c>
      <c r="AV355" s="32" t="s">
        <v>1225</v>
      </c>
      <c r="AW355" s="32" t="s">
        <v>1393</v>
      </c>
      <c r="AX355" s="32">
        <v>2022</v>
      </c>
      <c r="AY355" s="32">
        <v>71</v>
      </c>
      <c r="AZ355" s="32">
        <v>6</v>
      </c>
      <c r="BA355" s="32" t="s">
        <v>1225</v>
      </c>
      <c r="BB355" s="32" t="s">
        <v>1225</v>
      </c>
      <c r="BC355" s="32" t="s">
        <v>1225</v>
      </c>
      <c r="BD355" s="32" t="s">
        <v>1225</v>
      </c>
      <c r="BE355" s="32">
        <v>5743</v>
      </c>
      <c r="BF355" s="32">
        <v>5754</v>
      </c>
      <c r="BG355" s="32" t="s">
        <v>1225</v>
      </c>
      <c r="BH355" s="32" t="s">
        <v>3667</v>
      </c>
      <c r="BI355" s="32" t="str">
        <f>HYPERLINK("http://dx.doi.org/10.1109/TVT.2022.3175266","http://dx.doi.org/10.1109/TVT.2022.3175266")</f>
        <v>http://dx.doi.org/10.1109/TVT.2022.3175266</v>
      </c>
      <c r="BJ355" s="32" t="s">
        <v>1225</v>
      </c>
      <c r="BK355" s="32" t="s">
        <v>1225</v>
      </c>
      <c r="BL355" s="32" t="s">
        <v>1225</v>
      </c>
      <c r="BM355" s="32" t="s">
        <v>1225</v>
      </c>
      <c r="BN355" s="32" t="s">
        <v>1225</v>
      </c>
      <c r="BO355" s="32" t="s">
        <v>1225</v>
      </c>
      <c r="BP355" s="32" t="s">
        <v>1225</v>
      </c>
      <c r="BQ355" s="32" t="s">
        <v>1225</v>
      </c>
      <c r="BR355" s="32" t="s">
        <v>1225</v>
      </c>
      <c r="BS355" s="32" t="s">
        <v>1225</v>
      </c>
      <c r="BT355" s="32" t="s">
        <v>1225</v>
      </c>
      <c r="BU355" s="32" t="s">
        <v>1225</v>
      </c>
      <c r="BV355" s="32" t="s">
        <v>1225</v>
      </c>
      <c r="BW355" s="32" t="str">
        <f t="shared" si="10"/>
        <v>View Full Record in Web of Science</v>
      </c>
      <c r="BY355" s="41" t="str">
        <f>IF(Deletion!J355=TRUE,"Yes","No")</f>
        <v>Yes</v>
      </c>
    </row>
    <row r="356" spans="1:77" x14ac:dyDescent="0.15">
      <c r="A356" s="32">
        <f t="shared" si="11"/>
        <v>355</v>
      </c>
      <c r="D356" s="32" t="s">
        <v>1223</v>
      </c>
      <c r="E356" s="32" t="s">
        <v>1904</v>
      </c>
      <c r="F356" s="32" t="s">
        <v>1225</v>
      </c>
      <c r="G356" s="32" t="s">
        <v>1225</v>
      </c>
      <c r="H356" s="32" t="s">
        <v>1225</v>
      </c>
      <c r="I356" s="32" t="s">
        <v>1905</v>
      </c>
      <c r="J356" s="32" t="s">
        <v>1225</v>
      </c>
      <c r="K356" s="32" t="s">
        <v>1225</v>
      </c>
      <c r="L356" s="32" t="s">
        <v>3668</v>
      </c>
      <c r="M356" s="32" t="s">
        <v>124</v>
      </c>
      <c r="N356" s="32" t="s">
        <v>1225</v>
      </c>
      <c r="O356" s="32" t="s">
        <v>1225</v>
      </c>
      <c r="P356" s="32" t="s">
        <v>1225</v>
      </c>
      <c r="Q356" s="32" t="s">
        <v>1227</v>
      </c>
      <c r="R356" s="32" t="s">
        <v>1225</v>
      </c>
      <c r="S356" s="32" t="s">
        <v>1225</v>
      </c>
      <c r="T356" s="32" t="s">
        <v>1225</v>
      </c>
      <c r="U356" s="32" t="s">
        <v>1225</v>
      </c>
      <c r="V356" s="32" t="s">
        <v>1225</v>
      </c>
      <c r="W356" s="32" t="s">
        <v>3669</v>
      </c>
      <c r="X356" s="32" t="s">
        <v>3670</v>
      </c>
      <c r="Y356" s="32" t="s">
        <v>3671</v>
      </c>
      <c r="Z356" s="32" t="s">
        <v>1225</v>
      </c>
      <c r="AA356" s="32" t="s">
        <v>1225</v>
      </c>
      <c r="AB356" s="32" t="s">
        <v>1225</v>
      </c>
      <c r="AC356" s="32" t="s">
        <v>1225</v>
      </c>
      <c r="AD356" s="32" t="s">
        <v>1225</v>
      </c>
      <c r="AE356" s="32" t="s">
        <v>1225</v>
      </c>
      <c r="AF356" s="32" t="s">
        <v>1225</v>
      </c>
      <c r="AG356" s="32" t="s">
        <v>1225</v>
      </c>
      <c r="AH356" s="32" t="s">
        <v>1225</v>
      </c>
      <c r="AI356" s="32" t="s">
        <v>1225</v>
      </c>
      <c r="AJ356" s="32" t="s">
        <v>1225</v>
      </c>
      <c r="AK356" s="32" t="s">
        <v>1225</v>
      </c>
      <c r="AL356" s="32" t="s">
        <v>1225</v>
      </c>
      <c r="AM356" s="32" t="s">
        <v>1225</v>
      </c>
      <c r="AN356" s="32" t="s">
        <v>1225</v>
      </c>
      <c r="AO356" s="32" t="s">
        <v>1225</v>
      </c>
      <c r="AP356" s="32" t="s">
        <v>1225</v>
      </c>
      <c r="AQ356" s="32" t="s">
        <v>1225</v>
      </c>
      <c r="AR356" s="32" t="s">
        <v>1225</v>
      </c>
      <c r="AS356" s="32" t="s">
        <v>1225</v>
      </c>
      <c r="AT356" s="32" t="s">
        <v>1225</v>
      </c>
      <c r="AU356" s="32" t="s">
        <v>1225</v>
      </c>
      <c r="AV356" s="32" t="s">
        <v>1225</v>
      </c>
      <c r="AW356" s="32" t="s">
        <v>1272</v>
      </c>
      <c r="AX356" s="32">
        <v>2019</v>
      </c>
      <c r="AY356" s="32">
        <v>10</v>
      </c>
      <c r="AZ356" s="32">
        <v>2</v>
      </c>
      <c r="BA356" s="32" t="s">
        <v>1225</v>
      </c>
      <c r="BB356" s="32" t="s">
        <v>1225</v>
      </c>
      <c r="BC356" s="32" t="s">
        <v>1225</v>
      </c>
      <c r="BD356" s="32" t="s">
        <v>1225</v>
      </c>
      <c r="BE356" s="32">
        <v>1521</v>
      </c>
      <c r="BF356" s="32">
        <v>1531</v>
      </c>
      <c r="BG356" s="32" t="s">
        <v>1225</v>
      </c>
      <c r="BH356" s="32" t="s">
        <v>3672</v>
      </c>
      <c r="BI356" s="32" t="str">
        <f>HYPERLINK("http://dx.doi.org/10.1109/TSG.2017.2771508","http://dx.doi.org/10.1109/TSG.2017.2771508")</f>
        <v>http://dx.doi.org/10.1109/TSG.2017.2771508</v>
      </c>
      <c r="BJ356" s="32" t="s">
        <v>1225</v>
      </c>
      <c r="BK356" s="32" t="s">
        <v>1225</v>
      </c>
      <c r="BL356" s="32" t="s">
        <v>1225</v>
      </c>
      <c r="BM356" s="32" t="s">
        <v>1225</v>
      </c>
      <c r="BN356" s="32" t="s">
        <v>1225</v>
      </c>
      <c r="BO356" s="32" t="s">
        <v>1225</v>
      </c>
      <c r="BP356" s="32" t="s">
        <v>1225</v>
      </c>
      <c r="BQ356" s="32" t="s">
        <v>1225</v>
      </c>
      <c r="BR356" s="32" t="s">
        <v>1225</v>
      </c>
      <c r="BS356" s="32" t="s">
        <v>1225</v>
      </c>
      <c r="BT356" s="32" t="s">
        <v>1225</v>
      </c>
      <c r="BU356" s="32" t="s">
        <v>1225</v>
      </c>
      <c r="BV356" s="32" t="s">
        <v>1225</v>
      </c>
      <c r="BW356" s="32" t="str">
        <f t="shared" si="10"/>
        <v>View Full Record in Web of Science</v>
      </c>
      <c r="BY356" s="41" t="str">
        <f>IF(Deletion!J356=TRUE,"Yes","No")</f>
        <v>Yes</v>
      </c>
    </row>
    <row r="357" spans="1:77" x14ac:dyDescent="0.15">
      <c r="A357" s="32">
        <f t="shared" si="11"/>
        <v>356</v>
      </c>
      <c r="D357" s="32" t="s">
        <v>1223</v>
      </c>
      <c r="E357" s="32" t="s">
        <v>3673</v>
      </c>
      <c r="F357" s="32" t="s">
        <v>1225</v>
      </c>
      <c r="G357" s="32" t="s">
        <v>1225</v>
      </c>
      <c r="H357" s="32" t="s">
        <v>1225</v>
      </c>
      <c r="I357" s="32" t="s">
        <v>3674</v>
      </c>
      <c r="J357" s="32" t="s">
        <v>1225</v>
      </c>
      <c r="K357" s="32" t="s">
        <v>1225</v>
      </c>
      <c r="L357" s="32" t="s">
        <v>3675</v>
      </c>
      <c r="M357" s="32" t="s">
        <v>313</v>
      </c>
      <c r="N357" s="32" t="s">
        <v>1225</v>
      </c>
      <c r="O357" s="32" t="s">
        <v>1225</v>
      </c>
      <c r="P357" s="32" t="s">
        <v>1225</v>
      </c>
      <c r="Q357" s="32" t="s">
        <v>1227</v>
      </c>
      <c r="R357" s="32" t="s">
        <v>1225</v>
      </c>
      <c r="S357" s="32" t="s">
        <v>1225</v>
      </c>
      <c r="T357" s="32" t="s">
        <v>1225</v>
      </c>
      <c r="U357" s="32" t="s">
        <v>1225</v>
      </c>
      <c r="V357" s="32" t="s">
        <v>1225</v>
      </c>
      <c r="W357" s="32" t="s">
        <v>3676</v>
      </c>
      <c r="X357" s="32" t="s">
        <v>2318</v>
      </c>
      <c r="Y357" s="32" t="s">
        <v>3677</v>
      </c>
      <c r="Z357" s="32" t="s">
        <v>1225</v>
      </c>
      <c r="AA357" s="32" t="s">
        <v>1225</v>
      </c>
      <c r="AB357" s="32" t="s">
        <v>1225</v>
      </c>
      <c r="AC357" s="32" t="s">
        <v>1225</v>
      </c>
      <c r="AD357" s="32" t="s">
        <v>1225</v>
      </c>
      <c r="AE357" s="32" t="s">
        <v>1225</v>
      </c>
      <c r="AF357" s="32" t="s">
        <v>1225</v>
      </c>
      <c r="AG357" s="32" t="s">
        <v>1225</v>
      </c>
      <c r="AH357" s="32" t="s">
        <v>1225</v>
      </c>
      <c r="AI357" s="32" t="s">
        <v>1225</v>
      </c>
      <c r="AJ357" s="32" t="s">
        <v>1225</v>
      </c>
      <c r="AK357" s="32" t="s">
        <v>1225</v>
      </c>
      <c r="AL357" s="32" t="s">
        <v>1225</v>
      </c>
      <c r="AM357" s="32" t="s">
        <v>1225</v>
      </c>
      <c r="AN357" s="32" t="s">
        <v>1225</v>
      </c>
      <c r="AO357" s="32" t="s">
        <v>1225</v>
      </c>
      <c r="AP357" s="32" t="s">
        <v>1225</v>
      </c>
      <c r="AQ357" s="32" t="s">
        <v>1225</v>
      </c>
      <c r="AR357" s="32" t="s">
        <v>1225</v>
      </c>
      <c r="AS357" s="32" t="s">
        <v>1225</v>
      </c>
      <c r="AT357" s="32" t="s">
        <v>1225</v>
      </c>
      <c r="AU357" s="32" t="s">
        <v>1225</v>
      </c>
      <c r="AV357" s="32" t="s">
        <v>1225</v>
      </c>
      <c r="AW357" s="32" t="s">
        <v>1317</v>
      </c>
      <c r="AX357" s="32">
        <v>2021</v>
      </c>
      <c r="AY357" s="32">
        <v>124</v>
      </c>
      <c r="AZ357" s="32" t="s">
        <v>1225</v>
      </c>
      <c r="BA357" s="32" t="s">
        <v>1225</v>
      </c>
      <c r="BB357" s="32" t="s">
        <v>1225</v>
      </c>
      <c r="BC357" s="32" t="s">
        <v>1225</v>
      </c>
      <c r="BD357" s="32" t="s">
        <v>1225</v>
      </c>
      <c r="BE357" s="32" t="s">
        <v>1225</v>
      </c>
      <c r="BF357" s="32" t="s">
        <v>1225</v>
      </c>
      <c r="BG357" s="32">
        <v>106353</v>
      </c>
      <c r="BH357" s="32" t="s">
        <v>3678</v>
      </c>
      <c r="BI357" s="32" t="str">
        <f>HYPERLINK("http://dx.doi.org/10.1016/j.ijepes.2020.106353","http://dx.doi.org/10.1016/j.ijepes.2020.106353")</f>
        <v>http://dx.doi.org/10.1016/j.ijepes.2020.106353</v>
      </c>
      <c r="BJ357" s="32" t="s">
        <v>1225</v>
      </c>
      <c r="BK357" s="32" t="s">
        <v>1225</v>
      </c>
      <c r="BL357" s="32" t="s">
        <v>1225</v>
      </c>
      <c r="BM357" s="32" t="s">
        <v>1225</v>
      </c>
      <c r="BN357" s="32" t="s">
        <v>1225</v>
      </c>
      <c r="BO357" s="32" t="s">
        <v>1225</v>
      </c>
      <c r="BP357" s="32" t="s">
        <v>1225</v>
      </c>
      <c r="BQ357" s="32" t="s">
        <v>1225</v>
      </c>
      <c r="BR357" s="32" t="s">
        <v>1225</v>
      </c>
      <c r="BS357" s="32" t="s">
        <v>1225</v>
      </c>
      <c r="BT357" s="32" t="s">
        <v>1225</v>
      </c>
      <c r="BU357" s="32" t="s">
        <v>1225</v>
      </c>
      <c r="BV357" s="32" t="s">
        <v>1225</v>
      </c>
      <c r="BW357" s="32" t="str">
        <f t="shared" si="10"/>
        <v>View Full Record in Web of Science</v>
      </c>
      <c r="BY357" s="41" t="str">
        <f>IF(Deletion!J357=TRUE,"Yes","No")</f>
        <v>Yes</v>
      </c>
    </row>
    <row r="358" spans="1:77" x14ac:dyDescent="0.15">
      <c r="A358" s="34">
        <f t="shared" si="11"/>
        <v>357</v>
      </c>
      <c r="B358" s="34" t="s">
        <v>4</v>
      </c>
      <c r="C358" s="34" t="s">
        <v>4</v>
      </c>
      <c r="D358" s="34" t="s">
        <v>1223</v>
      </c>
      <c r="E358" s="34" t="s">
        <v>3679</v>
      </c>
      <c r="F358" s="32" t="s">
        <v>1225</v>
      </c>
      <c r="G358" s="32" t="s">
        <v>1225</v>
      </c>
      <c r="H358" s="32" t="s">
        <v>1225</v>
      </c>
      <c r="I358" s="34" t="s">
        <v>3680</v>
      </c>
      <c r="J358" s="32" t="s">
        <v>1225</v>
      </c>
      <c r="K358" s="32" t="s">
        <v>1225</v>
      </c>
      <c r="L358" s="34" t="s">
        <v>3681</v>
      </c>
      <c r="M358" s="34" t="s">
        <v>3682</v>
      </c>
      <c r="N358" s="32" t="s">
        <v>1225</v>
      </c>
      <c r="O358" s="32" t="s">
        <v>1225</v>
      </c>
      <c r="P358" s="32" t="s">
        <v>1225</v>
      </c>
      <c r="Q358" s="34" t="s">
        <v>1227</v>
      </c>
      <c r="R358" s="32" t="s">
        <v>1225</v>
      </c>
      <c r="S358" s="32" t="s">
        <v>1225</v>
      </c>
      <c r="T358" s="32" t="s">
        <v>1225</v>
      </c>
      <c r="U358" s="32" t="s">
        <v>1225</v>
      </c>
      <c r="V358" s="32" t="s">
        <v>1225</v>
      </c>
      <c r="W358" s="34" t="s">
        <v>3683</v>
      </c>
      <c r="X358" s="34" t="s">
        <v>1225</v>
      </c>
      <c r="Y358" s="34" t="s">
        <v>3684</v>
      </c>
      <c r="Z358" s="32" t="s">
        <v>1225</v>
      </c>
      <c r="AA358" s="32" t="s">
        <v>1225</v>
      </c>
      <c r="AB358" s="32" t="s">
        <v>1225</v>
      </c>
      <c r="AC358" s="32" t="s">
        <v>1225</v>
      </c>
      <c r="AD358" s="32" t="s">
        <v>1225</v>
      </c>
      <c r="AE358" s="32" t="s">
        <v>1225</v>
      </c>
      <c r="AF358" s="32" t="s">
        <v>1225</v>
      </c>
      <c r="AG358" s="32" t="s">
        <v>1225</v>
      </c>
      <c r="AH358" s="32" t="s">
        <v>1225</v>
      </c>
      <c r="AI358" s="32" t="s">
        <v>1225</v>
      </c>
      <c r="AJ358" s="32" t="s">
        <v>1225</v>
      </c>
      <c r="AK358" s="32" t="s">
        <v>1225</v>
      </c>
      <c r="AL358" s="32" t="s">
        <v>1225</v>
      </c>
      <c r="AM358" s="32" t="s">
        <v>1225</v>
      </c>
      <c r="AN358" s="32" t="s">
        <v>1225</v>
      </c>
      <c r="AO358" s="32" t="s">
        <v>1225</v>
      </c>
      <c r="AP358" s="32" t="s">
        <v>1225</v>
      </c>
      <c r="AQ358" s="32" t="s">
        <v>1225</v>
      </c>
      <c r="AR358" s="32" t="s">
        <v>1225</v>
      </c>
      <c r="AS358" s="32" t="s">
        <v>1225</v>
      </c>
      <c r="AT358" s="32" t="s">
        <v>1225</v>
      </c>
      <c r="AU358" s="32" t="s">
        <v>1225</v>
      </c>
      <c r="AV358" s="32" t="s">
        <v>1225</v>
      </c>
      <c r="AW358" s="34" t="s">
        <v>1229</v>
      </c>
      <c r="AX358" s="34">
        <v>2017</v>
      </c>
      <c r="AY358" s="32">
        <v>30</v>
      </c>
      <c r="AZ358" s="32" t="s">
        <v>1225</v>
      </c>
      <c r="BA358" s="32" t="s">
        <v>1225</v>
      </c>
      <c r="BB358" s="32" t="s">
        <v>1225</v>
      </c>
      <c r="BC358" s="32" t="s">
        <v>1511</v>
      </c>
      <c r="BD358" s="32" t="s">
        <v>1225</v>
      </c>
      <c r="BE358" s="32">
        <v>55</v>
      </c>
      <c r="BF358" s="32">
        <v>62</v>
      </c>
      <c r="BG358" s="32" t="s">
        <v>1225</v>
      </c>
      <c r="BH358" s="34" t="s">
        <v>3685</v>
      </c>
      <c r="BI358" s="34" t="str">
        <f>HYPERLINK("http://dx.doi.org/10.18845/tm.v30i5.3224","http://dx.doi.org/10.18845/tm.v30i5.3224")</f>
        <v>http://dx.doi.org/10.18845/tm.v30i5.3224</v>
      </c>
      <c r="BJ358" s="32" t="s">
        <v>1225</v>
      </c>
      <c r="BK358" s="32" t="s">
        <v>1225</v>
      </c>
      <c r="BL358" s="32" t="s">
        <v>1225</v>
      </c>
      <c r="BM358" s="32" t="s">
        <v>1225</v>
      </c>
      <c r="BN358" s="32" t="s">
        <v>1225</v>
      </c>
      <c r="BO358" s="32" t="s">
        <v>1225</v>
      </c>
      <c r="BP358" s="32" t="s">
        <v>1225</v>
      </c>
      <c r="BQ358" s="32" t="s">
        <v>1225</v>
      </c>
      <c r="BR358" s="32" t="s">
        <v>1225</v>
      </c>
      <c r="BS358" s="32" t="s">
        <v>1225</v>
      </c>
      <c r="BT358" s="32" t="s">
        <v>1225</v>
      </c>
      <c r="BU358" s="32" t="s">
        <v>1225</v>
      </c>
      <c r="BV358" s="32" t="s">
        <v>1225</v>
      </c>
      <c r="BW358" s="32" t="str">
        <f t="shared" si="10"/>
        <v>View Full Record in Web of Science</v>
      </c>
      <c r="BY358" s="41" t="str">
        <f>IF(Deletion!J358=TRUE,"Yes","No")</f>
        <v>No</v>
      </c>
    </row>
    <row r="359" spans="1:77" x14ac:dyDescent="0.15">
      <c r="A359" s="32">
        <f t="shared" si="11"/>
        <v>358</v>
      </c>
      <c r="D359" s="32" t="s">
        <v>1223</v>
      </c>
      <c r="E359" s="32" t="s">
        <v>3686</v>
      </c>
      <c r="F359" s="32" t="s">
        <v>1225</v>
      </c>
      <c r="G359" s="32" t="s">
        <v>1225</v>
      </c>
      <c r="H359" s="32" t="s">
        <v>1225</v>
      </c>
      <c r="I359" s="32" t="s">
        <v>3687</v>
      </c>
      <c r="J359" s="32" t="s">
        <v>1225</v>
      </c>
      <c r="K359" s="32" t="s">
        <v>1225</v>
      </c>
      <c r="L359" s="32" t="s">
        <v>3688</v>
      </c>
      <c r="M359" s="32" t="s">
        <v>97</v>
      </c>
      <c r="N359" s="32" t="s">
        <v>1225</v>
      </c>
      <c r="O359" s="32" t="s">
        <v>1225</v>
      </c>
      <c r="P359" s="32" t="s">
        <v>1225</v>
      </c>
      <c r="Q359" s="32" t="s">
        <v>1227</v>
      </c>
      <c r="R359" s="32" t="s">
        <v>1225</v>
      </c>
      <c r="S359" s="32" t="s">
        <v>1225</v>
      </c>
      <c r="T359" s="32" t="s">
        <v>1225</v>
      </c>
      <c r="U359" s="32" t="s">
        <v>1225</v>
      </c>
      <c r="V359" s="32" t="s">
        <v>1225</v>
      </c>
      <c r="W359" s="32" t="s">
        <v>3689</v>
      </c>
      <c r="X359" s="32" t="s">
        <v>1259</v>
      </c>
      <c r="Y359" s="32" t="s">
        <v>3690</v>
      </c>
      <c r="Z359" s="32" t="s">
        <v>1225</v>
      </c>
      <c r="AA359" s="32" t="s">
        <v>1225</v>
      </c>
      <c r="AB359" s="32" t="s">
        <v>1225</v>
      </c>
      <c r="AC359" s="32" t="s">
        <v>1225</v>
      </c>
      <c r="AD359" s="32" t="s">
        <v>1225</v>
      </c>
      <c r="AE359" s="32" t="s">
        <v>1225</v>
      </c>
      <c r="AF359" s="32" t="s">
        <v>1225</v>
      </c>
      <c r="AG359" s="32" t="s">
        <v>1225</v>
      </c>
      <c r="AH359" s="32" t="s">
        <v>1225</v>
      </c>
      <c r="AI359" s="32" t="s">
        <v>1225</v>
      </c>
      <c r="AJ359" s="32" t="s">
        <v>1225</v>
      </c>
      <c r="AK359" s="32" t="s">
        <v>1225</v>
      </c>
      <c r="AL359" s="32" t="s">
        <v>1225</v>
      </c>
      <c r="AM359" s="32" t="s">
        <v>1225</v>
      </c>
      <c r="AN359" s="32" t="s">
        <v>1225</v>
      </c>
      <c r="AO359" s="32" t="s">
        <v>1225</v>
      </c>
      <c r="AP359" s="32" t="s">
        <v>1225</v>
      </c>
      <c r="AQ359" s="32" t="s">
        <v>1225</v>
      </c>
      <c r="AR359" s="32" t="s">
        <v>1225</v>
      </c>
      <c r="AS359" s="32" t="s">
        <v>1225</v>
      </c>
      <c r="AT359" s="32" t="s">
        <v>1225</v>
      </c>
      <c r="AU359" s="32" t="s">
        <v>1225</v>
      </c>
      <c r="AV359" s="32" t="s">
        <v>1225</v>
      </c>
      <c r="AW359" s="32" t="s">
        <v>2634</v>
      </c>
      <c r="AX359" s="32">
        <v>2022</v>
      </c>
      <c r="AY359" s="32">
        <v>307</v>
      </c>
      <c r="AZ359" s="32" t="s">
        <v>1225</v>
      </c>
      <c r="BA359" s="32" t="s">
        <v>1225</v>
      </c>
      <c r="BB359" s="32" t="s">
        <v>1225</v>
      </c>
      <c r="BC359" s="32" t="s">
        <v>1225</v>
      </c>
      <c r="BD359" s="32" t="s">
        <v>1225</v>
      </c>
      <c r="BE359" s="32" t="s">
        <v>1225</v>
      </c>
      <c r="BF359" s="32" t="s">
        <v>1225</v>
      </c>
      <c r="BG359" s="32">
        <v>118100</v>
      </c>
      <c r="BH359" s="32" t="s">
        <v>3691</v>
      </c>
      <c r="BI359" s="32" t="str">
        <f>HYPERLINK("http://dx.doi.org/10.1016/j.apenergy.2021.118100","http://dx.doi.org/10.1016/j.apenergy.2021.118100")</f>
        <v>http://dx.doi.org/10.1016/j.apenergy.2021.118100</v>
      </c>
      <c r="BJ359" s="32" t="s">
        <v>1225</v>
      </c>
      <c r="BK359" s="32" t="s">
        <v>1225</v>
      </c>
      <c r="BL359" s="32" t="s">
        <v>1225</v>
      </c>
      <c r="BM359" s="32" t="s">
        <v>1225</v>
      </c>
      <c r="BN359" s="32" t="s">
        <v>1225</v>
      </c>
      <c r="BO359" s="32" t="s">
        <v>1225</v>
      </c>
      <c r="BP359" s="32" t="s">
        <v>1225</v>
      </c>
      <c r="BQ359" s="32" t="s">
        <v>1225</v>
      </c>
      <c r="BR359" s="32" t="s">
        <v>1225</v>
      </c>
      <c r="BS359" s="32" t="s">
        <v>1225</v>
      </c>
      <c r="BT359" s="32" t="s">
        <v>1225</v>
      </c>
      <c r="BU359" s="32" t="s">
        <v>1225</v>
      </c>
      <c r="BV359" s="32" t="s">
        <v>1225</v>
      </c>
      <c r="BW359" s="32" t="str">
        <f t="shared" si="10"/>
        <v>View Full Record in Web of Science</v>
      </c>
      <c r="BY359" s="41" t="str">
        <f>IF(Deletion!J359=TRUE,"Yes","No")</f>
        <v>Yes</v>
      </c>
    </row>
    <row r="360" spans="1:77" x14ac:dyDescent="0.15">
      <c r="A360" s="32">
        <f t="shared" si="11"/>
        <v>359</v>
      </c>
      <c r="D360" s="32" t="s">
        <v>1223</v>
      </c>
      <c r="E360" s="32" t="s">
        <v>3692</v>
      </c>
      <c r="F360" s="32" t="s">
        <v>1225</v>
      </c>
      <c r="G360" s="32" t="s">
        <v>1225</v>
      </c>
      <c r="H360" s="32" t="s">
        <v>1225</v>
      </c>
      <c r="I360" s="32" t="s">
        <v>3693</v>
      </c>
      <c r="J360" s="32" t="s">
        <v>1225</v>
      </c>
      <c r="K360" s="32" t="s">
        <v>1225</v>
      </c>
      <c r="L360" s="32" t="s">
        <v>3694</v>
      </c>
      <c r="M360" s="32" t="s">
        <v>114</v>
      </c>
      <c r="N360" s="32" t="s">
        <v>1225</v>
      </c>
      <c r="O360" s="32" t="s">
        <v>1225</v>
      </c>
      <c r="P360" s="32" t="s">
        <v>1225</v>
      </c>
      <c r="Q360" s="32" t="s">
        <v>1227</v>
      </c>
      <c r="R360" s="32" t="s">
        <v>1225</v>
      </c>
      <c r="S360" s="32" t="s">
        <v>1225</v>
      </c>
      <c r="T360" s="32" t="s">
        <v>1225</v>
      </c>
      <c r="U360" s="32" t="s">
        <v>1225</v>
      </c>
      <c r="V360" s="32" t="s">
        <v>1225</v>
      </c>
      <c r="W360" s="32" t="s">
        <v>3695</v>
      </c>
      <c r="X360" s="32" t="s">
        <v>3696</v>
      </c>
      <c r="Y360" s="32" t="s">
        <v>3697</v>
      </c>
      <c r="Z360" s="32" t="s">
        <v>1225</v>
      </c>
      <c r="AA360" s="32" t="s">
        <v>1225</v>
      </c>
      <c r="AB360" s="32" t="s">
        <v>1225</v>
      </c>
      <c r="AC360" s="32" t="s">
        <v>1225</v>
      </c>
      <c r="AD360" s="32" t="s">
        <v>1225</v>
      </c>
      <c r="AE360" s="32" t="s">
        <v>1225</v>
      </c>
      <c r="AF360" s="32" t="s">
        <v>1225</v>
      </c>
      <c r="AG360" s="32" t="s">
        <v>1225</v>
      </c>
      <c r="AH360" s="32" t="s">
        <v>1225</v>
      </c>
      <c r="AI360" s="32" t="s">
        <v>1225</v>
      </c>
      <c r="AJ360" s="32" t="s">
        <v>1225</v>
      </c>
      <c r="AK360" s="32" t="s">
        <v>1225</v>
      </c>
      <c r="AL360" s="32" t="s">
        <v>1225</v>
      </c>
      <c r="AM360" s="32" t="s">
        <v>1225</v>
      </c>
      <c r="AN360" s="32" t="s">
        <v>1225</v>
      </c>
      <c r="AO360" s="32" t="s">
        <v>1225</v>
      </c>
      <c r="AP360" s="32" t="s">
        <v>1225</v>
      </c>
      <c r="AQ360" s="32" t="s">
        <v>1225</v>
      </c>
      <c r="AR360" s="32" t="s">
        <v>1225</v>
      </c>
      <c r="AS360" s="32" t="s">
        <v>1225</v>
      </c>
      <c r="AT360" s="32" t="s">
        <v>1225</v>
      </c>
      <c r="AU360" s="32" t="s">
        <v>1225</v>
      </c>
      <c r="AV360" s="32" t="s">
        <v>1225</v>
      </c>
      <c r="AW360" s="32" t="s">
        <v>1317</v>
      </c>
      <c r="AX360" s="32">
        <v>2021</v>
      </c>
      <c r="AY360" s="32">
        <v>22</v>
      </c>
      <c r="AZ360" s="32">
        <v>1</v>
      </c>
      <c r="BA360" s="32" t="s">
        <v>1225</v>
      </c>
      <c r="BB360" s="32" t="s">
        <v>1225</v>
      </c>
      <c r="BC360" s="32" t="s">
        <v>1225</v>
      </c>
      <c r="BD360" s="32" t="s">
        <v>1225</v>
      </c>
      <c r="BE360" s="32">
        <v>505</v>
      </c>
      <c r="BF360" s="32">
        <v>517</v>
      </c>
      <c r="BG360" s="32" t="s">
        <v>1225</v>
      </c>
      <c r="BH360" s="32" t="s">
        <v>3698</v>
      </c>
      <c r="BI360" s="32" t="str">
        <f>HYPERLINK("http://dx.doi.org/10.1109/TITS.2020.3025721","http://dx.doi.org/10.1109/TITS.2020.3025721")</f>
        <v>http://dx.doi.org/10.1109/TITS.2020.3025721</v>
      </c>
      <c r="BJ360" s="32" t="s">
        <v>1225</v>
      </c>
      <c r="BK360" s="32" t="s">
        <v>1225</v>
      </c>
      <c r="BL360" s="32" t="s">
        <v>1225</v>
      </c>
      <c r="BM360" s="32" t="s">
        <v>1225</v>
      </c>
      <c r="BN360" s="32" t="s">
        <v>1225</v>
      </c>
      <c r="BO360" s="32" t="s">
        <v>1225</v>
      </c>
      <c r="BP360" s="32" t="s">
        <v>1225</v>
      </c>
      <c r="BQ360" s="32" t="s">
        <v>1225</v>
      </c>
      <c r="BR360" s="32" t="s">
        <v>1225</v>
      </c>
      <c r="BS360" s="32" t="s">
        <v>1225</v>
      </c>
      <c r="BT360" s="32" t="s">
        <v>1225</v>
      </c>
      <c r="BU360" s="32" t="s">
        <v>1225</v>
      </c>
      <c r="BV360" s="32" t="s">
        <v>1225</v>
      </c>
      <c r="BW360" s="32" t="str">
        <f t="shared" si="10"/>
        <v>View Full Record in Web of Science</v>
      </c>
      <c r="BY360" s="41" t="str">
        <f>IF(Deletion!J360=TRUE,"Yes","No")</f>
        <v>Yes</v>
      </c>
    </row>
    <row r="361" spans="1:77" x14ac:dyDescent="0.15">
      <c r="A361" s="34">
        <f t="shared" si="11"/>
        <v>360</v>
      </c>
      <c r="B361" s="34" t="s">
        <v>4</v>
      </c>
      <c r="C361" s="34" t="s">
        <v>4</v>
      </c>
      <c r="D361" s="34" t="s">
        <v>1223</v>
      </c>
      <c r="E361" s="34" t="s">
        <v>3699</v>
      </c>
      <c r="F361" s="32" t="s">
        <v>1225</v>
      </c>
      <c r="G361" s="32" t="s">
        <v>1225</v>
      </c>
      <c r="H361" s="32" t="s">
        <v>1225</v>
      </c>
      <c r="I361" s="34" t="s">
        <v>3700</v>
      </c>
      <c r="J361" s="32" t="s">
        <v>1225</v>
      </c>
      <c r="K361" s="32" t="s">
        <v>1225</v>
      </c>
      <c r="L361" s="34" t="s">
        <v>3701</v>
      </c>
      <c r="M361" s="34" t="s">
        <v>3702</v>
      </c>
      <c r="N361" s="32" t="s">
        <v>1225</v>
      </c>
      <c r="O361" s="32" t="s">
        <v>1225</v>
      </c>
      <c r="P361" s="32" t="s">
        <v>1225</v>
      </c>
      <c r="Q361" s="34" t="s">
        <v>1227</v>
      </c>
      <c r="R361" s="32" t="s">
        <v>1225</v>
      </c>
      <c r="S361" s="32" t="s">
        <v>1225</v>
      </c>
      <c r="T361" s="32" t="s">
        <v>1225</v>
      </c>
      <c r="U361" s="32" t="s">
        <v>1225</v>
      </c>
      <c r="V361" s="32" t="s">
        <v>1225</v>
      </c>
      <c r="W361" s="34" t="s">
        <v>3703</v>
      </c>
      <c r="X361" s="34" t="s">
        <v>3704</v>
      </c>
      <c r="Y361" s="34" t="s">
        <v>3705</v>
      </c>
      <c r="Z361" s="32" t="s">
        <v>1225</v>
      </c>
      <c r="AA361" s="32" t="s">
        <v>1225</v>
      </c>
      <c r="AB361" s="32" t="s">
        <v>1225</v>
      </c>
      <c r="AC361" s="32" t="s">
        <v>1225</v>
      </c>
      <c r="AD361" s="32" t="s">
        <v>1225</v>
      </c>
      <c r="AE361" s="32" t="s">
        <v>1225</v>
      </c>
      <c r="AF361" s="32" t="s">
        <v>1225</v>
      </c>
      <c r="AG361" s="32" t="s">
        <v>1225</v>
      </c>
      <c r="AH361" s="32" t="s">
        <v>1225</v>
      </c>
      <c r="AI361" s="32" t="s">
        <v>1225</v>
      </c>
      <c r="AJ361" s="32" t="s">
        <v>1225</v>
      </c>
      <c r="AK361" s="32" t="s">
        <v>1225</v>
      </c>
      <c r="AL361" s="32" t="s">
        <v>1225</v>
      </c>
      <c r="AM361" s="32" t="s">
        <v>1225</v>
      </c>
      <c r="AN361" s="32" t="s">
        <v>1225</v>
      </c>
      <c r="AO361" s="32" t="s">
        <v>1225</v>
      </c>
      <c r="AP361" s="32" t="s">
        <v>1225</v>
      </c>
      <c r="AQ361" s="32" t="s">
        <v>1225</v>
      </c>
      <c r="AR361" s="32" t="s">
        <v>1225</v>
      </c>
      <c r="AS361" s="32" t="s">
        <v>1225</v>
      </c>
      <c r="AT361" s="32" t="s">
        <v>1225</v>
      </c>
      <c r="AU361" s="32" t="s">
        <v>1225</v>
      </c>
      <c r="AV361" s="32" t="s">
        <v>1225</v>
      </c>
      <c r="AW361" s="34" t="s">
        <v>1298</v>
      </c>
      <c r="AX361" s="34">
        <v>2021</v>
      </c>
      <c r="AY361" s="32">
        <v>19</v>
      </c>
      <c r="AZ361" s="32">
        <v>3</v>
      </c>
      <c r="BA361" s="32" t="s">
        <v>1225</v>
      </c>
      <c r="BB361" s="32" t="s">
        <v>1225</v>
      </c>
      <c r="BC361" s="32" t="s">
        <v>1225</v>
      </c>
      <c r="BD361" s="32" t="s">
        <v>1225</v>
      </c>
      <c r="BE361" s="32">
        <v>496</v>
      </c>
      <c r="BF361" s="32">
        <v>509</v>
      </c>
      <c r="BG361" s="32" t="s">
        <v>1225</v>
      </c>
      <c r="BH361" s="34" t="s">
        <v>3706</v>
      </c>
      <c r="BI361" s="34" t="str">
        <f>HYPERLINK("http://dx.doi.org/10.1007/s13177-021-00258-1","http://dx.doi.org/10.1007/s13177-021-00258-1")</f>
        <v>http://dx.doi.org/10.1007/s13177-021-00258-1</v>
      </c>
      <c r="BJ361" s="32" t="s">
        <v>1225</v>
      </c>
      <c r="BK361" s="32" t="s">
        <v>1553</v>
      </c>
      <c r="BL361" s="32" t="s">
        <v>1225</v>
      </c>
      <c r="BM361" s="32" t="s">
        <v>1225</v>
      </c>
      <c r="BN361" s="32" t="s">
        <v>1225</v>
      </c>
      <c r="BO361" s="32" t="s">
        <v>1225</v>
      </c>
      <c r="BP361" s="32" t="s">
        <v>1225</v>
      </c>
      <c r="BQ361" s="32" t="s">
        <v>1225</v>
      </c>
      <c r="BR361" s="32" t="s">
        <v>1225</v>
      </c>
      <c r="BS361" s="32" t="s">
        <v>1225</v>
      </c>
      <c r="BT361" s="32" t="s">
        <v>1225</v>
      </c>
      <c r="BU361" s="32" t="s">
        <v>1225</v>
      </c>
      <c r="BV361" s="32" t="s">
        <v>1225</v>
      </c>
      <c r="BW361" s="32" t="str">
        <f t="shared" si="10"/>
        <v>View Full Record in Web of Science</v>
      </c>
      <c r="BY361" s="41" t="str">
        <f>IF(Deletion!J361=TRUE,"Yes","No")</f>
        <v>No</v>
      </c>
    </row>
    <row r="362" spans="1:77" x14ac:dyDescent="0.15">
      <c r="A362" s="32">
        <f t="shared" si="11"/>
        <v>361</v>
      </c>
      <c r="D362" s="32" t="s">
        <v>1223</v>
      </c>
      <c r="E362" s="32" t="s">
        <v>3707</v>
      </c>
      <c r="F362" s="32" t="s">
        <v>1225</v>
      </c>
      <c r="G362" s="32" t="s">
        <v>1225</v>
      </c>
      <c r="H362" s="32" t="s">
        <v>1225</v>
      </c>
      <c r="I362" s="32" t="s">
        <v>3708</v>
      </c>
      <c r="J362" s="32" t="s">
        <v>1225</v>
      </c>
      <c r="K362" s="32" t="s">
        <v>1225</v>
      </c>
      <c r="L362" s="32" t="s">
        <v>3709</v>
      </c>
      <c r="M362" s="32" t="s">
        <v>2051</v>
      </c>
      <c r="N362" s="32" t="s">
        <v>1225</v>
      </c>
      <c r="O362" s="32" t="s">
        <v>1225</v>
      </c>
      <c r="P362" s="32" t="s">
        <v>1225</v>
      </c>
      <c r="Q362" s="32" t="s">
        <v>1227</v>
      </c>
      <c r="R362" s="32" t="s">
        <v>1225</v>
      </c>
      <c r="S362" s="32" t="s">
        <v>1225</v>
      </c>
      <c r="T362" s="32" t="s">
        <v>1225</v>
      </c>
      <c r="U362" s="32" t="s">
        <v>1225</v>
      </c>
      <c r="V362" s="32" t="s">
        <v>1225</v>
      </c>
      <c r="W362" s="32" t="s">
        <v>3710</v>
      </c>
      <c r="X362" s="32" t="s">
        <v>3711</v>
      </c>
      <c r="Y362" s="32" t="s">
        <v>3712</v>
      </c>
      <c r="Z362" s="32" t="s">
        <v>1225</v>
      </c>
      <c r="AA362" s="32" t="s">
        <v>1225</v>
      </c>
      <c r="AB362" s="32" t="s">
        <v>1225</v>
      </c>
      <c r="AC362" s="32" t="s">
        <v>1225</v>
      </c>
      <c r="AD362" s="32" t="s">
        <v>1225</v>
      </c>
      <c r="AE362" s="32" t="s">
        <v>1225</v>
      </c>
      <c r="AF362" s="32" t="s">
        <v>1225</v>
      </c>
      <c r="AG362" s="32" t="s">
        <v>1225</v>
      </c>
      <c r="AH362" s="32" t="s">
        <v>1225</v>
      </c>
      <c r="AI362" s="32" t="s">
        <v>1225</v>
      </c>
      <c r="AJ362" s="32" t="s">
        <v>1225</v>
      </c>
      <c r="AK362" s="32" t="s">
        <v>1225</v>
      </c>
      <c r="AL362" s="32" t="s">
        <v>1225</v>
      </c>
      <c r="AM362" s="32" t="s">
        <v>1225</v>
      </c>
      <c r="AN362" s="32" t="s">
        <v>1225</v>
      </c>
      <c r="AO362" s="32" t="s">
        <v>1225</v>
      </c>
      <c r="AP362" s="32" t="s">
        <v>1225</v>
      </c>
      <c r="AQ362" s="32" t="s">
        <v>1225</v>
      </c>
      <c r="AR362" s="32" t="s">
        <v>1225</v>
      </c>
      <c r="AS362" s="32" t="s">
        <v>1225</v>
      </c>
      <c r="AT362" s="32" t="s">
        <v>1225</v>
      </c>
      <c r="AU362" s="32" t="s">
        <v>1225</v>
      </c>
      <c r="AV362" s="32" t="s">
        <v>1225</v>
      </c>
      <c r="AW362" s="32" t="s">
        <v>1285</v>
      </c>
      <c r="AX362" s="32">
        <v>2020</v>
      </c>
      <c r="AY362" s="32">
        <v>16</v>
      </c>
      <c r="AZ362" s="32">
        <v>5</v>
      </c>
      <c r="BA362" s="32" t="s">
        <v>1225</v>
      </c>
      <c r="BB362" s="32" t="s">
        <v>1225</v>
      </c>
      <c r="BC362" s="32" t="s">
        <v>1225</v>
      </c>
      <c r="BD362" s="32" t="s">
        <v>1225</v>
      </c>
      <c r="BE362" s="32">
        <v>3470</v>
      </c>
      <c r="BF362" s="32">
        <v>3482</v>
      </c>
      <c r="BG362" s="32" t="s">
        <v>1225</v>
      </c>
      <c r="BH362" s="32" t="s">
        <v>3713</v>
      </c>
      <c r="BI362" s="32" t="str">
        <f>HYPERLINK("http://dx.doi.org/10.1109/TII.2019.2940410","http://dx.doi.org/10.1109/TII.2019.2940410")</f>
        <v>http://dx.doi.org/10.1109/TII.2019.2940410</v>
      </c>
      <c r="BJ362" s="32" t="s">
        <v>1225</v>
      </c>
      <c r="BK362" s="32" t="s">
        <v>1225</v>
      </c>
      <c r="BL362" s="32" t="s">
        <v>1225</v>
      </c>
      <c r="BM362" s="32" t="s">
        <v>1225</v>
      </c>
      <c r="BN362" s="32" t="s">
        <v>1225</v>
      </c>
      <c r="BO362" s="32" t="s">
        <v>1225</v>
      </c>
      <c r="BP362" s="32" t="s">
        <v>1225</v>
      </c>
      <c r="BQ362" s="32" t="s">
        <v>1225</v>
      </c>
      <c r="BR362" s="32" t="s">
        <v>1225</v>
      </c>
      <c r="BS362" s="32" t="s">
        <v>1225</v>
      </c>
      <c r="BT362" s="32" t="s">
        <v>1225</v>
      </c>
      <c r="BU362" s="32" t="s">
        <v>1225</v>
      </c>
      <c r="BV362" s="32" t="s">
        <v>1225</v>
      </c>
      <c r="BW362" s="32" t="str">
        <f t="shared" si="10"/>
        <v>View Full Record in Web of Science</v>
      </c>
      <c r="BY362" s="41" t="str">
        <f>IF(Deletion!J362=TRUE,"Yes","No")</f>
        <v>Yes</v>
      </c>
    </row>
    <row r="363" spans="1:77" x14ac:dyDescent="0.15">
      <c r="A363" s="38">
        <f t="shared" si="11"/>
        <v>362</v>
      </c>
      <c r="B363" s="38" t="s">
        <v>1413</v>
      </c>
      <c r="C363" s="38" t="s">
        <v>1413</v>
      </c>
      <c r="D363" s="38" t="s">
        <v>1223</v>
      </c>
      <c r="E363" s="38" t="s">
        <v>3714</v>
      </c>
      <c r="F363" s="32" t="s">
        <v>1225</v>
      </c>
      <c r="G363" s="32" t="s">
        <v>1225</v>
      </c>
      <c r="H363" s="32" t="s">
        <v>1225</v>
      </c>
      <c r="I363" s="38" t="s">
        <v>3715</v>
      </c>
      <c r="J363" s="32" t="s">
        <v>1225</v>
      </c>
      <c r="K363" s="32" t="s">
        <v>1225</v>
      </c>
      <c r="L363" s="38" t="s">
        <v>3716</v>
      </c>
      <c r="M363" s="38" t="s">
        <v>1698</v>
      </c>
      <c r="N363" s="32" t="s">
        <v>1225</v>
      </c>
      <c r="O363" s="32" t="s">
        <v>1225</v>
      </c>
      <c r="P363" s="32" t="s">
        <v>1225</v>
      </c>
      <c r="Q363" s="38" t="s">
        <v>1417</v>
      </c>
      <c r="R363" s="32" t="s">
        <v>1225</v>
      </c>
      <c r="S363" s="32" t="s">
        <v>1225</v>
      </c>
      <c r="T363" s="32" t="s">
        <v>1225</v>
      </c>
      <c r="U363" s="32" t="s">
        <v>1225</v>
      </c>
      <c r="V363" s="32" t="s">
        <v>1225</v>
      </c>
      <c r="W363" s="38" t="s">
        <v>3717</v>
      </c>
      <c r="X363" s="38" t="s">
        <v>2148</v>
      </c>
      <c r="Y363" s="38" t="s">
        <v>3718</v>
      </c>
      <c r="Z363" s="32" t="s">
        <v>1225</v>
      </c>
      <c r="AA363" s="32" t="s">
        <v>1225</v>
      </c>
      <c r="AB363" s="32" t="s">
        <v>1225</v>
      </c>
      <c r="AC363" s="32" t="s">
        <v>1225</v>
      </c>
      <c r="AD363" s="32" t="s">
        <v>1225</v>
      </c>
      <c r="AE363" s="32" t="s">
        <v>1225</v>
      </c>
      <c r="AF363" s="32" t="s">
        <v>1225</v>
      </c>
      <c r="AG363" s="32" t="s">
        <v>1225</v>
      </c>
      <c r="AH363" s="32" t="s">
        <v>1225</v>
      </c>
      <c r="AI363" s="32" t="s">
        <v>1225</v>
      </c>
      <c r="AJ363" s="32" t="s">
        <v>1225</v>
      </c>
      <c r="AK363" s="32" t="s">
        <v>1225</v>
      </c>
      <c r="AL363" s="32" t="s">
        <v>1225</v>
      </c>
      <c r="AM363" s="32" t="s">
        <v>1225</v>
      </c>
      <c r="AN363" s="32" t="s">
        <v>1225</v>
      </c>
      <c r="AO363" s="32" t="s">
        <v>1225</v>
      </c>
      <c r="AP363" s="32" t="s">
        <v>1225</v>
      </c>
      <c r="AQ363" s="32" t="s">
        <v>1225</v>
      </c>
      <c r="AR363" s="32" t="s">
        <v>1225</v>
      </c>
      <c r="AS363" s="32" t="s">
        <v>1225</v>
      </c>
      <c r="AT363" s="32" t="s">
        <v>1225</v>
      </c>
      <c r="AU363" s="32" t="s">
        <v>1225</v>
      </c>
      <c r="AV363" s="32" t="s">
        <v>1225</v>
      </c>
      <c r="AW363" s="38" t="s">
        <v>1356</v>
      </c>
      <c r="AX363" s="38">
        <v>2019</v>
      </c>
      <c r="AY363" s="32">
        <v>1</v>
      </c>
      <c r="AZ363" s="32" t="s">
        <v>1225</v>
      </c>
      <c r="BA363" s="32" t="s">
        <v>1225</v>
      </c>
      <c r="BB363" s="32" t="s">
        <v>1225</v>
      </c>
      <c r="BC363" s="32" t="s">
        <v>1225</v>
      </c>
      <c r="BD363" s="32" t="s">
        <v>1225</v>
      </c>
      <c r="BE363" s="32" t="s">
        <v>1225</v>
      </c>
      <c r="BF363" s="32" t="s">
        <v>1225</v>
      </c>
      <c r="BG363" s="32">
        <v>100006</v>
      </c>
      <c r="BH363" s="38" t="s">
        <v>3719</v>
      </c>
      <c r="BI363" s="38" t="str">
        <f>HYPERLINK("http://dx.doi.org/10.1016/j.etran.2019.100006","http://dx.doi.org/10.1016/j.etran.2019.100006")</f>
        <v>http://dx.doi.org/10.1016/j.etran.2019.100006</v>
      </c>
      <c r="BJ363" s="32" t="s">
        <v>1225</v>
      </c>
      <c r="BK363" s="32" t="s">
        <v>1225</v>
      </c>
      <c r="BL363" s="32" t="s">
        <v>1225</v>
      </c>
      <c r="BM363" s="32" t="s">
        <v>1225</v>
      </c>
      <c r="BN363" s="32" t="s">
        <v>1225</v>
      </c>
      <c r="BO363" s="32" t="s">
        <v>1225</v>
      </c>
      <c r="BP363" s="32" t="s">
        <v>1225</v>
      </c>
      <c r="BQ363" s="32" t="s">
        <v>1225</v>
      </c>
      <c r="BR363" s="32" t="s">
        <v>1225</v>
      </c>
      <c r="BS363" s="32" t="s">
        <v>1225</v>
      </c>
      <c r="BT363" s="32" t="s">
        <v>1225</v>
      </c>
      <c r="BU363" s="32" t="s">
        <v>1225</v>
      </c>
      <c r="BV363" s="32" t="s">
        <v>1225</v>
      </c>
      <c r="BW363" s="32" t="str">
        <f t="shared" si="10"/>
        <v>View Full Record in Web of Science</v>
      </c>
      <c r="BY363" s="41" t="str">
        <f>IF(Deletion!J363=TRUE,"Yes","No")</f>
        <v>Yes</v>
      </c>
    </row>
    <row r="364" spans="1:77" x14ac:dyDescent="0.15">
      <c r="A364" s="32">
        <f t="shared" si="11"/>
        <v>363</v>
      </c>
      <c r="D364" s="32" t="s">
        <v>1223</v>
      </c>
      <c r="E364" s="32" t="s">
        <v>3720</v>
      </c>
      <c r="F364" s="32" t="s">
        <v>1225</v>
      </c>
      <c r="G364" s="32" t="s">
        <v>1225</v>
      </c>
      <c r="H364" s="32" t="s">
        <v>1225</v>
      </c>
      <c r="I364" s="32" t="s">
        <v>3721</v>
      </c>
      <c r="J364" s="32" t="s">
        <v>1225</v>
      </c>
      <c r="K364" s="32" t="s">
        <v>1225</v>
      </c>
      <c r="L364" s="32" t="s">
        <v>3722</v>
      </c>
      <c r="M364" s="32" t="s">
        <v>114</v>
      </c>
      <c r="N364" s="32" t="s">
        <v>1225</v>
      </c>
      <c r="O364" s="32" t="s">
        <v>1225</v>
      </c>
      <c r="P364" s="32" t="s">
        <v>1225</v>
      </c>
      <c r="Q364" s="32" t="s">
        <v>1227</v>
      </c>
      <c r="R364" s="32" t="s">
        <v>1225</v>
      </c>
      <c r="S364" s="32" t="s">
        <v>1225</v>
      </c>
      <c r="T364" s="32" t="s">
        <v>1225</v>
      </c>
      <c r="U364" s="32" t="s">
        <v>1225</v>
      </c>
      <c r="V364" s="32" t="s">
        <v>1225</v>
      </c>
      <c r="W364" s="32" t="s">
        <v>3723</v>
      </c>
      <c r="X364" s="32" t="s">
        <v>3724</v>
      </c>
      <c r="Y364" s="32" t="s">
        <v>3725</v>
      </c>
      <c r="Z364" s="32" t="s">
        <v>1225</v>
      </c>
      <c r="AA364" s="32" t="s">
        <v>1225</v>
      </c>
      <c r="AB364" s="32" t="s">
        <v>1225</v>
      </c>
      <c r="AC364" s="32" t="s">
        <v>1225</v>
      </c>
      <c r="AD364" s="32" t="s">
        <v>1225</v>
      </c>
      <c r="AE364" s="32" t="s">
        <v>1225</v>
      </c>
      <c r="AF364" s="32" t="s">
        <v>1225</v>
      </c>
      <c r="AG364" s="32" t="s">
        <v>1225</v>
      </c>
      <c r="AH364" s="32" t="s">
        <v>1225</v>
      </c>
      <c r="AI364" s="32" t="s">
        <v>1225</v>
      </c>
      <c r="AJ364" s="32" t="s">
        <v>1225</v>
      </c>
      <c r="AK364" s="32" t="s">
        <v>1225</v>
      </c>
      <c r="AL364" s="32" t="s">
        <v>1225</v>
      </c>
      <c r="AM364" s="32" t="s">
        <v>1225</v>
      </c>
      <c r="AN364" s="32" t="s">
        <v>1225</v>
      </c>
      <c r="AO364" s="32" t="s">
        <v>1225</v>
      </c>
      <c r="AP364" s="32" t="s">
        <v>1225</v>
      </c>
      <c r="AQ364" s="32" t="s">
        <v>1225</v>
      </c>
      <c r="AR364" s="32" t="s">
        <v>1225</v>
      </c>
      <c r="AS364" s="32" t="s">
        <v>1225</v>
      </c>
      <c r="AT364" s="32" t="s">
        <v>1225</v>
      </c>
      <c r="AU364" s="32" t="s">
        <v>1225</v>
      </c>
      <c r="AV364" s="32" t="s">
        <v>1225</v>
      </c>
      <c r="AW364" s="32" t="s">
        <v>1317</v>
      </c>
      <c r="AX364" s="32">
        <v>2022</v>
      </c>
      <c r="AY364" s="32">
        <v>23</v>
      </c>
      <c r="AZ364" s="32">
        <v>1</v>
      </c>
      <c r="BA364" s="32" t="s">
        <v>1225</v>
      </c>
      <c r="BB364" s="32" t="s">
        <v>1225</v>
      </c>
      <c r="BC364" s="32" t="s">
        <v>1225</v>
      </c>
      <c r="BD364" s="32" t="s">
        <v>1225</v>
      </c>
      <c r="BE364" s="32">
        <v>572</v>
      </c>
      <c r="BF364" s="32">
        <v>586</v>
      </c>
      <c r="BG364" s="32" t="s">
        <v>1225</v>
      </c>
      <c r="BH364" s="32" t="s">
        <v>3726</v>
      </c>
      <c r="BI364" s="32" t="str">
        <f>HYPERLINK("http://dx.doi.org/10.1109/TITS.2020.3014088","http://dx.doi.org/10.1109/TITS.2020.3014088")</f>
        <v>http://dx.doi.org/10.1109/TITS.2020.3014088</v>
      </c>
      <c r="BJ364" s="32" t="s">
        <v>1225</v>
      </c>
      <c r="BK364" s="32" t="s">
        <v>1225</v>
      </c>
      <c r="BL364" s="32" t="s">
        <v>1225</v>
      </c>
      <c r="BM364" s="32" t="s">
        <v>1225</v>
      </c>
      <c r="BN364" s="32" t="s">
        <v>1225</v>
      </c>
      <c r="BO364" s="32" t="s">
        <v>1225</v>
      </c>
      <c r="BP364" s="32" t="s">
        <v>1225</v>
      </c>
      <c r="BQ364" s="32" t="s">
        <v>1225</v>
      </c>
      <c r="BR364" s="32" t="s">
        <v>1225</v>
      </c>
      <c r="BS364" s="32" t="s">
        <v>1225</v>
      </c>
      <c r="BT364" s="32" t="s">
        <v>1225</v>
      </c>
      <c r="BU364" s="32" t="s">
        <v>1225</v>
      </c>
      <c r="BV364" s="32" t="s">
        <v>1225</v>
      </c>
      <c r="BW364" s="32" t="str">
        <f t="shared" si="10"/>
        <v>View Full Record in Web of Science</v>
      </c>
      <c r="BY364" s="41" t="str">
        <f>IF(Deletion!J364=TRUE,"Yes","No")</f>
        <v>Yes</v>
      </c>
    </row>
    <row r="365" spans="1:77" x14ac:dyDescent="0.15">
      <c r="A365" s="32">
        <f t="shared" si="11"/>
        <v>364</v>
      </c>
      <c r="D365" s="32" t="s">
        <v>1223</v>
      </c>
      <c r="E365" s="32" t="s">
        <v>3727</v>
      </c>
      <c r="F365" s="32" t="s">
        <v>1225</v>
      </c>
      <c r="G365" s="32" t="s">
        <v>1225</v>
      </c>
      <c r="H365" s="32" t="s">
        <v>1225</v>
      </c>
      <c r="I365" s="32" t="s">
        <v>3728</v>
      </c>
      <c r="J365" s="32" t="s">
        <v>1225</v>
      </c>
      <c r="K365" s="32" t="s">
        <v>1225</v>
      </c>
      <c r="L365" s="32" t="s">
        <v>3729</v>
      </c>
      <c r="M365" s="32" t="s">
        <v>68</v>
      </c>
      <c r="N365" s="32" t="s">
        <v>1225</v>
      </c>
      <c r="O365" s="32" t="s">
        <v>1225</v>
      </c>
      <c r="P365" s="32" t="s">
        <v>1225</v>
      </c>
      <c r="Q365" s="32" t="s">
        <v>1227</v>
      </c>
      <c r="R365" s="32" t="s">
        <v>1225</v>
      </c>
      <c r="S365" s="32" t="s">
        <v>1225</v>
      </c>
      <c r="T365" s="32" t="s">
        <v>1225</v>
      </c>
      <c r="U365" s="32" t="s">
        <v>1225</v>
      </c>
      <c r="V365" s="32" t="s">
        <v>1225</v>
      </c>
      <c r="W365" s="32" t="s">
        <v>3730</v>
      </c>
      <c r="X365" s="32" t="s">
        <v>3731</v>
      </c>
      <c r="Y365" s="32" t="s">
        <v>3732</v>
      </c>
      <c r="Z365" s="32" t="s">
        <v>1225</v>
      </c>
      <c r="AA365" s="32" t="s">
        <v>1225</v>
      </c>
      <c r="AB365" s="32" t="s">
        <v>1225</v>
      </c>
      <c r="AC365" s="32" t="s">
        <v>1225</v>
      </c>
      <c r="AD365" s="32" t="s">
        <v>1225</v>
      </c>
      <c r="AE365" s="32" t="s">
        <v>1225</v>
      </c>
      <c r="AF365" s="32" t="s">
        <v>1225</v>
      </c>
      <c r="AG365" s="32" t="s">
        <v>1225</v>
      </c>
      <c r="AH365" s="32" t="s">
        <v>1225</v>
      </c>
      <c r="AI365" s="32" t="s">
        <v>1225</v>
      </c>
      <c r="AJ365" s="32" t="s">
        <v>1225</v>
      </c>
      <c r="AK365" s="32" t="s">
        <v>1225</v>
      </c>
      <c r="AL365" s="32" t="s">
        <v>1225</v>
      </c>
      <c r="AM365" s="32" t="s">
        <v>1225</v>
      </c>
      <c r="AN365" s="32" t="s">
        <v>1225</v>
      </c>
      <c r="AO365" s="32" t="s">
        <v>1225</v>
      </c>
      <c r="AP365" s="32" t="s">
        <v>1225</v>
      </c>
      <c r="AQ365" s="32" t="s">
        <v>1225</v>
      </c>
      <c r="AR365" s="32" t="s">
        <v>1225</v>
      </c>
      <c r="AS365" s="32" t="s">
        <v>1225</v>
      </c>
      <c r="AT365" s="32" t="s">
        <v>1225</v>
      </c>
      <c r="AU365" s="32" t="s">
        <v>1225</v>
      </c>
      <c r="AV365" s="32" t="s">
        <v>1225</v>
      </c>
      <c r="AW365" s="32" t="s">
        <v>1225</v>
      </c>
      <c r="AX365" s="32">
        <v>2019</v>
      </c>
      <c r="AY365" s="32">
        <v>7</v>
      </c>
      <c r="AZ365" s="32" t="s">
        <v>1225</v>
      </c>
      <c r="BA365" s="32" t="s">
        <v>1225</v>
      </c>
      <c r="BB365" s="32" t="s">
        <v>1225</v>
      </c>
      <c r="BC365" s="32" t="s">
        <v>1225</v>
      </c>
      <c r="BD365" s="32" t="s">
        <v>1225</v>
      </c>
      <c r="BE365" s="32">
        <v>101376</v>
      </c>
      <c r="BF365" s="32">
        <v>101387</v>
      </c>
      <c r="BG365" s="32" t="s">
        <v>1225</v>
      </c>
      <c r="BH365" s="32" t="s">
        <v>3733</v>
      </c>
      <c r="BI365" s="32" t="str">
        <f>HYPERLINK("http://dx.doi.org/10.1109/ACCESS.2019.2929626","http://dx.doi.org/10.1109/ACCESS.2019.2929626")</f>
        <v>http://dx.doi.org/10.1109/ACCESS.2019.2929626</v>
      </c>
      <c r="BJ365" s="32" t="s">
        <v>1225</v>
      </c>
      <c r="BK365" s="32" t="s">
        <v>1225</v>
      </c>
      <c r="BL365" s="32" t="s">
        <v>1225</v>
      </c>
      <c r="BM365" s="32" t="s">
        <v>1225</v>
      </c>
      <c r="BN365" s="32" t="s">
        <v>1225</v>
      </c>
      <c r="BO365" s="32" t="s">
        <v>1225</v>
      </c>
      <c r="BP365" s="32" t="s">
        <v>1225</v>
      </c>
      <c r="BQ365" s="32" t="s">
        <v>1225</v>
      </c>
      <c r="BR365" s="32" t="s">
        <v>1225</v>
      </c>
      <c r="BS365" s="32" t="s">
        <v>1225</v>
      </c>
      <c r="BT365" s="32" t="s">
        <v>1225</v>
      </c>
      <c r="BU365" s="32" t="s">
        <v>1225</v>
      </c>
      <c r="BV365" s="32" t="s">
        <v>1225</v>
      </c>
      <c r="BW365" s="32" t="str">
        <f t="shared" si="10"/>
        <v>View Full Record in Web of Science</v>
      </c>
      <c r="BY365" s="41" t="str">
        <f>IF(Deletion!J365=TRUE,"Yes","No")</f>
        <v>Yes</v>
      </c>
    </row>
    <row r="366" spans="1:77" x14ac:dyDescent="0.15">
      <c r="A366" s="32">
        <f t="shared" si="11"/>
        <v>365</v>
      </c>
      <c r="D366" s="32" t="s">
        <v>1223</v>
      </c>
      <c r="E366" s="32" t="s">
        <v>3734</v>
      </c>
      <c r="F366" s="32" t="s">
        <v>1225</v>
      </c>
      <c r="G366" s="32" t="s">
        <v>1225</v>
      </c>
      <c r="H366" s="32" t="s">
        <v>1225</v>
      </c>
      <c r="I366" s="32" t="s">
        <v>3735</v>
      </c>
      <c r="J366" s="32" t="s">
        <v>1225</v>
      </c>
      <c r="K366" s="32" t="s">
        <v>1225</v>
      </c>
      <c r="L366" s="32" t="s">
        <v>3736</v>
      </c>
      <c r="M366" s="32" t="s">
        <v>68</v>
      </c>
      <c r="N366" s="32" t="s">
        <v>1225</v>
      </c>
      <c r="O366" s="32" t="s">
        <v>1225</v>
      </c>
      <c r="P366" s="32" t="s">
        <v>1225</v>
      </c>
      <c r="Q366" s="32" t="s">
        <v>1227</v>
      </c>
      <c r="R366" s="32" t="s">
        <v>1225</v>
      </c>
      <c r="S366" s="32" t="s">
        <v>1225</v>
      </c>
      <c r="T366" s="32" t="s">
        <v>1225</v>
      </c>
      <c r="U366" s="32" t="s">
        <v>1225</v>
      </c>
      <c r="V366" s="32" t="s">
        <v>1225</v>
      </c>
      <c r="W366" s="32" t="s">
        <v>3737</v>
      </c>
      <c r="X366" s="32" t="s">
        <v>3738</v>
      </c>
      <c r="Y366" s="32" t="s">
        <v>3739</v>
      </c>
      <c r="Z366" s="32" t="s">
        <v>1225</v>
      </c>
      <c r="AA366" s="32" t="s">
        <v>1225</v>
      </c>
      <c r="AB366" s="32" t="s">
        <v>1225</v>
      </c>
      <c r="AC366" s="32" t="s">
        <v>1225</v>
      </c>
      <c r="AD366" s="32" t="s">
        <v>1225</v>
      </c>
      <c r="AE366" s="32" t="s">
        <v>1225</v>
      </c>
      <c r="AF366" s="32" t="s">
        <v>1225</v>
      </c>
      <c r="AG366" s="32" t="s">
        <v>1225</v>
      </c>
      <c r="AH366" s="32" t="s">
        <v>1225</v>
      </c>
      <c r="AI366" s="32" t="s">
        <v>1225</v>
      </c>
      <c r="AJ366" s="32" t="s">
        <v>1225</v>
      </c>
      <c r="AK366" s="32" t="s">
        <v>1225</v>
      </c>
      <c r="AL366" s="32" t="s">
        <v>1225</v>
      </c>
      <c r="AM366" s="32" t="s">
        <v>1225</v>
      </c>
      <c r="AN366" s="32" t="s">
        <v>1225</v>
      </c>
      <c r="AO366" s="32" t="s">
        <v>1225</v>
      </c>
      <c r="AP366" s="32" t="s">
        <v>1225</v>
      </c>
      <c r="AQ366" s="32" t="s">
        <v>1225</v>
      </c>
      <c r="AR366" s="32" t="s">
        <v>1225</v>
      </c>
      <c r="AS366" s="32" t="s">
        <v>1225</v>
      </c>
      <c r="AT366" s="32" t="s">
        <v>1225</v>
      </c>
      <c r="AU366" s="32" t="s">
        <v>1225</v>
      </c>
      <c r="AV366" s="32" t="s">
        <v>1225</v>
      </c>
      <c r="AW366" s="32" t="s">
        <v>1225</v>
      </c>
      <c r="AX366" s="32">
        <v>2022</v>
      </c>
      <c r="AY366" s="32">
        <v>10</v>
      </c>
      <c r="AZ366" s="32" t="s">
        <v>1225</v>
      </c>
      <c r="BA366" s="32" t="s">
        <v>1225</v>
      </c>
      <c r="BB366" s="32" t="s">
        <v>1225</v>
      </c>
      <c r="BC366" s="32" t="s">
        <v>1225</v>
      </c>
      <c r="BD366" s="32" t="s">
        <v>1225</v>
      </c>
      <c r="BE366" s="32">
        <v>64095</v>
      </c>
      <c r="BF366" s="32">
        <v>64104</v>
      </c>
      <c r="BG366" s="32" t="s">
        <v>1225</v>
      </c>
      <c r="BH366" s="32" t="s">
        <v>3740</v>
      </c>
      <c r="BI366" s="32" t="str">
        <f>HYPERLINK("http://dx.doi.org/10.1109/ACCESS.2022.3183795","http://dx.doi.org/10.1109/ACCESS.2022.3183795")</f>
        <v>http://dx.doi.org/10.1109/ACCESS.2022.3183795</v>
      </c>
      <c r="BJ366" s="32" t="s">
        <v>1225</v>
      </c>
      <c r="BK366" s="32" t="s">
        <v>1225</v>
      </c>
      <c r="BL366" s="32" t="s">
        <v>1225</v>
      </c>
      <c r="BM366" s="32" t="s">
        <v>1225</v>
      </c>
      <c r="BN366" s="32" t="s">
        <v>1225</v>
      </c>
      <c r="BO366" s="32" t="s">
        <v>1225</v>
      </c>
      <c r="BP366" s="32" t="s">
        <v>1225</v>
      </c>
      <c r="BQ366" s="32" t="s">
        <v>1225</v>
      </c>
      <c r="BR366" s="32" t="s">
        <v>1225</v>
      </c>
      <c r="BS366" s="32" t="s">
        <v>1225</v>
      </c>
      <c r="BT366" s="32" t="s">
        <v>1225</v>
      </c>
      <c r="BU366" s="32" t="s">
        <v>1225</v>
      </c>
      <c r="BV366" s="32" t="s">
        <v>1225</v>
      </c>
      <c r="BW366" s="32" t="str">
        <f t="shared" si="10"/>
        <v>View Full Record in Web of Science</v>
      </c>
      <c r="BY366" s="41" t="str">
        <f>IF(Deletion!J366=TRUE,"Yes","No")</f>
        <v>Yes</v>
      </c>
    </row>
    <row r="367" spans="1:77" x14ac:dyDescent="0.15">
      <c r="A367" s="32">
        <f t="shared" si="11"/>
        <v>366</v>
      </c>
      <c r="D367" s="32" t="s">
        <v>1223</v>
      </c>
      <c r="E367" s="32" t="s">
        <v>3741</v>
      </c>
      <c r="F367" s="32" t="s">
        <v>1225</v>
      </c>
      <c r="G367" s="32" t="s">
        <v>1225</v>
      </c>
      <c r="H367" s="32" t="s">
        <v>1225</v>
      </c>
      <c r="I367" s="32" t="s">
        <v>3742</v>
      </c>
      <c r="J367" s="32" t="s">
        <v>1225</v>
      </c>
      <c r="K367" s="32" t="s">
        <v>1225</v>
      </c>
      <c r="L367" s="32" t="s">
        <v>3743</v>
      </c>
      <c r="M367" s="32" t="s">
        <v>1743</v>
      </c>
      <c r="N367" s="32" t="s">
        <v>1225</v>
      </c>
      <c r="O367" s="32" t="s">
        <v>1225</v>
      </c>
      <c r="P367" s="32" t="s">
        <v>1225</v>
      </c>
      <c r="Q367" s="32" t="s">
        <v>1227</v>
      </c>
      <c r="R367" s="32" t="s">
        <v>1225</v>
      </c>
      <c r="S367" s="32" t="s">
        <v>1225</v>
      </c>
      <c r="T367" s="32" t="s">
        <v>1225</v>
      </c>
      <c r="U367" s="32" t="s">
        <v>1225</v>
      </c>
      <c r="V367" s="32" t="s">
        <v>1225</v>
      </c>
      <c r="W367" s="32" t="s">
        <v>3744</v>
      </c>
      <c r="X367" s="32" t="s">
        <v>3745</v>
      </c>
      <c r="Y367" s="32" t="s">
        <v>3746</v>
      </c>
      <c r="Z367" s="32" t="s">
        <v>1225</v>
      </c>
      <c r="AA367" s="32" t="s">
        <v>1225</v>
      </c>
      <c r="AB367" s="32" t="s">
        <v>1225</v>
      </c>
      <c r="AC367" s="32" t="s">
        <v>1225</v>
      </c>
      <c r="AD367" s="32" t="s">
        <v>1225</v>
      </c>
      <c r="AE367" s="32" t="s">
        <v>1225</v>
      </c>
      <c r="AF367" s="32" t="s">
        <v>1225</v>
      </c>
      <c r="AG367" s="32" t="s">
        <v>1225</v>
      </c>
      <c r="AH367" s="32" t="s">
        <v>1225</v>
      </c>
      <c r="AI367" s="32" t="s">
        <v>1225</v>
      </c>
      <c r="AJ367" s="32" t="s">
        <v>1225</v>
      </c>
      <c r="AK367" s="32" t="s">
        <v>1225</v>
      </c>
      <c r="AL367" s="32" t="s">
        <v>1225</v>
      </c>
      <c r="AM367" s="32" t="s">
        <v>1225</v>
      </c>
      <c r="AN367" s="32" t="s">
        <v>1225</v>
      </c>
      <c r="AO367" s="32" t="s">
        <v>1225</v>
      </c>
      <c r="AP367" s="32" t="s">
        <v>1225</v>
      </c>
      <c r="AQ367" s="32" t="s">
        <v>1225</v>
      </c>
      <c r="AR367" s="32" t="s">
        <v>1225</v>
      </c>
      <c r="AS367" s="32" t="s">
        <v>1225</v>
      </c>
      <c r="AT367" s="32" t="s">
        <v>1225</v>
      </c>
      <c r="AU367" s="32" t="s">
        <v>1225</v>
      </c>
      <c r="AV367" s="32" t="s">
        <v>1225</v>
      </c>
      <c r="AW367" s="32" t="s">
        <v>1746</v>
      </c>
      <c r="AX367" s="32">
        <v>2020</v>
      </c>
      <c r="AY367" s="32">
        <v>56</v>
      </c>
      <c r="AZ367" s="32">
        <v>5</v>
      </c>
      <c r="BA367" s="32" t="s">
        <v>1747</v>
      </c>
      <c r="BB367" s="32" t="s">
        <v>1225</v>
      </c>
      <c r="BC367" s="32" t="s">
        <v>1225</v>
      </c>
      <c r="BD367" s="32" t="s">
        <v>1225</v>
      </c>
      <c r="BE367" s="32">
        <v>5974</v>
      </c>
      <c r="BF367" s="32">
        <v>5983</v>
      </c>
      <c r="BG367" s="32" t="s">
        <v>1225</v>
      </c>
      <c r="BH367" s="32" t="s">
        <v>3747</v>
      </c>
      <c r="BI367" s="32" t="str">
        <f>HYPERLINK("http://dx.doi.org/10.1109/TIA.2020.2986990","http://dx.doi.org/10.1109/TIA.2020.2986990")</f>
        <v>http://dx.doi.org/10.1109/TIA.2020.2986990</v>
      </c>
      <c r="BJ367" s="32" t="s">
        <v>1225</v>
      </c>
      <c r="BK367" s="32" t="s">
        <v>1225</v>
      </c>
      <c r="BL367" s="32" t="s">
        <v>1225</v>
      </c>
      <c r="BM367" s="32" t="s">
        <v>1225</v>
      </c>
      <c r="BN367" s="32" t="s">
        <v>1225</v>
      </c>
      <c r="BO367" s="32" t="s">
        <v>1225</v>
      </c>
      <c r="BP367" s="32" t="s">
        <v>1225</v>
      </c>
      <c r="BQ367" s="32" t="s">
        <v>1225</v>
      </c>
      <c r="BR367" s="32" t="s">
        <v>1225</v>
      </c>
      <c r="BS367" s="32" t="s">
        <v>1225</v>
      </c>
      <c r="BT367" s="32" t="s">
        <v>1225</v>
      </c>
      <c r="BU367" s="32" t="s">
        <v>1225</v>
      </c>
      <c r="BV367" s="32" t="s">
        <v>1225</v>
      </c>
      <c r="BW367" s="32" t="str">
        <f t="shared" si="10"/>
        <v>View Full Record in Web of Science</v>
      </c>
      <c r="BY367" s="41" t="str">
        <f>IF(Deletion!J367=TRUE,"Yes","No")</f>
        <v>Yes</v>
      </c>
    </row>
    <row r="368" spans="1:77" x14ac:dyDescent="0.15">
      <c r="A368" s="32">
        <f t="shared" si="11"/>
        <v>367</v>
      </c>
      <c r="D368" s="32" t="s">
        <v>1223</v>
      </c>
      <c r="E368" s="32" t="s">
        <v>3748</v>
      </c>
      <c r="F368" s="32" t="s">
        <v>1225</v>
      </c>
      <c r="G368" s="32" t="s">
        <v>1225</v>
      </c>
      <c r="H368" s="32" t="s">
        <v>1225</v>
      </c>
      <c r="I368" s="32" t="s">
        <v>3749</v>
      </c>
      <c r="J368" s="32" t="s">
        <v>1225</v>
      </c>
      <c r="K368" s="32" t="s">
        <v>1225</v>
      </c>
      <c r="L368" s="32" t="s">
        <v>3750</v>
      </c>
      <c r="M368" s="32" t="s">
        <v>124</v>
      </c>
      <c r="N368" s="32" t="s">
        <v>1225</v>
      </c>
      <c r="O368" s="32" t="s">
        <v>1225</v>
      </c>
      <c r="P368" s="32" t="s">
        <v>1225</v>
      </c>
      <c r="Q368" s="32" t="s">
        <v>1227</v>
      </c>
      <c r="R368" s="32" t="s">
        <v>1225</v>
      </c>
      <c r="S368" s="32" t="s">
        <v>1225</v>
      </c>
      <c r="T368" s="32" t="s">
        <v>1225</v>
      </c>
      <c r="U368" s="32" t="s">
        <v>1225</v>
      </c>
      <c r="V368" s="32" t="s">
        <v>1225</v>
      </c>
      <c r="W368" s="32" t="s">
        <v>3751</v>
      </c>
      <c r="X368" s="32" t="s">
        <v>3752</v>
      </c>
      <c r="Y368" s="32" t="s">
        <v>3753</v>
      </c>
      <c r="Z368" s="32" t="s">
        <v>1225</v>
      </c>
      <c r="AA368" s="32" t="s">
        <v>1225</v>
      </c>
      <c r="AB368" s="32" t="s">
        <v>1225</v>
      </c>
      <c r="AC368" s="32" t="s">
        <v>1225</v>
      </c>
      <c r="AD368" s="32" t="s">
        <v>1225</v>
      </c>
      <c r="AE368" s="32" t="s">
        <v>1225</v>
      </c>
      <c r="AF368" s="32" t="s">
        <v>1225</v>
      </c>
      <c r="AG368" s="32" t="s">
        <v>1225</v>
      </c>
      <c r="AH368" s="32" t="s">
        <v>1225</v>
      </c>
      <c r="AI368" s="32" t="s">
        <v>1225</v>
      </c>
      <c r="AJ368" s="32" t="s">
        <v>1225</v>
      </c>
      <c r="AK368" s="32" t="s">
        <v>1225</v>
      </c>
      <c r="AL368" s="32" t="s">
        <v>1225</v>
      </c>
      <c r="AM368" s="32" t="s">
        <v>1225</v>
      </c>
      <c r="AN368" s="32" t="s">
        <v>1225</v>
      </c>
      <c r="AO368" s="32" t="s">
        <v>1225</v>
      </c>
      <c r="AP368" s="32" t="s">
        <v>1225</v>
      </c>
      <c r="AQ368" s="32" t="s">
        <v>1225</v>
      </c>
      <c r="AR368" s="32" t="s">
        <v>1225</v>
      </c>
      <c r="AS368" s="32" t="s">
        <v>1225</v>
      </c>
      <c r="AT368" s="32" t="s">
        <v>1225</v>
      </c>
      <c r="AU368" s="32" t="s">
        <v>1225</v>
      </c>
      <c r="AV368" s="32" t="s">
        <v>1225</v>
      </c>
      <c r="AW368" s="32" t="s">
        <v>1272</v>
      </c>
      <c r="AX368" s="32">
        <v>2022</v>
      </c>
      <c r="AY368" s="32">
        <v>13</v>
      </c>
      <c r="AZ368" s="32">
        <v>2</v>
      </c>
      <c r="BA368" s="32" t="s">
        <v>1225</v>
      </c>
      <c r="BB368" s="32" t="s">
        <v>1225</v>
      </c>
      <c r="BC368" s="32" t="s">
        <v>1225</v>
      </c>
      <c r="BD368" s="32" t="s">
        <v>1225</v>
      </c>
      <c r="BE368" s="32">
        <v>1529</v>
      </c>
      <c r="BF368" s="32">
        <v>1541</v>
      </c>
      <c r="BG368" s="32" t="s">
        <v>1225</v>
      </c>
      <c r="BH368" s="32" t="s">
        <v>3754</v>
      </c>
      <c r="BI368" s="32" t="str">
        <f>HYPERLINK("http://dx.doi.org/10.1109/TSG.2021.3133536","http://dx.doi.org/10.1109/TSG.2021.3133536")</f>
        <v>http://dx.doi.org/10.1109/TSG.2021.3133536</v>
      </c>
      <c r="BJ368" s="32" t="s">
        <v>1225</v>
      </c>
      <c r="BK368" s="32" t="s">
        <v>1225</v>
      </c>
      <c r="BL368" s="32" t="s">
        <v>1225</v>
      </c>
      <c r="BM368" s="32" t="s">
        <v>1225</v>
      </c>
      <c r="BN368" s="32" t="s">
        <v>1225</v>
      </c>
      <c r="BO368" s="32" t="s">
        <v>1225</v>
      </c>
      <c r="BP368" s="32" t="s">
        <v>1225</v>
      </c>
      <c r="BQ368" s="32" t="s">
        <v>1225</v>
      </c>
      <c r="BR368" s="32" t="s">
        <v>1225</v>
      </c>
      <c r="BS368" s="32" t="s">
        <v>1225</v>
      </c>
      <c r="BT368" s="32" t="s">
        <v>1225</v>
      </c>
      <c r="BU368" s="32" t="s">
        <v>1225</v>
      </c>
      <c r="BV368" s="32" t="s">
        <v>1225</v>
      </c>
      <c r="BW368" s="32" t="str">
        <f t="shared" si="10"/>
        <v>View Full Record in Web of Science</v>
      </c>
      <c r="BY368" s="41" t="str">
        <f>IF(Deletion!J368=TRUE,"Yes","No")</f>
        <v>Yes</v>
      </c>
    </row>
    <row r="369" spans="1:77" x14ac:dyDescent="0.15">
      <c r="A369" s="34">
        <f t="shared" si="11"/>
        <v>368</v>
      </c>
      <c r="B369" s="34" t="s">
        <v>4</v>
      </c>
      <c r="C369" s="34" t="s">
        <v>4</v>
      </c>
      <c r="D369" s="34" t="s">
        <v>1223</v>
      </c>
      <c r="E369" s="34" t="s">
        <v>3755</v>
      </c>
      <c r="F369" s="32" t="s">
        <v>1225</v>
      </c>
      <c r="G369" s="32" t="s">
        <v>1225</v>
      </c>
      <c r="H369" s="32" t="s">
        <v>1225</v>
      </c>
      <c r="I369" s="34" t="s">
        <v>3756</v>
      </c>
      <c r="J369" s="32" t="s">
        <v>1225</v>
      </c>
      <c r="K369" s="32" t="s">
        <v>1225</v>
      </c>
      <c r="L369" s="34" t="s">
        <v>3757</v>
      </c>
      <c r="M369" s="34" t="s">
        <v>3758</v>
      </c>
      <c r="N369" s="32" t="s">
        <v>1225</v>
      </c>
      <c r="O369" s="32" t="s">
        <v>1225</v>
      </c>
      <c r="P369" s="32" t="s">
        <v>1225</v>
      </c>
      <c r="Q369" s="34" t="s">
        <v>1227</v>
      </c>
      <c r="R369" s="32" t="s">
        <v>1225</v>
      </c>
      <c r="S369" s="32" t="s">
        <v>1225</v>
      </c>
      <c r="T369" s="32" t="s">
        <v>1225</v>
      </c>
      <c r="U369" s="32" t="s">
        <v>1225</v>
      </c>
      <c r="V369" s="32" t="s">
        <v>1225</v>
      </c>
      <c r="W369" s="34" t="s">
        <v>3759</v>
      </c>
      <c r="X369" s="34" t="s">
        <v>3760</v>
      </c>
      <c r="Y369" s="34" t="s">
        <v>3761</v>
      </c>
      <c r="Z369" s="32" t="s">
        <v>1225</v>
      </c>
      <c r="AA369" s="32" t="s">
        <v>1225</v>
      </c>
      <c r="AB369" s="32" t="s">
        <v>1225</v>
      </c>
      <c r="AC369" s="32" t="s">
        <v>1225</v>
      </c>
      <c r="AD369" s="32" t="s">
        <v>1225</v>
      </c>
      <c r="AE369" s="32" t="s">
        <v>1225</v>
      </c>
      <c r="AF369" s="32" t="s">
        <v>1225</v>
      </c>
      <c r="AG369" s="32" t="s">
        <v>1225</v>
      </c>
      <c r="AH369" s="32" t="s">
        <v>1225</v>
      </c>
      <c r="AI369" s="32" t="s">
        <v>1225</v>
      </c>
      <c r="AJ369" s="32" t="s">
        <v>1225</v>
      </c>
      <c r="AK369" s="32" t="s">
        <v>1225</v>
      </c>
      <c r="AL369" s="32" t="s">
        <v>1225</v>
      </c>
      <c r="AM369" s="32" t="s">
        <v>1225</v>
      </c>
      <c r="AN369" s="32" t="s">
        <v>1225</v>
      </c>
      <c r="AO369" s="32" t="s">
        <v>1225</v>
      </c>
      <c r="AP369" s="32" t="s">
        <v>1225</v>
      </c>
      <c r="AQ369" s="32" t="s">
        <v>1225</v>
      </c>
      <c r="AR369" s="32" t="s">
        <v>1225</v>
      </c>
      <c r="AS369" s="32" t="s">
        <v>1225</v>
      </c>
      <c r="AT369" s="32" t="s">
        <v>1225</v>
      </c>
      <c r="AU369" s="32" t="s">
        <v>1225</v>
      </c>
      <c r="AV369" s="32" t="s">
        <v>1225</v>
      </c>
      <c r="AW369" s="34" t="s">
        <v>1239</v>
      </c>
      <c r="AX369" s="34">
        <v>2019</v>
      </c>
      <c r="AY369" s="32">
        <v>90</v>
      </c>
      <c r="AZ369" s="32" t="s">
        <v>1225</v>
      </c>
      <c r="BA369" s="32" t="s">
        <v>1225</v>
      </c>
      <c r="BB369" s="32" t="s">
        <v>1225</v>
      </c>
      <c r="BC369" s="32" t="s">
        <v>1511</v>
      </c>
      <c r="BD369" s="32" t="s">
        <v>1225</v>
      </c>
      <c r="BE369" s="32" t="s">
        <v>1225</v>
      </c>
      <c r="BF369" s="32" t="s">
        <v>1225</v>
      </c>
      <c r="BG369" s="32">
        <v>101730</v>
      </c>
      <c r="BH369" s="34" t="s">
        <v>3762</v>
      </c>
      <c r="BI369" s="34" t="str">
        <f>HYPERLINK("http://dx.doi.org/10.1016/j.adhoc.2018.07.029","http://dx.doi.org/10.1016/j.adhoc.2018.07.029")</f>
        <v>http://dx.doi.org/10.1016/j.adhoc.2018.07.029</v>
      </c>
      <c r="BJ369" s="32" t="s">
        <v>1225</v>
      </c>
      <c r="BK369" s="32" t="s">
        <v>1225</v>
      </c>
      <c r="BL369" s="32" t="s">
        <v>1225</v>
      </c>
      <c r="BM369" s="32" t="s">
        <v>1225</v>
      </c>
      <c r="BN369" s="32" t="s">
        <v>1225</v>
      </c>
      <c r="BO369" s="32" t="s">
        <v>1225</v>
      </c>
      <c r="BP369" s="32" t="s">
        <v>1225</v>
      </c>
      <c r="BQ369" s="32" t="s">
        <v>1225</v>
      </c>
      <c r="BR369" s="32" t="s">
        <v>1225</v>
      </c>
      <c r="BS369" s="32" t="s">
        <v>1225</v>
      </c>
      <c r="BT369" s="32" t="s">
        <v>1225</v>
      </c>
      <c r="BU369" s="32" t="s">
        <v>1225</v>
      </c>
      <c r="BV369" s="32" t="s">
        <v>1225</v>
      </c>
      <c r="BW369" s="32" t="str">
        <f t="shared" si="10"/>
        <v>View Full Record in Web of Science</v>
      </c>
      <c r="BY369" s="41" t="str">
        <f>IF(Deletion!J369=TRUE,"Yes","No")</f>
        <v>No</v>
      </c>
    </row>
    <row r="370" spans="1:77" x14ac:dyDescent="0.15">
      <c r="A370" s="32">
        <f t="shared" si="11"/>
        <v>369</v>
      </c>
      <c r="D370" s="32" t="s">
        <v>1223</v>
      </c>
      <c r="E370" s="32" t="s">
        <v>3763</v>
      </c>
      <c r="F370" s="32" t="s">
        <v>1225</v>
      </c>
      <c r="G370" s="32" t="s">
        <v>1225</v>
      </c>
      <c r="H370" s="32" t="s">
        <v>1225</v>
      </c>
      <c r="I370" s="32" t="s">
        <v>3764</v>
      </c>
      <c r="J370" s="32" t="s">
        <v>1225</v>
      </c>
      <c r="K370" s="32" t="s">
        <v>1225</v>
      </c>
      <c r="L370" s="32" t="s">
        <v>3765</v>
      </c>
      <c r="M370" s="32" t="s">
        <v>124</v>
      </c>
      <c r="N370" s="32" t="s">
        <v>1225</v>
      </c>
      <c r="O370" s="32" t="s">
        <v>1225</v>
      </c>
      <c r="P370" s="32" t="s">
        <v>1225</v>
      </c>
      <c r="Q370" s="32" t="s">
        <v>1227</v>
      </c>
      <c r="R370" s="32" t="s">
        <v>1225</v>
      </c>
      <c r="S370" s="32" t="s">
        <v>1225</v>
      </c>
      <c r="T370" s="32" t="s">
        <v>1225</v>
      </c>
      <c r="U370" s="32" t="s">
        <v>1225</v>
      </c>
      <c r="V370" s="32" t="s">
        <v>1225</v>
      </c>
      <c r="W370" s="32" t="s">
        <v>3766</v>
      </c>
      <c r="X370" s="32" t="s">
        <v>3767</v>
      </c>
      <c r="Y370" s="32" t="s">
        <v>3768</v>
      </c>
      <c r="Z370" s="32" t="s">
        <v>1225</v>
      </c>
      <c r="AA370" s="32" t="s">
        <v>1225</v>
      </c>
      <c r="AB370" s="32" t="s">
        <v>1225</v>
      </c>
      <c r="AC370" s="32" t="s">
        <v>1225</v>
      </c>
      <c r="AD370" s="32" t="s">
        <v>1225</v>
      </c>
      <c r="AE370" s="32" t="s">
        <v>1225</v>
      </c>
      <c r="AF370" s="32" t="s">
        <v>1225</v>
      </c>
      <c r="AG370" s="32" t="s">
        <v>1225</v>
      </c>
      <c r="AH370" s="32" t="s">
        <v>1225</v>
      </c>
      <c r="AI370" s="32" t="s">
        <v>1225</v>
      </c>
      <c r="AJ370" s="32" t="s">
        <v>1225</v>
      </c>
      <c r="AK370" s="32" t="s">
        <v>1225</v>
      </c>
      <c r="AL370" s="32" t="s">
        <v>1225</v>
      </c>
      <c r="AM370" s="32" t="s">
        <v>1225</v>
      </c>
      <c r="AN370" s="32" t="s">
        <v>1225</v>
      </c>
      <c r="AO370" s="32" t="s">
        <v>1225</v>
      </c>
      <c r="AP370" s="32" t="s">
        <v>1225</v>
      </c>
      <c r="AQ370" s="32" t="s">
        <v>1225</v>
      </c>
      <c r="AR370" s="32" t="s">
        <v>1225</v>
      </c>
      <c r="AS370" s="32" t="s">
        <v>1225</v>
      </c>
      <c r="AT370" s="32" t="s">
        <v>1225</v>
      </c>
      <c r="AU370" s="32" t="s">
        <v>1225</v>
      </c>
      <c r="AV370" s="32" t="s">
        <v>1225</v>
      </c>
      <c r="AW370" s="32" t="s">
        <v>1229</v>
      </c>
      <c r="AX370" s="32">
        <v>2021</v>
      </c>
      <c r="AY370" s="32">
        <v>12</v>
      </c>
      <c r="AZ370" s="32">
        <v>6</v>
      </c>
      <c r="BA370" s="32" t="s">
        <v>1225</v>
      </c>
      <c r="BB370" s="32" t="s">
        <v>1225</v>
      </c>
      <c r="BC370" s="32" t="s">
        <v>1225</v>
      </c>
      <c r="BD370" s="32" t="s">
        <v>1225</v>
      </c>
      <c r="BE370" s="32">
        <v>5135</v>
      </c>
      <c r="BF370" s="32">
        <v>5145</v>
      </c>
      <c r="BG370" s="32" t="s">
        <v>1225</v>
      </c>
      <c r="BH370" s="32" t="s">
        <v>3769</v>
      </c>
      <c r="BI370" s="32" t="str">
        <f>HYPERLINK("http://dx.doi.org/10.1109/TSG.2021.3099206","http://dx.doi.org/10.1109/TSG.2021.3099206")</f>
        <v>http://dx.doi.org/10.1109/TSG.2021.3099206</v>
      </c>
      <c r="BJ370" s="32" t="s">
        <v>1225</v>
      </c>
      <c r="BK370" s="32" t="s">
        <v>1225</v>
      </c>
      <c r="BL370" s="32" t="s">
        <v>1225</v>
      </c>
      <c r="BM370" s="32" t="s">
        <v>1225</v>
      </c>
      <c r="BN370" s="32" t="s">
        <v>1225</v>
      </c>
      <c r="BO370" s="32" t="s">
        <v>1225</v>
      </c>
      <c r="BP370" s="32" t="s">
        <v>1225</v>
      </c>
      <c r="BQ370" s="32" t="s">
        <v>1225</v>
      </c>
      <c r="BR370" s="32" t="s">
        <v>1225</v>
      </c>
      <c r="BS370" s="32" t="s">
        <v>1225</v>
      </c>
      <c r="BT370" s="32" t="s">
        <v>1225</v>
      </c>
      <c r="BU370" s="32" t="s">
        <v>1225</v>
      </c>
      <c r="BV370" s="32" t="s">
        <v>1225</v>
      </c>
      <c r="BW370" s="32" t="str">
        <f t="shared" si="10"/>
        <v>View Full Record in Web of Science</v>
      </c>
      <c r="BY370" s="41" t="str">
        <f>IF(Deletion!J370=TRUE,"Yes","No")</f>
        <v>Yes</v>
      </c>
    </row>
    <row r="371" spans="1:77" x14ac:dyDescent="0.15">
      <c r="A371" s="34">
        <f t="shared" si="11"/>
        <v>370</v>
      </c>
      <c r="B371" s="34" t="s">
        <v>4</v>
      </c>
      <c r="C371" s="34" t="s">
        <v>4</v>
      </c>
      <c r="D371" s="34" t="s">
        <v>1223</v>
      </c>
      <c r="E371" s="34" t="s">
        <v>3770</v>
      </c>
      <c r="F371" s="32" t="s">
        <v>1225</v>
      </c>
      <c r="G371" s="32" t="s">
        <v>1225</v>
      </c>
      <c r="H371" s="32" t="s">
        <v>1225</v>
      </c>
      <c r="I371" s="34" t="s">
        <v>3771</v>
      </c>
      <c r="J371" s="32" t="s">
        <v>1225</v>
      </c>
      <c r="K371" s="32" t="s">
        <v>1225</v>
      </c>
      <c r="L371" s="34" t="s">
        <v>3772</v>
      </c>
      <c r="M371" s="34" t="s">
        <v>1743</v>
      </c>
      <c r="N371" s="32" t="s">
        <v>1225</v>
      </c>
      <c r="O371" s="32" t="s">
        <v>1225</v>
      </c>
      <c r="P371" s="32" t="s">
        <v>1225</v>
      </c>
      <c r="Q371" s="34" t="s">
        <v>1795</v>
      </c>
      <c r="R371" s="32" t="s">
        <v>1225</v>
      </c>
      <c r="S371" s="32" t="s">
        <v>1225</v>
      </c>
      <c r="T371" s="32" t="s">
        <v>1225</v>
      </c>
      <c r="U371" s="32" t="s">
        <v>1225</v>
      </c>
      <c r="V371" s="32" t="s">
        <v>1225</v>
      </c>
      <c r="W371" s="34" t="s">
        <v>3773</v>
      </c>
      <c r="X371" s="34" t="s">
        <v>3774</v>
      </c>
      <c r="Y371" s="34" t="s">
        <v>3775</v>
      </c>
      <c r="Z371" s="32" t="s">
        <v>1225</v>
      </c>
      <c r="AA371" s="32" t="s">
        <v>1225</v>
      </c>
      <c r="AB371" s="32" t="s">
        <v>1225</v>
      </c>
      <c r="AC371" s="32" t="s">
        <v>1225</v>
      </c>
      <c r="AD371" s="32" t="s">
        <v>1225</v>
      </c>
      <c r="AE371" s="32" t="s">
        <v>1225</v>
      </c>
      <c r="AF371" s="32" t="s">
        <v>1225</v>
      </c>
      <c r="AG371" s="32" t="s">
        <v>1225</v>
      </c>
      <c r="AH371" s="32" t="s">
        <v>1225</v>
      </c>
      <c r="AI371" s="32" t="s">
        <v>1225</v>
      </c>
      <c r="AJ371" s="32" t="s">
        <v>1225</v>
      </c>
      <c r="AK371" s="32" t="s">
        <v>1225</v>
      </c>
      <c r="AL371" s="32" t="s">
        <v>1225</v>
      </c>
      <c r="AM371" s="32" t="s">
        <v>1225</v>
      </c>
      <c r="AN371" s="32" t="s">
        <v>1225</v>
      </c>
      <c r="AO371" s="32" t="s">
        <v>1225</v>
      </c>
      <c r="AP371" s="32" t="s">
        <v>1225</v>
      </c>
      <c r="AQ371" s="32" t="s">
        <v>1225</v>
      </c>
      <c r="AR371" s="32" t="s">
        <v>1225</v>
      </c>
      <c r="AS371" s="32" t="s">
        <v>1225</v>
      </c>
      <c r="AT371" s="32" t="s">
        <v>1225</v>
      </c>
      <c r="AU371" s="32" t="s">
        <v>1225</v>
      </c>
      <c r="AV371" s="32" t="s">
        <v>1225</v>
      </c>
      <c r="AW371" s="34" t="s">
        <v>1229</v>
      </c>
      <c r="AX371" s="34">
        <v>2020</v>
      </c>
      <c r="AY371" s="32">
        <v>56</v>
      </c>
      <c r="AZ371" s="32">
        <v>6</v>
      </c>
      <c r="BA371" s="32" t="s">
        <v>1225</v>
      </c>
      <c r="BB371" s="32" t="s">
        <v>1225</v>
      </c>
      <c r="BC371" s="32" t="s">
        <v>1225</v>
      </c>
      <c r="BD371" s="32" t="s">
        <v>1225</v>
      </c>
      <c r="BE371" s="32">
        <v>6914</v>
      </c>
      <c r="BF371" s="32">
        <v>6924</v>
      </c>
      <c r="BG371" s="32" t="s">
        <v>1225</v>
      </c>
      <c r="BH371" s="34" t="s">
        <v>3776</v>
      </c>
      <c r="BI371" s="34" t="str">
        <f>HYPERLINK("http://dx.doi.org/10.1109/TIA.2020.3017563","http://dx.doi.org/10.1109/TIA.2020.3017563")</f>
        <v>http://dx.doi.org/10.1109/TIA.2020.3017563</v>
      </c>
      <c r="BJ371" s="32" t="s">
        <v>1225</v>
      </c>
      <c r="BK371" s="32" t="s">
        <v>1225</v>
      </c>
      <c r="BL371" s="32" t="s">
        <v>1225</v>
      </c>
      <c r="BM371" s="32" t="s">
        <v>1225</v>
      </c>
      <c r="BN371" s="32" t="s">
        <v>1225</v>
      </c>
      <c r="BO371" s="32" t="s">
        <v>1225</v>
      </c>
      <c r="BP371" s="32" t="s">
        <v>1225</v>
      </c>
      <c r="BQ371" s="32" t="s">
        <v>1225</v>
      </c>
      <c r="BR371" s="32" t="s">
        <v>1225</v>
      </c>
      <c r="BS371" s="32" t="s">
        <v>1225</v>
      </c>
      <c r="BT371" s="32" t="s">
        <v>1225</v>
      </c>
      <c r="BU371" s="32" t="s">
        <v>1225</v>
      </c>
      <c r="BV371" s="32" t="s">
        <v>1225</v>
      </c>
      <c r="BW371" s="32" t="str">
        <f t="shared" si="10"/>
        <v>View Full Record in Web of Science</v>
      </c>
      <c r="BY371" s="41" t="str">
        <f>IF(Deletion!J371=TRUE,"Yes","No")</f>
        <v>Yes</v>
      </c>
    </row>
    <row r="372" spans="1:77" x14ac:dyDescent="0.15">
      <c r="A372" s="38">
        <f t="shared" si="11"/>
        <v>371</v>
      </c>
      <c r="B372" s="38" t="s">
        <v>1413</v>
      </c>
      <c r="C372" s="38" t="s">
        <v>1413</v>
      </c>
      <c r="D372" s="38" t="s">
        <v>1223</v>
      </c>
      <c r="E372" s="38" t="s">
        <v>3777</v>
      </c>
      <c r="F372" s="32" t="s">
        <v>1225</v>
      </c>
      <c r="G372" s="32" t="s">
        <v>1225</v>
      </c>
      <c r="H372" s="32" t="s">
        <v>1225</v>
      </c>
      <c r="I372" s="38" t="s">
        <v>3778</v>
      </c>
      <c r="J372" s="32" t="s">
        <v>1225</v>
      </c>
      <c r="K372" s="32" t="s">
        <v>1225</v>
      </c>
      <c r="L372" s="38" t="s">
        <v>3779</v>
      </c>
      <c r="M372" s="38" t="s">
        <v>422</v>
      </c>
      <c r="N372" s="32" t="s">
        <v>1225</v>
      </c>
      <c r="O372" s="32" t="s">
        <v>1225</v>
      </c>
      <c r="P372" s="32" t="s">
        <v>1225</v>
      </c>
      <c r="Q372" s="38" t="s">
        <v>1417</v>
      </c>
      <c r="R372" s="32" t="s">
        <v>1225</v>
      </c>
      <c r="S372" s="32" t="s">
        <v>1225</v>
      </c>
      <c r="T372" s="32" t="s">
        <v>1225</v>
      </c>
      <c r="U372" s="32" t="s">
        <v>1225</v>
      </c>
      <c r="V372" s="32" t="s">
        <v>1225</v>
      </c>
      <c r="W372" s="38" t="s">
        <v>3780</v>
      </c>
      <c r="X372" s="38" t="s">
        <v>3781</v>
      </c>
      <c r="Y372" s="38" t="s">
        <v>3782</v>
      </c>
      <c r="Z372" s="32" t="s">
        <v>1225</v>
      </c>
      <c r="AA372" s="32" t="s">
        <v>1225</v>
      </c>
      <c r="AB372" s="32" t="s">
        <v>1225</v>
      </c>
      <c r="AC372" s="32" t="s">
        <v>1225</v>
      </c>
      <c r="AD372" s="32" t="s">
        <v>1225</v>
      </c>
      <c r="AE372" s="32" t="s">
        <v>1225</v>
      </c>
      <c r="AF372" s="32" t="s">
        <v>1225</v>
      </c>
      <c r="AG372" s="32" t="s">
        <v>1225</v>
      </c>
      <c r="AH372" s="32" t="s">
        <v>1225</v>
      </c>
      <c r="AI372" s="32" t="s">
        <v>1225</v>
      </c>
      <c r="AJ372" s="32" t="s">
        <v>1225</v>
      </c>
      <c r="AK372" s="32" t="s">
        <v>1225</v>
      </c>
      <c r="AL372" s="32" t="s">
        <v>1225</v>
      </c>
      <c r="AM372" s="32" t="s">
        <v>1225</v>
      </c>
      <c r="AN372" s="32" t="s">
        <v>1225</v>
      </c>
      <c r="AO372" s="32" t="s">
        <v>1225</v>
      </c>
      <c r="AP372" s="32" t="s">
        <v>1225</v>
      </c>
      <c r="AQ372" s="32" t="s">
        <v>1225</v>
      </c>
      <c r="AR372" s="32" t="s">
        <v>1225</v>
      </c>
      <c r="AS372" s="32" t="s">
        <v>1225</v>
      </c>
      <c r="AT372" s="32" t="s">
        <v>1225</v>
      </c>
      <c r="AU372" s="32" t="s">
        <v>1225</v>
      </c>
      <c r="AV372" s="32" t="s">
        <v>1225</v>
      </c>
      <c r="AW372" s="38" t="s">
        <v>1285</v>
      </c>
      <c r="AX372" s="38">
        <v>2022</v>
      </c>
      <c r="AY372" s="32">
        <v>15</v>
      </c>
      <c r="AZ372" s="32">
        <v>9</v>
      </c>
      <c r="BA372" s="32" t="s">
        <v>1225</v>
      </c>
      <c r="BB372" s="32" t="s">
        <v>1225</v>
      </c>
      <c r="BC372" s="32" t="s">
        <v>1225</v>
      </c>
      <c r="BD372" s="32" t="s">
        <v>1225</v>
      </c>
      <c r="BE372" s="32" t="s">
        <v>1225</v>
      </c>
      <c r="BF372" s="32" t="s">
        <v>1225</v>
      </c>
      <c r="BG372" s="32">
        <v>3227</v>
      </c>
      <c r="BH372" s="38" t="s">
        <v>3783</v>
      </c>
      <c r="BI372" s="38" t="str">
        <f>HYPERLINK("http://dx.doi.org/10.3390/en15093227","http://dx.doi.org/10.3390/en15093227")</f>
        <v>http://dx.doi.org/10.3390/en15093227</v>
      </c>
      <c r="BJ372" s="32" t="s">
        <v>1225</v>
      </c>
      <c r="BK372" s="32" t="s">
        <v>1225</v>
      </c>
      <c r="BL372" s="32" t="s">
        <v>1225</v>
      </c>
      <c r="BM372" s="32" t="s">
        <v>1225</v>
      </c>
      <c r="BN372" s="32" t="s">
        <v>1225</v>
      </c>
      <c r="BO372" s="32" t="s">
        <v>1225</v>
      </c>
      <c r="BP372" s="32" t="s">
        <v>1225</v>
      </c>
      <c r="BQ372" s="32" t="s">
        <v>1225</v>
      </c>
      <c r="BR372" s="32" t="s">
        <v>1225</v>
      </c>
      <c r="BS372" s="32" t="s">
        <v>1225</v>
      </c>
      <c r="BT372" s="32" t="s">
        <v>1225</v>
      </c>
      <c r="BU372" s="32" t="s">
        <v>1225</v>
      </c>
      <c r="BV372" s="32" t="s">
        <v>1225</v>
      </c>
      <c r="BW372" s="32" t="str">
        <f t="shared" si="10"/>
        <v>View Full Record in Web of Science</v>
      </c>
      <c r="BY372" s="41" t="str">
        <f>IF(Deletion!J372=TRUE,"Yes","No")</f>
        <v>Yes</v>
      </c>
    </row>
    <row r="373" spans="1:77" x14ac:dyDescent="0.15">
      <c r="A373" s="32">
        <f t="shared" si="11"/>
        <v>372</v>
      </c>
      <c r="D373" s="32" t="s">
        <v>1223</v>
      </c>
      <c r="E373" s="32" t="s">
        <v>3784</v>
      </c>
      <c r="F373" s="32" t="s">
        <v>1225</v>
      </c>
      <c r="G373" s="32" t="s">
        <v>1225</v>
      </c>
      <c r="H373" s="32" t="s">
        <v>1225</v>
      </c>
      <c r="I373" s="32" t="s">
        <v>3785</v>
      </c>
      <c r="J373" s="32" t="s">
        <v>1225</v>
      </c>
      <c r="K373" s="32" t="s">
        <v>1225</v>
      </c>
      <c r="L373" s="32" t="s">
        <v>3786</v>
      </c>
      <c r="M373" s="32" t="s">
        <v>114</v>
      </c>
      <c r="N373" s="32" t="s">
        <v>1225</v>
      </c>
      <c r="O373" s="32" t="s">
        <v>1225</v>
      </c>
      <c r="P373" s="32" t="s">
        <v>1225</v>
      </c>
      <c r="Q373" s="32" t="s">
        <v>1688</v>
      </c>
      <c r="R373" s="32" t="s">
        <v>1225</v>
      </c>
      <c r="S373" s="32" t="s">
        <v>1225</v>
      </c>
      <c r="T373" s="32" t="s">
        <v>1225</v>
      </c>
      <c r="U373" s="32" t="s">
        <v>1225</v>
      </c>
      <c r="V373" s="32" t="s">
        <v>1225</v>
      </c>
      <c r="W373" s="32" t="s">
        <v>3787</v>
      </c>
      <c r="X373" s="32" t="s">
        <v>3788</v>
      </c>
      <c r="Y373" s="32" t="s">
        <v>3789</v>
      </c>
      <c r="Z373" s="32" t="s">
        <v>1225</v>
      </c>
      <c r="AA373" s="32" t="s">
        <v>1225</v>
      </c>
      <c r="AB373" s="32" t="s">
        <v>1225</v>
      </c>
      <c r="AC373" s="32" t="s">
        <v>1225</v>
      </c>
      <c r="AD373" s="32" t="s">
        <v>1225</v>
      </c>
      <c r="AE373" s="32" t="s">
        <v>1225</v>
      </c>
      <c r="AF373" s="32" t="s">
        <v>1225</v>
      </c>
      <c r="AG373" s="32" t="s">
        <v>1225</v>
      </c>
      <c r="AH373" s="32" t="s">
        <v>1225</v>
      </c>
      <c r="AI373" s="32" t="s">
        <v>1225</v>
      </c>
      <c r="AJ373" s="32" t="s">
        <v>1225</v>
      </c>
      <c r="AK373" s="32" t="s">
        <v>1225</v>
      </c>
      <c r="AL373" s="32" t="s">
        <v>1225</v>
      </c>
      <c r="AM373" s="32" t="s">
        <v>1225</v>
      </c>
      <c r="AN373" s="32" t="s">
        <v>1225</v>
      </c>
      <c r="AO373" s="32" t="s">
        <v>1225</v>
      </c>
      <c r="AP373" s="32" t="s">
        <v>1225</v>
      </c>
      <c r="AQ373" s="32" t="s">
        <v>1225</v>
      </c>
      <c r="AR373" s="32" t="s">
        <v>1225</v>
      </c>
      <c r="AS373" s="32" t="s">
        <v>1225</v>
      </c>
      <c r="AT373" s="32" t="s">
        <v>1225</v>
      </c>
      <c r="AU373" s="32" t="s">
        <v>1225</v>
      </c>
      <c r="AV373" s="32" t="s">
        <v>1225</v>
      </c>
      <c r="AW373" s="32" t="s">
        <v>1225</v>
      </c>
      <c r="AX373" s="32" t="s">
        <v>1225</v>
      </c>
      <c r="AY373" s="32" t="s">
        <v>1225</v>
      </c>
      <c r="AZ373" s="32" t="s">
        <v>1225</v>
      </c>
      <c r="BA373" s="32" t="s">
        <v>1225</v>
      </c>
      <c r="BB373" s="32" t="s">
        <v>1225</v>
      </c>
      <c r="BC373" s="32" t="s">
        <v>1225</v>
      </c>
      <c r="BD373" s="32" t="s">
        <v>1225</v>
      </c>
      <c r="BE373" s="32" t="s">
        <v>1225</v>
      </c>
      <c r="BF373" s="32" t="s">
        <v>1225</v>
      </c>
      <c r="BG373" s="32" t="s">
        <v>1225</v>
      </c>
      <c r="BH373" s="32" t="s">
        <v>3790</v>
      </c>
      <c r="BI373" s="32" t="str">
        <f>HYPERLINK("http://dx.doi.org/10.1109/TITS.2021.3058514","http://dx.doi.org/10.1109/TITS.2021.3058514")</f>
        <v>http://dx.doi.org/10.1109/TITS.2021.3058514</v>
      </c>
      <c r="BJ373" s="32" t="s">
        <v>1225</v>
      </c>
      <c r="BK373" s="32" t="s">
        <v>2198</v>
      </c>
      <c r="BL373" s="32" t="s">
        <v>1225</v>
      </c>
      <c r="BM373" s="32" t="s">
        <v>1225</v>
      </c>
      <c r="BN373" s="32" t="s">
        <v>1225</v>
      </c>
      <c r="BO373" s="32" t="s">
        <v>1225</v>
      </c>
      <c r="BP373" s="32" t="s">
        <v>1225</v>
      </c>
      <c r="BQ373" s="32" t="s">
        <v>1225</v>
      </c>
      <c r="BR373" s="32" t="s">
        <v>1225</v>
      </c>
      <c r="BS373" s="32" t="s">
        <v>1225</v>
      </c>
      <c r="BT373" s="32" t="s">
        <v>1225</v>
      </c>
      <c r="BU373" s="32" t="s">
        <v>1225</v>
      </c>
      <c r="BV373" s="32" t="s">
        <v>1225</v>
      </c>
      <c r="BW373" s="32" t="str">
        <f t="shared" si="10"/>
        <v>View Full Record in Web of Science</v>
      </c>
      <c r="BY373" s="41" t="str">
        <f>IF(Deletion!J373=TRUE,"Yes","No")</f>
        <v>Yes</v>
      </c>
    </row>
    <row r="374" spans="1:77" x14ac:dyDescent="0.15">
      <c r="A374" s="32">
        <f t="shared" si="11"/>
        <v>373</v>
      </c>
      <c r="D374" s="32" t="s">
        <v>1223</v>
      </c>
      <c r="E374" s="32" t="s">
        <v>3791</v>
      </c>
      <c r="F374" s="32" t="s">
        <v>1225</v>
      </c>
      <c r="G374" s="32" t="s">
        <v>1225</v>
      </c>
      <c r="H374" s="32" t="s">
        <v>1225</v>
      </c>
      <c r="I374" s="32" t="s">
        <v>3792</v>
      </c>
      <c r="J374" s="32" t="s">
        <v>1225</v>
      </c>
      <c r="K374" s="32" t="s">
        <v>1225</v>
      </c>
      <c r="L374" s="32" t="s">
        <v>3793</v>
      </c>
      <c r="M374" s="32" t="s">
        <v>2051</v>
      </c>
      <c r="N374" s="32" t="s">
        <v>1225</v>
      </c>
      <c r="O374" s="32" t="s">
        <v>1225</v>
      </c>
      <c r="P374" s="32" t="s">
        <v>1225</v>
      </c>
      <c r="Q374" s="32" t="s">
        <v>1227</v>
      </c>
      <c r="R374" s="32" t="s">
        <v>1225</v>
      </c>
      <c r="S374" s="32" t="s">
        <v>1225</v>
      </c>
      <c r="T374" s="32" t="s">
        <v>1225</v>
      </c>
      <c r="U374" s="32" t="s">
        <v>1225</v>
      </c>
      <c r="V374" s="32" t="s">
        <v>1225</v>
      </c>
      <c r="W374" s="32" t="s">
        <v>3794</v>
      </c>
      <c r="X374" s="32" t="s">
        <v>1225</v>
      </c>
      <c r="Y374" s="32" t="s">
        <v>3795</v>
      </c>
      <c r="Z374" s="32" t="s">
        <v>1225</v>
      </c>
      <c r="AA374" s="32" t="s">
        <v>1225</v>
      </c>
      <c r="AB374" s="32" t="s">
        <v>1225</v>
      </c>
      <c r="AC374" s="32" t="s">
        <v>1225</v>
      </c>
      <c r="AD374" s="32" t="s">
        <v>1225</v>
      </c>
      <c r="AE374" s="32" t="s">
        <v>1225</v>
      </c>
      <c r="AF374" s="32" t="s">
        <v>1225</v>
      </c>
      <c r="AG374" s="32" t="s">
        <v>1225</v>
      </c>
      <c r="AH374" s="32" t="s">
        <v>1225</v>
      </c>
      <c r="AI374" s="32" t="s">
        <v>1225</v>
      </c>
      <c r="AJ374" s="32" t="s">
        <v>1225</v>
      </c>
      <c r="AK374" s="32" t="s">
        <v>1225</v>
      </c>
      <c r="AL374" s="32" t="s">
        <v>1225</v>
      </c>
      <c r="AM374" s="32" t="s">
        <v>1225</v>
      </c>
      <c r="AN374" s="32" t="s">
        <v>1225</v>
      </c>
      <c r="AO374" s="32" t="s">
        <v>1225</v>
      </c>
      <c r="AP374" s="32" t="s">
        <v>1225</v>
      </c>
      <c r="AQ374" s="32" t="s">
        <v>1225</v>
      </c>
      <c r="AR374" s="32" t="s">
        <v>1225</v>
      </c>
      <c r="AS374" s="32" t="s">
        <v>1225</v>
      </c>
      <c r="AT374" s="32" t="s">
        <v>1225</v>
      </c>
      <c r="AU374" s="32" t="s">
        <v>1225</v>
      </c>
      <c r="AV374" s="32" t="s">
        <v>1225</v>
      </c>
      <c r="AW374" s="32" t="s">
        <v>1298</v>
      </c>
      <c r="AX374" s="32">
        <v>2022</v>
      </c>
      <c r="AY374" s="32">
        <v>18</v>
      </c>
      <c r="AZ374" s="32">
        <v>9</v>
      </c>
      <c r="BA374" s="32" t="s">
        <v>1225</v>
      </c>
      <c r="BB374" s="32" t="s">
        <v>1225</v>
      </c>
      <c r="BC374" s="32" t="s">
        <v>1225</v>
      </c>
      <c r="BD374" s="32" t="s">
        <v>1225</v>
      </c>
      <c r="BE374" s="32">
        <v>6192</v>
      </c>
      <c r="BF374" s="32">
        <v>6202</v>
      </c>
      <c r="BG374" s="32" t="s">
        <v>1225</v>
      </c>
      <c r="BH374" s="32" t="s">
        <v>3796</v>
      </c>
      <c r="BI374" s="32" t="str">
        <f>HYPERLINK("http://dx.doi.org/10.1109/TII.2022.3159189","http://dx.doi.org/10.1109/TII.2022.3159189")</f>
        <v>http://dx.doi.org/10.1109/TII.2022.3159189</v>
      </c>
      <c r="BJ374" s="32" t="s">
        <v>1225</v>
      </c>
      <c r="BK374" s="32" t="s">
        <v>1225</v>
      </c>
      <c r="BL374" s="32" t="s">
        <v>1225</v>
      </c>
      <c r="BM374" s="32" t="s">
        <v>1225</v>
      </c>
      <c r="BN374" s="32" t="s">
        <v>1225</v>
      </c>
      <c r="BO374" s="32" t="s">
        <v>1225</v>
      </c>
      <c r="BP374" s="32" t="s">
        <v>1225</v>
      </c>
      <c r="BQ374" s="32" t="s">
        <v>1225</v>
      </c>
      <c r="BR374" s="32" t="s">
        <v>1225</v>
      </c>
      <c r="BS374" s="32" t="s">
        <v>1225</v>
      </c>
      <c r="BT374" s="32" t="s">
        <v>1225</v>
      </c>
      <c r="BU374" s="32" t="s">
        <v>1225</v>
      </c>
      <c r="BV374" s="32" t="s">
        <v>1225</v>
      </c>
      <c r="BW374" s="32" t="str">
        <f t="shared" si="10"/>
        <v>View Full Record in Web of Science</v>
      </c>
      <c r="BY374" s="41" t="str">
        <f>IF(Deletion!J374=TRUE,"Yes","No")</f>
        <v>Yes</v>
      </c>
    </row>
    <row r="375" spans="1:77" x14ac:dyDescent="0.15">
      <c r="A375" s="34">
        <f t="shared" si="11"/>
        <v>374</v>
      </c>
      <c r="B375" s="34" t="s">
        <v>4</v>
      </c>
      <c r="C375" s="34" t="s">
        <v>4</v>
      </c>
      <c r="D375" s="34" t="s">
        <v>1223</v>
      </c>
      <c r="E375" s="34" t="s">
        <v>3797</v>
      </c>
      <c r="F375" s="32" t="s">
        <v>1225</v>
      </c>
      <c r="G375" s="32" t="s">
        <v>1225</v>
      </c>
      <c r="H375" s="32" t="s">
        <v>1225</v>
      </c>
      <c r="I375" s="34" t="s">
        <v>3798</v>
      </c>
      <c r="J375" s="32" t="s">
        <v>1225</v>
      </c>
      <c r="K375" s="32" t="s">
        <v>1225</v>
      </c>
      <c r="L375" s="34" t="s">
        <v>3799</v>
      </c>
      <c r="M375" s="34" t="s">
        <v>278</v>
      </c>
      <c r="N375" s="32" t="s">
        <v>1225</v>
      </c>
      <c r="O375" s="32" t="s">
        <v>1225</v>
      </c>
      <c r="P375" s="32" t="s">
        <v>1225</v>
      </c>
      <c r="Q375" s="34" t="s">
        <v>1227</v>
      </c>
      <c r="R375" s="32" t="s">
        <v>1225</v>
      </c>
      <c r="S375" s="32" t="s">
        <v>1225</v>
      </c>
      <c r="T375" s="32" t="s">
        <v>1225</v>
      </c>
      <c r="U375" s="32" t="s">
        <v>1225</v>
      </c>
      <c r="V375" s="32" t="s">
        <v>1225</v>
      </c>
      <c r="W375" s="34" t="s">
        <v>3800</v>
      </c>
      <c r="X375" s="34" t="s">
        <v>3801</v>
      </c>
      <c r="Y375" s="34" t="s">
        <v>3802</v>
      </c>
      <c r="Z375" s="32" t="s">
        <v>1225</v>
      </c>
      <c r="AA375" s="32" t="s">
        <v>1225</v>
      </c>
      <c r="AB375" s="32" t="s">
        <v>1225</v>
      </c>
      <c r="AC375" s="32" t="s">
        <v>1225</v>
      </c>
      <c r="AD375" s="32" t="s">
        <v>1225</v>
      </c>
      <c r="AE375" s="32" t="s">
        <v>1225</v>
      </c>
      <c r="AF375" s="32" t="s">
        <v>1225</v>
      </c>
      <c r="AG375" s="32" t="s">
        <v>1225</v>
      </c>
      <c r="AH375" s="32" t="s">
        <v>1225</v>
      </c>
      <c r="AI375" s="32" t="s">
        <v>1225</v>
      </c>
      <c r="AJ375" s="32" t="s">
        <v>1225</v>
      </c>
      <c r="AK375" s="32" t="s">
        <v>1225</v>
      </c>
      <c r="AL375" s="32" t="s">
        <v>1225</v>
      </c>
      <c r="AM375" s="32" t="s">
        <v>1225</v>
      </c>
      <c r="AN375" s="32" t="s">
        <v>1225</v>
      </c>
      <c r="AO375" s="32" t="s">
        <v>1225</v>
      </c>
      <c r="AP375" s="32" t="s">
        <v>1225</v>
      </c>
      <c r="AQ375" s="32" t="s">
        <v>1225</v>
      </c>
      <c r="AR375" s="32" t="s">
        <v>1225</v>
      </c>
      <c r="AS375" s="32" t="s">
        <v>1225</v>
      </c>
      <c r="AT375" s="32" t="s">
        <v>1225</v>
      </c>
      <c r="AU375" s="32" t="s">
        <v>1225</v>
      </c>
      <c r="AV375" s="32" t="s">
        <v>1225</v>
      </c>
      <c r="AW375" s="34" t="s">
        <v>1317</v>
      </c>
      <c r="AX375" s="34">
        <v>2020</v>
      </c>
      <c r="AY375" s="32">
        <v>52</v>
      </c>
      <c r="AZ375" s="32" t="s">
        <v>1225</v>
      </c>
      <c r="BA375" s="32" t="s">
        <v>1225</v>
      </c>
      <c r="BB375" s="32" t="s">
        <v>1225</v>
      </c>
      <c r="BC375" s="32" t="s">
        <v>1225</v>
      </c>
      <c r="BD375" s="32" t="s">
        <v>1225</v>
      </c>
      <c r="BE375" s="32" t="s">
        <v>1225</v>
      </c>
      <c r="BF375" s="32" t="s">
        <v>1225</v>
      </c>
      <c r="BG375" s="32">
        <v>101862</v>
      </c>
      <c r="BH375" s="34" t="s">
        <v>3803</v>
      </c>
      <c r="BI375" s="34" t="str">
        <f>HYPERLINK("http://dx.doi.org/10.1016/j.scs.2019.101862","http://dx.doi.org/10.1016/j.scs.2019.101862")</f>
        <v>http://dx.doi.org/10.1016/j.scs.2019.101862</v>
      </c>
      <c r="BJ375" s="32" t="s">
        <v>1225</v>
      </c>
      <c r="BK375" s="32" t="s">
        <v>1225</v>
      </c>
      <c r="BL375" s="32" t="s">
        <v>1225</v>
      </c>
      <c r="BM375" s="32" t="s">
        <v>1225</v>
      </c>
      <c r="BN375" s="32" t="s">
        <v>1225</v>
      </c>
      <c r="BO375" s="32" t="s">
        <v>1225</v>
      </c>
      <c r="BP375" s="32" t="s">
        <v>1225</v>
      </c>
      <c r="BQ375" s="32" t="s">
        <v>1225</v>
      </c>
      <c r="BR375" s="32" t="s">
        <v>1225</v>
      </c>
      <c r="BS375" s="32" t="s">
        <v>1225</v>
      </c>
      <c r="BT375" s="32" t="s">
        <v>1225</v>
      </c>
      <c r="BU375" s="32" t="s">
        <v>1225</v>
      </c>
      <c r="BV375" s="32" t="s">
        <v>1225</v>
      </c>
      <c r="BW375" s="32" t="str">
        <f t="shared" si="10"/>
        <v>View Full Record in Web of Science</v>
      </c>
      <c r="BY375" s="41" t="str">
        <f>IF(Deletion!J375=TRUE,"Yes","No")</f>
        <v>No</v>
      </c>
    </row>
    <row r="376" spans="1:77" x14ac:dyDescent="0.15">
      <c r="A376" s="32">
        <f t="shared" si="11"/>
        <v>375</v>
      </c>
      <c r="D376" s="32" t="s">
        <v>1223</v>
      </c>
      <c r="E376" s="32" t="s">
        <v>3804</v>
      </c>
      <c r="F376" s="32" t="s">
        <v>1225</v>
      </c>
      <c r="G376" s="32" t="s">
        <v>1225</v>
      </c>
      <c r="H376" s="32" t="s">
        <v>1225</v>
      </c>
      <c r="I376" s="32" t="s">
        <v>3805</v>
      </c>
      <c r="J376" s="32" t="s">
        <v>1225</v>
      </c>
      <c r="K376" s="32" t="s">
        <v>1225</v>
      </c>
      <c r="L376" s="32" t="s">
        <v>3806</v>
      </c>
      <c r="M376" s="32" t="s">
        <v>3050</v>
      </c>
      <c r="N376" s="32" t="s">
        <v>1225</v>
      </c>
      <c r="O376" s="32" t="s">
        <v>1225</v>
      </c>
      <c r="P376" s="32" t="s">
        <v>1225</v>
      </c>
      <c r="Q376" s="32" t="s">
        <v>1227</v>
      </c>
      <c r="R376" s="32" t="s">
        <v>1225</v>
      </c>
      <c r="S376" s="32" t="s">
        <v>1225</v>
      </c>
      <c r="T376" s="32" t="s">
        <v>1225</v>
      </c>
      <c r="U376" s="32" t="s">
        <v>1225</v>
      </c>
      <c r="V376" s="32" t="s">
        <v>1225</v>
      </c>
      <c r="W376" s="32" t="s">
        <v>3807</v>
      </c>
      <c r="X376" s="32" t="s">
        <v>3808</v>
      </c>
      <c r="Y376" s="32" t="s">
        <v>3809</v>
      </c>
      <c r="Z376" s="32" t="s">
        <v>1225</v>
      </c>
      <c r="AA376" s="32" t="s">
        <v>1225</v>
      </c>
      <c r="AB376" s="32" t="s">
        <v>1225</v>
      </c>
      <c r="AC376" s="32" t="s">
        <v>1225</v>
      </c>
      <c r="AD376" s="32" t="s">
        <v>1225</v>
      </c>
      <c r="AE376" s="32" t="s">
        <v>1225</v>
      </c>
      <c r="AF376" s="32" t="s">
        <v>1225</v>
      </c>
      <c r="AG376" s="32" t="s">
        <v>1225</v>
      </c>
      <c r="AH376" s="32" t="s">
        <v>1225</v>
      </c>
      <c r="AI376" s="32" t="s">
        <v>1225</v>
      </c>
      <c r="AJ376" s="32" t="s">
        <v>1225</v>
      </c>
      <c r="AK376" s="32" t="s">
        <v>1225</v>
      </c>
      <c r="AL376" s="32" t="s">
        <v>1225</v>
      </c>
      <c r="AM376" s="32" t="s">
        <v>1225</v>
      </c>
      <c r="AN376" s="32" t="s">
        <v>1225</v>
      </c>
      <c r="AO376" s="32" t="s">
        <v>1225</v>
      </c>
      <c r="AP376" s="32" t="s">
        <v>1225</v>
      </c>
      <c r="AQ376" s="32" t="s">
        <v>1225</v>
      </c>
      <c r="AR376" s="32" t="s">
        <v>1225</v>
      </c>
      <c r="AS376" s="32" t="s">
        <v>1225</v>
      </c>
      <c r="AT376" s="32" t="s">
        <v>1225</v>
      </c>
      <c r="AU376" s="32" t="s">
        <v>1225</v>
      </c>
      <c r="AV376" s="32" t="s">
        <v>1225</v>
      </c>
      <c r="AW376" s="32" t="s">
        <v>1726</v>
      </c>
      <c r="AX376" s="32">
        <v>2021</v>
      </c>
      <c r="AY376" s="32">
        <v>44</v>
      </c>
      <c r="AZ376" s="32" t="s">
        <v>1225</v>
      </c>
      <c r="BA376" s="32" t="s">
        <v>1225</v>
      </c>
      <c r="BB376" s="32" t="s">
        <v>1225</v>
      </c>
      <c r="BC376" s="32" t="s">
        <v>1225</v>
      </c>
      <c r="BD376" s="32" t="s">
        <v>1225</v>
      </c>
      <c r="BE376" s="32" t="s">
        <v>1225</v>
      </c>
      <c r="BF376" s="32" t="s">
        <v>1225</v>
      </c>
      <c r="BG376" s="32">
        <v>101037</v>
      </c>
      <c r="BH376" s="32" t="s">
        <v>3810</v>
      </c>
      <c r="BI376" s="32" t="str">
        <f>HYPERLINK("http://dx.doi.org/10.1016/j.seta.2021.101037","http://dx.doi.org/10.1016/j.seta.2021.101037")</f>
        <v>http://dx.doi.org/10.1016/j.seta.2021.101037</v>
      </c>
      <c r="BJ376" s="32" t="s">
        <v>1225</v>
      </c>
      <c r="BK376" s="32" t="s">
        <v>2198</v>
      </c>
      <c r="BL376" s="32" t="s">
        <v>1225</v>
      </c>
      <c r="BM376" s="32" t="s">
        <v>1225</v>
      </c>
      <c r="BN376" s="32" t="s">
        <v>1225</v>
      </c>
      <c r="BO376" s="32" t="s">
        <v>1225</v>
      </c>
      <c r="BP376" s="32" t="s">
        <v>1225</v>
      </c>
      <c r="BQ376" s="32" t="s">
        <v>1225</v>
      </c>
      <c r="BR376" s="32" t="s">
        <v>1225</v>
      </c>
      <c r="BS376" s="32" t="s">
        <v>1225</v>
      </c>
      <c r="BT376" s="32" t="s">
        <v>1225</v>
      </c>
      <c r="BU376" s="32" t="s">
        <v>1225</v>
      </c>
      <c r="BV376" s="32" t="s">
        <v>1225</v>
      </c>
      <c r="BW376" s="32" t="str">
        <f t="shared" si="10"/>
        <v>View Full Record in Web of Science</v>
      </c>
      <c r="BY376" s="41" t="str">
        <f>IF(Deletion!J376=TRUE,"Yes","No")</f>
        <v>No</v>
      </c>
    </row>
    <row r="377" spans="1:77" x14ac:dyDescent="0.15">
      <c r="A377" s="32">
        <f t="shared" si="11"/>
        <v>376</v>
      </c>
      <c r="D377" s="32" t="s">
        <v>1223</v>
      </c>
      <c r="E377" s="32" t="s">
        <v>3811</v>
      </c>
      <c r="F377" s="32" t="s">
        <v>1225</v>
      </c>
      <c r="G377" s="32" t="s">
        <v>1225</v>
      </c>
      <c r="H377" s="32" t="s">
        <v>1225</v>
      </c>
      <c r="I377" s="32" t="s">
        <v>3812</v>
      </c>
      <c r="J377" s="32" t="s">
        <v>1225</v>
      </c>
      <c r="K377" s="32" t="s">
        <v>1225</v>
      </c>
      <c r="L377" s="32" t="s">
        <v>3813</v>
      </c>
      <c r="M377" s="32" t="s">
        <v>2044</v>
      </c>
      <c r="N377" s="32" t="s">
        <v>1225</v>
      </c>
      <c r="O377" s="32" t="s">
        <v>1225</v>
      </c>
      <c r="P377" s="32" t="s">
        <v>1225</v>
      </c>
      <c r="Q377" s="32" t="s">
        <v>1227</v>
      </c>
      <c r="R377" s="32" t="s">
        <v>1225</v>
      </c>
      <c r="S377" s="32" t="s">
        <v>1225</v>
      </c>
      <c r="T377" s="32" t="s">
        <v>1225</v>
      </c>
      <c r="U377" s="32" t="s">
        <v>1225</v>
      </c>
      <c r="V377" s="32" t="s">
        <v>1225</v>
      </c>
      <c r="W377" s="32" t="s">
        <v>3814</v>
      </c>
      <c r="X377" s="32" t="s">
        <v>3815</v>
      </c>
      <c r="Y377" s="32" t="s">
        <v>3816</v>
      </c>
      <c r="Z377" s="32" t="s">
        <v>1225</v>
      </c>
      <c r="AA377" s="32" t="s">
        <v>1225</v>
      </c>
      <c r="AB377" s="32" t="s">
        <v>1225</v>
      </c>
      <c r="AC377" s="32" t="s">
        <v>1225</v>
      </c>
      <c r="AD377" s="32" t="s">
        <v>1225</v>
      </c>
      <c r="AE377" s="32" t="s">
        <v>1225</v>
      </c>
      <c r="AF377" s="32" t="s">
        <v>1225</v>
      </c>
      <c r="AG377" s="32" t="s">
        <v>1225</v>
      </c>
      <c r="AH377" s="32" t="s">
        <v>1225</v>
      </c>
      <c r="AI377" s="32" t="s">
        <v>1225</v>
      </c>
      <c r="AJ377" s="32" t="s">
        <v>1225</v>
      </c>
      <c r="AK377" s="32" t="s">
        <v>1225</v>
      </c>
      <c r="AL377" s="32" t="s">
        <v>1225</v>
      </c>
      <c r="AM377" s="32" t="s">
        <v>1225</v>
      </c>
      <c r="AN377" s="32" t="s">
        <v>1225</v>
      </c>
      <c r="AO377" s="32" t="s">
        <v>1225</v>
      </c>
      <c r="AP377" s="32" t="s">
        <v>1225</v>
      </c>
      <c r="AQ377" s="32" t="s">
        <v>1225</v>
      </c>
      <c r="AR377" s="32" t="s">
        <v>1225</v>
      </c>
      <c r="AS377" s="32" t="s">
        <v>1225</v>
      </c>
      <c r="AT377" s="32" t="s">
        <v>1225</v>
      </c>
      <c r="AU377" s="32" t="s">
        <v>1225</v>
      </c>
      <c r="AV377" s="32" t="s">
        <v>1225</v>
      </c>
      <c r="AW377" s="32" t="s">
        <v>1726</v>
      </c>
      <c r="AX377" s="32">
        <v>2019</v>
      </c>
      <c r="AY377" s="32">
        <v>68</v>
      </c>
      <c r="AZ377" s="32">
        <v>4</v>
      </c>
      <c r="BA377" s="32" t="s">
        <v>1225</v>
      </c>
      <c r="BB377" s="32" t="s">
        <v>1225</v>
      </c>
      <c r="BC377" s="32" t="s">
        <v>1225</v>
      </c>
      <c r="BD377" s="32" t="s">
        <v>1225</v>
      </c>
      <c r="BE377" s="32">
        <v>3306</v>
      </c>
      <c r="BF377" s="32">
        <v>3324</v>
      </c>
      <c r="BG377" s="32" t="s">
        <v>1225</v>
      </c>
      <c r="BH377" s="32" t="s">
        <v>3817</v>
      </c>
      <c r="BI377" s="32" t="str">
        <f>HYPERLINK("http://dx.doi.org/10.1109/TVT.2019.2897050","http://dx.doi.org/10.1109/TVT.2019.2897050")</f>
        <v>http://dx.doi.org/10.1109/TVT.2019.2897050</v>
      </c>
      <c r="BJ377" s="32" t="s">
        <v>1225</v>
      </c>
      <c r="BK377" s="32" t="s">
        <v>1225</v>
      </c>
      <c r="BL377" s="32" t="s">
        <v>1225</v>
      </c>
      <c r="BM377" s="32" t="s">
        <v>1225</v>
      </c>
      <c r="BN377" s="32" t="s">
        <v>1225</v>
      </c>
      <c r="BO377" s="32" t="s">
        <v>1225</v>
      </c>
      <c r="BP377" s="32" t="s">
        <v>1225</v>
      </c>
      <c r="BQ377" s="32" t="s">
        <v>1225</v>
      </c>
      <c r="BR377" s="32" t="s">
        <v>1225</v>
      </c>
      <c r="BS377" s="32" t="s">
        <v>1225</v>
      </c>
      <c r="BT377" s="32" t="s">
        <v>1225</v>
      </c>
      <c r="BU377" s="32" t="s">
        <v>1225</v>
      </c>
      <c r="BV377" s="32" t="s">
        <v>1225</v>
      </c>
      <c r="BW377" s="32" t="str">
        <f t="shared" si="10"/>
        <v>View Full Record in Web of Science</v>
      </c>
      <c r="BY377" s="41" t="str">
        <f>IF(Deletion!J377=TRUE,"Yes","No")</f>
        <v>Yes</v>
      </c>
    </row>
    <row r="378" spans="1:77" x14ac:dyDescent="0.15">
      <c r="A378" s="38">
        <f t="shared" si="11"/>
        <v>377</v>
      </c>
      <c r="B378" s="38" t="s">
        <v>1413</v>
      </c>
      <c r="C378" s="38" t="s">
        <v>1413</v>
      </c>
      <c r="D378" s="38" t="s">
        <v>1223</v>
      </c>
      <c r="E378" s="38" t="s">
        <v>2696</v>
      </c>
      <c r="F378" s="32" t="s">
        <v>1225</v>
      </c>
      <c r="G378" s="32" t="s">
        <v>1225</v>
      </c>
      <c r="H378" s="32" t="s">
        <v>1225</v>
      </c>
      <c r="I378" s="38" t="s">
        <v>2697</v>
      </c>
      <c r="J378" s="32" t="s">
        <v>1225</v>
      </c>
      <c r="K378" s="32" t="s">
        <v>1225</v>
      </c>
      <c r="L378" s="38" t="s">
        <v>3818</v>
      </c>
      <c r="M378" s="38" t="s">
        <v>3360</v>
      </c>
      <c r="N378" s="32" t="s">
        <v>1225</v>
      </c>
      <c r="O378" s="32" t="s">
        <v>1225</v>
      </c>
      <c r="P378" s="32" t="s">
        <v>1225</v>
      </c>
      <c r="Q378" s="38" t="s">
        <v>1417</v>
      </c>
      <c r="R378" s="32" t="s">
        <v>1225</v>
      </c>
      <c r="S378" s="32" t="s">
        <v>1225</v>
      </c>
      <c r="T378" s="32" t="s">
        <v>1225</v>
      </c>
      <c r="U378" s="32" t="s">
        <v>1225</v>
      </c>
      <c r="V378" s="32" t="s">
        <v>1225</v>
      </c>
      <c r="W378" s="38" t="s">
        <v>3819</v>
      </c>
      <c r="X378" s="38" t="s">
        <v>3820</v>
      </c>
      <c r="Y378" s="38" t="s">
        <v>3821</v>
      </c>
      <c r="Z378" s="32" t="s">
        <v>1225</v>
      </c>
      <c r="AA378" s="32" t="s">
        <v>1225</v>
      </c>
      <c r="AB378" s="32" t="s">
        <v>1225</v>
      </c>
      <c r="AC378" s="32" t="s">
        <v>1225</v>
      </c>
      <c r="AD378" s="32" t="s">
        <v>1225</v>
      </c>
      <c r="AE378" s="32" t="s">
        <v>1225</v>
      </c>
      <c r="AF378" s="32" t="s">
        <v>1225</v>
      </c>
      <c r="AG378" s="32" t="s">
        <v>1225</v>
      </c>
      <c r="AH378" s="32" t="s">
        <v>1225</v>
      </c>
      <c r="AI378" s="32" t="s">
        <v>1225</v>
      </c>
      <c r="AJ378" s="32" t="s">
        <v>1225</v>
      </c>
      <c r="AK378" s="32" t="s">
        <v>1225</v>
      </c>
      <c r="AL378" s="32" t="s">
        <v>1225</v>
      </c>
      <c r="AM378" s="32" t="s">
        <v>1225</v>
      </c>
      <c r="AN378" s="32" t="s">
        <v>1225</v>
      </c>
      <c r="AO378" s="32" t="s">
        <v>1225</v>
      </c>
      <c r="AP378" s="32" t="s">
        <v>1225</v>
      </c>
      <c r="AQ378" s="32" t="s">
        <v>1225</v>
      </c>
      <c r="AR378" s="32" t="s">
        <v>1225</v>
      </c>
      <c r="AS378" s="32" t="s">
        <v>1225</v>
      </c>
      <c r="AT378" s="32" t="s">
        <v>1225</v>
      </c>
      <c r="AU378" s="32" t="s">
        <v>1225</v>
      </c>
      <c r="AV378" s="32" t="s">
        <v>1225</v>
      </c>
      <c r="AW378" s="38" t="s">
        <v>1256</v>
      </c>
      <c r="AX378" s="38">
        <v>2015</v>
      </c>
      <c r="AY378" s="32">
        <v>9</v>
      </c>
      <c r="AZ378" s="32">
        <v>4</v>
      </c>
      <c r="BA378" s="32" t="s">
        <v>1225</v>
      </c>
      <c r="BB378" s="32" t="s">
        <v>1225</v>
      </c>
      <c r="BC378" s="32" t="s">
        <v>1225</v>
      </c>
      <c r="BD378" s="32" t="s">
        <v>1225</v>
      </c>
      <c r="BE378" s="32">
        <v>1541</v>
      </c>
      <c r="BF378" s="32">
        <v>1553</v>
      </c>
      <c r="BG378" s="32" t="s">
        <v>1225</v>
      </c>
      <c r="BH378" s="38" t="s">
        <v>3822</v>
      </c>
      <c r="BI378" s="38" t="str">
        <f>HYPERLINK("http://dx.doi.org/10.1109/JSYST.2014.2356559","http://dx.doi.org/10.1109/JSYST.2014.2356559")</f>
        <v>http://dx.doi.org/10.1109/JSYST.2014.2356559</v>
      </c>
      <c r="BJ378" s="32" t="s">
        <v>1225</v>
      </c>
      <c r="BK378" s="32" t="s">
        <v>1225</v>
      </c>
      <c r="BL378" s="32" t="s">
        <v>1225</v>
      </c>
      <c r="BM378" s="32" t="s">
        <v>1225</v>
      </c>
      <c r="BN378" s="32" t="s">
        <v>1225</v>
      </c>
      <c r="BO378" s="32" t="s">
        <v>1225</v>
      </c>
      <c r="BP378" s="32" t="s">
        <v>1225</v>
      </c>
      <c r="BQ378" s="32" t="s">
        <v>1225</v>
      </c>
      <c r="BR378" s="32" t="s">
        <v>1225</v>
      </c>
      <c r="BS378" s="32" t="s">
        <v>1225</v>
      </c>
      <c r="BT378" s="32" t="s">
        <v>1225</v>
      </c>
      <c r="BU378" s="32" t="s">
        <v>1225</v>
      </c>
      <c r="BV378" s="32" t="s">
        <v>1225</v>
      </c>
      <c r="BW378" s="32" t="str">
        <f t="shared" si="10"/>
        <v>View Full Record in Web of Science</v>
      </c>
      <c r="BY378" s="41" t="str">
        <f>IF(Deletion!J378=TRUE,"Yes","No")</f>
        <v>Yes</v>
      </c>
    </row>
    <row r="379" spans="1:77" x14ac:dyDescent="0.15">
      <c r="A379" s="34">
        <f t="shared" si="11"/>
        <v>378</v>
      </c>
      <c r="B379" s="34" t="s">
        <v>4</v>
      </c>
      <c r="C379" s="34" t="s">
        <v>4</v>
      </c>
      <c r="D379" s="34" t="s">
        <v>1223</v>
      </c>
      <c r="E379" s="34" t="s">
        <v>3823</v>
      </c>
      <c r="F379" s="32" t="s">
        <v>1225</v>
      </c>
      <c r="G379" s="32" t="s">
        <v>1225</v>
      </c>
      <c r="H379" s="32" t="s">
        <v>1225</v>
      </c>
      <c r="I379" s="34" t="s">
        <v>3824</v>
      </c>
      <c r="J379" s="32" t="s">
        <v>1225</v>
      </c>
      <c r="K379" s="32" t="s">
        <v>1225</v>
      </c>
      <c r="L379" s="34" t="s">
        <v>3825</v>
      </c>
      <c r="M379" s="34" t="s">
        <v>3826</v>
      </c>
      <c r="N379" s="32" t="s">
        <v>1225</v>
      </c>
      <c r="O379" s="32" t="s">
        <v>1225</v>
      </c>
      <c r="P379" s="32" t="s">
        <v>1225</v>
      </c>
      <c r="Q379" s="34" t="s">
        <v>1227</v>
      </c>
      <c r="R379" s="32" t="s">
        <v>1225</v>
      </c>
      <c r="S379" s="32" t="s">
        <v>1225</v>
      </c>
      <c r="T379" s="32" t="s">
        <v>1225</v>
      </c>
      <c r="U379" s="32" t="s">
        <v>1225</v>
      </c>
      <c r="V379" s="32" t="s">
        <v>1225</v>
      </c>
      <c r="W379" s="34" t="s">
        <v>3827</v>
      </c>
      <c r="X379" s="34" t="s">
        <v>3828</v>
      </c>
      <c r="Y379" s="34" t="s">
        <v>3829</v>
      </c>
      <c r="Z379" s="32" t="s">
        <v>1225</v>
      </c>
      <c r="AA379" s="32" t="s">
        <v>1225</v>
      </c>
      <c r="AB379" s="32" t="s">
        <v>1225</v>
      </c>
      <c r="AC379" s="32" t="s">
        <v>1225</v>
      </c>
      <c r="AD379" s="32" t="s">
        <v>1225</v>
      </c>
      <c r="AE379" s="32" t="s">
        <v>1225</v>
      </c>
      <c r="AF379" s="32" t="s">
        <v>1225</v>
      </c>
      <c r="AG379" s="32" t="s">
        <v>1225</v>
      </c>
      <c r="AH379" s="32" t="s">
        <v>1225</v>
      </c>
      <c r="AI379" s="32" t="s">
        <v>1225</v>
      </c>
      <c r="AJ379" s="32" t="s">
        <v>1225</v>
      </c>
      <c r="AK379" s="32" t="s">
        <v>1225</v>
      </c>
      <c r="AL379" s="32" t="s">
        <v>1225</v>
      </c>
      <c r="AM379" s="32" t="s">
        <v>1225</v>
      </c>
      <c r="AN379" s="32" t="s">
        <v>1225</v>
      </c>
      <c r="AO379" s="32" t="s">
        <v>1225</v>
      </c>
      <c r="AP379" s="32" t="s">
        <v>1225</v>
      </c>
      <c r="AQ379" s="32" t="s">
        <v>1225</v>
      </c>
      <c r="AR379" s="32" t="s">
        <v>1225</v>
      </c>
      <c r="AS379" s="32" t="s">
        <v>1225</v>
      </c>
      <c r="AT379" s="32" t="s">
        <v>1225</v>
      </c>
      <c r="AU379" s="32" t="s">
        <v>1225</v>
      </c>
      <c r="AV379" s="32" t="s">
        <v>1225</v>
      </c>
      <c r="AW379" s="34" t="s">
        <v>1256</v>
      </c>
      <c r="AX379" s="34">
        <v>2014</v>
      </c>
      <c r="AY379" s="32">
        <v>110</v>
      </c>
      <c r="AZ379" s="32" t="s">
        <v>1225</v>
      </c>
      <c r="BA379" s="32" t="s">
        <v>1225</v>
      </c>
      <c r="BB379" s="32" t="s">
        <v>1225</v>
      </c>
      <c r="BC379" s="32" t="s">
        <v>1225</v>
      </c>
      <c r="BD379" s="32" t="s">
        <v>1225</v>
      </c>
      <c r="BE379" s="32">
        <v>438</v>
      </c>
      <c r="BF379" s="32">
        <v>451</v>
      </c>
      <c r="BG379" s="32" t="s">
        <v>1225</v>
      </c>
      <c r="BH379" s="34" t="s">
        <v>3830</v>
      </c>
      <c r="BI379" s="34" t="str">
        <f>HYPERLINK("http://dx.doi.org/10.1016/j.solener.2014.09.034","http://dx.doi.org/10.1016/j.solener.2014.09.034")</f>
        <v>http://dx.doi.org/10.1016/j.solener.2014.09.034</v>
      </c>
      <c r="BJ379" s="32" t="s">
        <v>1225</v>
      </c>
      <c r="BK379" s="32" t="s">
        <v>1225</v>
      </c>
      <c r="BL379" s="32" t="s">
        <v>1225</v>
      </c>
      <c r="BM379" s="32" t="s">
        <v>1225</v>
      </c>
      <c r="BN379" s="32" t="s">
        <v>1225</v>
      </c>
      <c r="BO379" s="32" t="s">
        <v>1225</v>
      </c>
      <c r="BP379" s="32" t="s">
        <v>1225</v>
      </c>
      <c r="BQ379" s="32" t="s">
        <v>1225</v>
      </c>
      <c r="BR379" s="32" t="s">
        <v>1225</v>
      </c>
      <c r="BS379" s="32" t="s">
        <v>1225</v>
      </c>
      <c r="BT379" s="32" t="s">
        <v>1225</v>
      </c>
      <c r="BU379" s="32" t="s">
        <v>1225</v>
      </c>
      <c r="BV379" s="32" t="s">
        <v>1225</v>
      </c>
      <c r="BW379" s="32" t="str">
        <f t="shared" si="10"/>
        <v>View Full Record in Web of Science</v>
      </c>
      <c r="BY379" s="41" t="str">
        <f>IF(Deletion!J379=TRUE,"Yes","No")</f>
        <v>No</v>
      </c>
    </row>
    <row r="380" spans="1:77" x14ac:dyDescent="0.15">
      <c r="A380" s="32">
        <f t="shared" si="11"/>
        <v>379</v>
      </c>
      <c r="D380" s="32" t="s">
        <v>1223</v>
      </c>
      <c r="E380" s="32" t="s">
        <v>3831</v>
      </c>
      <c r="F380" s="32" t="s">
        <v>1225</v>
      </c>
      <c r="G380" s="32" t="s">
        <v>1225</v>
      </c>
      <c r="H380" s="32" t="s">
        <v>1225</v>
      </c>
      <c r="I380" s="32" t="s">
        <v>3832</v>
      </c>
      <c r="J380" s="32" t="s">
        <v>1225</v>
      </c>
      <c r="K380" s="32" t="s">
        <v>1225</v>
      </c>
      <c r="L380" s="32" t="s">
        <v>3833</v>
      </c>
      <c r="M380" s="32" t="s">
        <v>313</v>
      </c>
      <c r="N380" s="32" t="s">
        <v>1225</v>
      </c>
      <c r="O380" s="32" t="s">
        <v>1225</v>
      </c>
      <c r="P380" s="32" t="s">
        <v>1225</v>
      </c>
      <c r="Q380" s="32" t="s">
        <v>1227</v>
      </c>
      <c r="R380" s="32" t="s">
        <v>1225</v>
      </c>
      <c r="S380" s="32" t="s">
        <v>1225</v>
      </c>
      <c r="T380" s="32" t="s">
        <v>1225</v>
      </c>
      <c r="U380" s="32" t="s">
        <v>1225</v>
      </c>
      <c r="V380" s="32" t="s">
        <v>1225</v>
      </c>
      <c r="W380" s="32" t="s">
        <v>3834</v>
      </c>
      <c r="X380" s="32" t="s">
        <v>3835</v>
      </c>
      <c r="Y380" s="32" t="s">
        <v>3836</v>
      </c>
      <c r="Z380" s="32" t="s">
        <v>1225</v>
      </c>
      <c r="AA380" s="32" t="s">
        <v>1225</v>
      </c>
      <c r="AB380" s="32" t="s">
        <v>1225</v>
      </c>
      <c r="AC380" s="32" t="s">
        <v>1225</v>
      </c>
      <c r="AD380" s="32" t="s">
        <v>1225</v>
      </c>
      <c r="AE380" s="32" t="s">
        <v>1225</v>
      </c>
      <c r="AF380" s="32" t="s">
        <v>1225</v>
      </c>
      <c r="AG380" s="32" t="s">
        <v>1225</v>
      </c>
      <c r="AH380" s="32" t="s">
        <v>1225</v>
      </c>
      <c r="AI380" s="32" t="s">
        <v>1225</v>
      </c>
      <c r="AJ380" s="32" t="s">
        <v>1225</v>
      </c>
      <c r="AK380" s="32" t="s">
        <v>1225</v>
      </c>
      <c r="AL380" s="32" t="s">
        <v>1225</v>
      </c>
      <c r="AM380" s="32" t="s">
        <v>1225</v>
      </c>
      <c r="AN380" s="32" t="s">
        <v>1225</v>
      </c>
      <c r="AO380" s="32" t="s">
        <v>1225</v>
      </c>
      <c r="AP380" s="32" t="s">
        <v>1225</v>
      </c>
      <c r="AQ380" s="32" t="s">
        <v>1225</v>
      </c>
      <c r="AR380" s="32" t="s">
        <v>1225</v>
      </c>
      <c r="AS380" s="32" t="s">
        <v>1225</v>
      </c>
      <c r="AT380" s="32" t="s">
        <v>1225</v>
      </c>
      <c r="AU380" s="32" t="s">
        <v>1225</v>
      </c>
      <c r="AV380" s="32" t="s">
        <v>1225</v>
      </c>
      <c r="AW380" s="32" t="s">
        <v>1276</v>
      </c>
      <c r="AX380" s="32">
        <v>2014</v>
      </c>
      <c r="AY380" s="32">
        <v>61</v>
      </c>
      <c r="AZ380" s="32" t="s">
        <v>1225</v>
      </c>
      <c r="BA380" s="32" t="s">
        <v>1225</v>
      </c>
      <c r="BB380" s="32" t="s">
        <v>1225</v>
      </c>
      <c r="BC380" s="32" t="s">
        <v>1225</v>
      </c>
      <c r="BD380" s="32" t="s">
        <v>1225</v>
      </c>
      <c r="BE380" s="32">
        <v>355</v>
      </c>
      <c r="BF380" s="32">
        <v>370</v>
      </c>
      <c r="BG380" s="32" t="s">
        <v>1225</v>
      </c>
      <c r="BH380" s="32" t="s">
        <v>3837</v>
      </c>
      <c r="BI380" s="32" t="str">
        <f>HYPERLINK("http://dx.doi.org/10.1016/j.ijepes.2014.03.023","http://dx.doi.org/10.1016/j.ijepes.2014.03.023")</f>
        <v>http://dx.doi.org/10.1016/j.ijepes.2014.03.023</v>
      </c>
      <c r="BJ380" s="32" t="s">
        <v>1225</v>
      </c>
      <c r="BK380" s="32" t="s">
        <v>1225</v>
      </c>
      <c r="BL380" s="32" t="s">
        <v>1225</v>
      </c>
      <c r="BM380" s="32" t="s">
        <v>1225</v>
      </c>
      <c r="BN380" s="32" t="s">
        <v>1225</v>
      </c>
      <c r="BO380" s="32" t="s">
        <v>1225</v>
      </c>
      <c r="BP380" s="32" t="s">
        <v>1225</v>
      </c>
      <c r="BQ380" s="32" t="s">
        <v>1225</v>
      </c>
      <c r="BR380" s="32" t="s">
        <v>1225</v>
      </c>
      <c r="BS380" s="32" t="s">
        <v>1225</v>
      </c>
      <c r="BT380" s="32" t="s">
        <v>1225</v>
      </c>
      <c r="BU380" s="32" t="s">
        <v>1225</v>
      </c>
      <c r="BV380" s="32" t="s">
        <v>1225</v>
      </c>
      <c r="BW380" s="32" t="str">
        <f t="shared" si="10"/>
        <v>View Full Record in Web of Science</v>
      </c>
      <c r="BY380" s="41" t="str">
        <f>IF(Deletion!J380=TRUE,"Yes","No")</f>
        <v>Yes</v>
      </c>
    </row>
    <row r="381" spans="1:77" x14ac:dyDescent="0.15">
      <c r="A381" s="32">
        <f t="shared" si="11"/>
        <v>380</v>
      </c>
      <c r="D381" s="32" t="s">
        <v>1223</v>
      </c>
      <c r="E381" s="32" t="s">
        <v>3838</v>
      </c>
      <c r="F381" s="32" t="s">
        <v>1225</v>
      </c>
      <c r="G381" s="32" t="s">
        <v>1225</v>
      </c>
      <c r="H381" s="32" t="s">
        <v>1225</v>
      </c>
      <c r="I381" s="32" t="s">
        <v>3839</v>
      </c>
      <c r="J381" s="32" t="s">
        <v>1225</v>
      </c>
      <c r="K381" s="32" t="s">
        <v>1225</v>
      </c>
      <c r="L381" s="32" t="s">
        <v>3840</v>
      </c>
      <c r="M381" s="32" t="s">
        <v>68</v>
      </c>
      <c r="N381" s="32" t="s">
        <v>1225</v>
      </c>
      <c r="O381" s="32" t="s">
        <v>1225</v>
      </c>
      <c r="P381" s="32" t="s">
        <v>1225</v>
      </c>
      <c r="Q381" s="32" t="s">
        <v>1227</v>
      </c>
      <c r="R381" s="32" t="s">
        <v>1225</v>
      </c>
      <c r="S381" s="32" t="s">
        <v>1225</v>
      </c>
      <c r="T381" s="32" t="s">
        <v>1225</v>
      </c>
      <c r="U381" s="32" t="s">
        <v>1225</v>
      </c>
      <c r="V381" s="32" t="s">
        <v>1225</v>
      </c>
      <c r="W381" s="32" t="s">
        <v>3841</v>
      </c>
      <c r="X381" s="32" t="s">
        <v>3842</v>
      </c>
      <c r="Y381" s="32" t="s">
        <v>3843</v>
      </c>
      <c r="Z381" s="32" t="s">
        <v>1225</v>
      </c>
      <c r="AA381" s="32" t="s">
        <v>1225</v>
      </c>
      <c r="AB381" s="32" t="s">
        <v>1225</v>
      </c>
      <c r="AC381" s="32" t="s">
        <v>1225</v>
      </c>
      <c r="AD381" s="32" t="s">
        <v>1225</v>
      </c>
      <c r="AE381" s="32" t="s">
        <v>1225</v>
      </c>
      <c r="AF381" s="32" t="s">
        <v>1225</v>
      </c>
      <c r="AG381" s="32" t="s">
        <v>1225</v>
      </c>
      <c r="AH381" s="32" t="s">
        <v>1225</v>
      </c>
      <c r="AI381" s="32" t="s">
        <v>1225</v>
      </c>
      <c r="AJ381" s="32" t="s">
        <v>1225</v>
      </c>
      <c r="AK381" s="32" t="s">
        <v>1225</v>
      </c>
      <c r="AL381" s="32" t="s">
        <v>1225</v>
      </c>
      <c r="AM381" s="32" t="s">
        <v>1225</v>
      </c>
      <c r="AN381" s="32" t="s">
        <v>1225</v>
      </c>
      <c r="AO381" s="32" t="s">
        <v>1225</v>
      </c>
      <c r="AP381" s="32" t="s">
        <v>1225</v>
      </c>
      <c r="AQ381" s="32" t="s">
        <v>1225</v>
      </c>
      <c r="AR381" s="32" t="s">
        <v>1225</v>
      </c>
      <c r="AS381" s="32" t="s">
        <v>1225</v>
      </c>
      <c r="AT381" s="32" t="s">
        <v>1225</v>
      </c>
      <c r="AU381" s="32" t="s">
        <v>1225</v>
      </c>
      <c r="AV381" s="32" t="s">
        <v>1225</v>
      </c>
      <c r="AW381" s="32" t="s">
        <v>1225</v>
      </c>
      <c r="AX381" s="32">
        <v>2022</v>
      </c>
      <c r="AY381" s="32">
        <v>10</v>
      </c>
      <c r="AZ381" s="32" t="s">
        <v>1225</v>
      </c>
      <c r="BA381" s="32" t="s">
        <v>1225</v>
      </c>
      <c r="BB381" s="32" t="s">
        <v>1225</v>
      </c>
      <c r="BC381" s="32" t="s">
        <v>1225</v>
      </c>
      <c r="BD381" s="32" t="s">
        <v>1225</v>
      </c>
      <c r="BE381" s="32">
        <v>28434</v>
      </c>
      <c r="BF381" s="32">
        <v>28444</v>
      </c>
      <c r="BG381" s="32" t="s">
        <v>1225</v>
      </c>
      <c r="BH381" s="32" t="s">
        <v>3844</v>
      </c>
      <c r="BI381" s="32" t="str">
        <f>HYPERLINK("http://dx.doi.org/10.1109/ACCESS.2022.3154781","http://dx.doi.org/10.1109/ACCESS.2022.3154781")</f>
        <v>http://dx.doi.org/10.1109/ACCESS.2022.3154781</v>
      </c>
      <c r="BJ381" s="32" t="s">
        <v>1225</v>
      </c>
      <c r="BK381" s="32" t="s">
        <v>1225</v>
      </c>
      <c r="BL381" s="32" t="s">
        <v>1225</v>
      </c>
      <c r="BM381" s="32" t="s">
        <v>1225</v>
      </c>
      <c r="BN381" s="32" t="s">
        <v>1225</v>
      </c>
      <c r="BO381" s="32" t="s">
        <v>1225</v>
      </c>
      <c r="BP381" s="32" t="s">
        <v>1225</v>
      </c>
      <c r="BQ381" s="32" t="s">
        <v>1225</v>
      </c>
      <c r="BR381" s="32" t="s">
        <v>1225</v>
      </c>
      <c r="BS381" s="32" t="s">
        <v>1225</v>
      </c>
      <c r="BT381" s="32" t="s">
        <v>1225</v>
      </c>
      <c r="BU381" s="32" t="s">
        <v>1225</v>
      </c>
      <c r="BV381" s="32" t="s">
        <v>1225</v>
      </c>
      <c r="BW381" s="32" t="str">
        <f t="shared" si="10"/>
        <v>View Full Record in Web of Science</v>
      </c>
      <c r="BY381" s="41" t="str">
        <f>IF(Deletion!J381=TRUE,"Yes","No")</f>
        <v>Yes</v>
      </c>
    </row>
    <row r="382" spans="1:77" x14ac:dyDescent="0.15">
      <c r="A382" s="32">
        <f t="shared" si="11"/>
        <v>381</v>
      </c>
      <c r="D382" s="32" t="s">
        <v>1223</v>
      </c>
      <c r="E382" s="32" t="s">
        <v>3845</v>
      </c>
      <c r="F382" s="32" t="s">
        <v>1225</v>
      </c>
      <c r="G382" s="32" t="s">
        <v>1225</v>
      </c>
      <c r="H382" s="32" t="s">
        <v>1225</v>
      </c>
      <c r="I382" s="32" t="s">
        <v>3846</v>
      </c>
      <c r="J382" s="32" t="s">
        <v>1225</v>
      </c>
      <c r="K382" s="32" t="s">
        <v>1225</v>
      </c>
      <c r="L382" s="32" t="s">
        <v>3847</v>
      </c>
      <c r="M382" s="32" t="s">
        <v>2051</v>
      </c>
      <c r="N382" s="32" t="s">
        <v>1225</v>
      </c>
      <c r="O382" s="32" t="s">
        <v>1225</v>
      </c>
      <c r="P382" s="32" t="s">
        <v>1225</v>
      </c>
      <c r="Q382" s="32" t="s">
        <v>1227</v>
      </c>
      <c r="R382" s="32" t="s">
        <v>1225</v>
      </c>
      <c r="S382" s="32" t="s">
        <v>1225</v>
      </c>
      <c r="T382" s="32" t="s">
        <v>1225</v>
      </c>
      <c r="U382" s="32" t="s">
        <v>1225</v>
      </c>
      <c r="V382" s="32" t="s">
        <v>1225</v>
      </c>
      <c r="W382" s="32" t="s">
        <v>3848</v>
      </c>
      <c r="X382" s="32" t="s">
        <v>3849</v>
      </c>
      <c r="Y382" s="32" t="s">
        <v>3850</v>
      </c>
      <c r="Z382" s="32" t="s">
        <v>1225</v>
      </c>
      <c r="AA382" s="32" t="s">
        <v>1225</v>
      </c>
      <c r="AB382" s="32" t="s">
        <v>1225</v>
      </c>
      <c r="AC382" s="32" t="s">
        <v>1225</v>
      </c>
      <c r="AD382" s="32" t="s">
        <v>1225</v>
      </c>
      <c r="AE382" s="32" t="s">
        <v>1225</v>
      </c>
      <c r="AF382" s="32" t="s">
        <v>1225</v>
      </c>
      <c r="AG382" s="32" t="s">
        <v>1225</v>
      </c>
      <c r="AH382" s="32" t="s">
        <v>1225</v>
      </c>
      <c r="AI382" s="32" t="s">
        <v>1225</v>
      </c>
      <c r="AJ382" s="32" t="s">
        <v>1225</v>
      </c>
      <c r="AK382" s="32" t="s">
        <v>1225</v>
      </c>
      <c r="AL382" s="32" t="s">
        <v>1225</v>
      </c>
      <c r="AM382" s="32" t="s">
        <v>1225</v>
      </c>
      <c r="AN382" s="32" t="s">
        <v>1225</v>
      </c>
      <c r="AO382" s="32" t="s">
        <v>1225</v>
      </c>
      <c r="AP382" s="32" t="s">
        <v>1225</v>
      </c>
      <c r="AQ382" s="32" t="s">
        <v>1225</v>
      </c>
      <c r="AR382" s="32" t="s">
        <v>1225</v>
      </c>
      <c r="AS382" s="32" t="s">
        <v>1225</v>
      </c>
      <c r="AT382" s="32" t="s">
        <v>1225</v>
      </c>
      <c r="AU382" s="32" t="s">
        <v>1225</v>
      </c>
      <c r="AV382" s="32" t="s">
        <v>1225</v>
      </c>
      <c r="AW382" s="32" t="s">
        <v>1317</v>
      </c>
      <c r="AX382" s="32">
        <v>2018</v>
      </c>
      <c r="AY382" s="32">
        <v>14</v>
      </c>
      <c r="AZ382" s="32">
        <v>1</v>
      </c>
      <c r="BA382" s="32" t="s">
        <v>1225</v>
      </c>
      <c r="BB382" s="32" t="s">
        <v>1225</v>
      </c>
      <c r="BC382" s="32" t="s">
        <v>1225</v>
      </c>
      <c r="BD382" s="32" t="s">
        <v>1225</v>
      </c>
      <c r="BE382" s="32">
        <v>332</v>
      </c>
      <c r="BF382" s="32">
        <v>341</v>
      </c>
      <c r="BG382" s="32" t="s">
        <v>1225</v>
      </c>
      <c r="BH382" s="32" t="s">
        <v>3851</v>
      </c>
      <c r="BI382" s="32" t="str">
        <f>HYPERLINK("http://dx.doi.org/10.1109/TII.2017.2705075","http://dx.doi.org/10.1109/TII.2017.2705075")</f>
        <v>http://dx.doi.org/10.1109/TII.2017.2705075</v>
      </c>
      <c r="BJ382" s="32" t="s">
        <v>1225</v>
      </c>
      <c r="BK382" s="32" t="s">
        <v>1225</v>
      </c>
      <c r="BL382" s="32" t="s">
        <v>1225</v>
      </c>
      <c r="BM382" s="32" t="s">
        <v>1225</v>
      </c>
      <c r="BN382" s="32" t="s">
        <v>1225</v>
      </c>
      <c r="BO382" s="32" t="s">
        <v>1225</v>
      </c>
      <c r="BP382" s="32" t="s">
        <v>1225</v>
      </c>
      <c r="BQ382" s="32" t="s">
        <v>1225</v>
      </c>
      <c r="BR382" s="32" t="s">
        <v>1225</v>
      </c>
      <c r="BS382" s="32" t="s">
        <v>1225</v>
      </c>
      <c r="BT382" s="32" t="s">
        <v>1225</v>
      </c>
      <c r="BU382" s="32" t="s">
        <v>1225</v>
      </c>
      <c r="BV382" s="32" t="s">
        <v>1225</v>
      </c>
      <c r="BW382" s="32" t="str">
        <f t="shared" si="10"/>
        <v>View Full Record in Web of Science</v>
      </c>
      <c r="BY382" s="41" t="str">
        <f>IF(Deletion!J382=TRUE,"Yes","No")</f>
        <v>Yes</v>
      </c>
    </row>
    <row r="383" spans="1:77" x14ac:dyDescent="0.15">
      <c r="A383" s="32">
        <f t="shared" si="11"/>
        <v>382</v>
      </c>
      <c r="D383" s="32" t="s">
        <v>1223</v>
      </c>
      <c r="E383" s="32" t="s">
        <v>3852</v>
      </c>
      <c r="F383" s="32" t="s">
        <v>1225</v>
      </c>
      <c r="G383" s="32" t="s">
        <v>1225</v>
      </c>
      <c r="H383" s="32" t="s">
        <v>1225</v>
      </c>
      <c r="I383" s="32" t="s">
        <v>3853</v>
      </c>
      <c r="J383" s="32" t="s">
        <v>1225</v>
      </c>
      <c r="K383" s="32" t="s">
        <v>1225</v>
      </c>
      <c r="L383" s="32" t="s">
        <v>3854</v>
      </c>
      <c r="M383" s="32" t="s">
        <v>1803</v>
      </c>
      <c r="N383" s="32" t="s">
        <v>1225</v>
      </c>
      <c r="O383" s="32" t="s">
        <v>1225</v>
      </c>
      <c r="P383" s="32" t="s">
        <v>1225</v>
      </c>
      <c r="Q383" s="32" t="s">
        <v>1227</v>
      </c>
      <c r="R383" s="32" t="s">
        <v>1225</v>
      </c>
      <c r="S383" s="32" t="s">
        <v>1225</v>
      </c>
      <c r="T383" s="32" t="s">
        <v>1225</v>
      </c>
      <c r="U383" s="32" t="s">
        <v>1225</v>
      </c>
      <c r="V383" s="32" t="s">
        <v>1225</v>
      </c>
      <c r="W383" s="32" t="s">
        <v>3855</v>
      </c>
      <c r="X383" s="32" t="s">
        <v>3856</v>
      </c>
      <c r="Y383" s="32" t="s">
        <v>3857</v>
      </c>
      <c r="Z383" s="32" t="s">
        <v>1225</v>
      </c>
      <c r="AA383" s="32" t="s">
        <v>1225</v>
      </c>
      <c r="AB383" s="32" t="s">
        <v>1225</v>
      </c>
      <c r="AC383" s="32" t="s">
        <v>1225</v>
      </c>
      <c r="AD383" s="32" t="s">
        <v>1225</v>
      </c>
      <c r="AE383" s="32" t="s">
        <v>1225</v>
      </c>
      <c r="AF383" s="32" t="s">
        <v>1225</v>
      </c>
      <c r="AG383" s="32" t="s">
        <v>1225</v>
      </c>
      <c r="AH383" s="32" t="s">
        <v>1225</v>
      </c>
      <c r="AI383" s="32" t="s">
        <v>1225</v>
      </c>
      <c r="AJ383" s="32" t="s">
        <v>1225</v>
      </c>
      <c r="AK383" s="32" t="s">
        <v>1225</v>
      </c>
      <c r="AL383" s="32" t="s">
        <v>1225</v>
      </c>
      <c r="AM383" s="32" t="s">
        <v>1225</v>
      </c>
      <c r="AN383" s="32" t="s">
        <v>1225</v>
      </c>
      <c r="AO383" s="32" t="s">
        <v>1225</v>
      </c>
      <c r="AP383" s="32" t="s">
        <v>1225</v>
      </c>
      <c r="AQ383" s="32" t="s">
        <v>1225</v>
      </c>
      <c r="AR383" s="32" t="s">
        <v>1225</v>
      </c>
      <c r="AS383" s="32" t="s">
        <v>1225</v>
      </c>
      <c r="AT383" s="32" t="s">
        <v>1225</v>
      </c>
      <c r="AU383" s="32" t="s">
        <v>1225</v>
      </c>
      <c r="AV383" s="32" t="s">
        <v>1225</v>
      </c>
      <c r="AW383" s="32" t="s">
        <v>3858</v>
      </c>
      <c r="AX383" s="32">
        <v>2019</v>
      </c>
      <c r="AY383" s="32">
        <v>229</v>
      </c>
      <c r="AZ383" s="32" t="s">
        <v>1225</v>
      </c>
      <c r="BA383" s="32" t="s">
        <v>1225</v>
      </c>
      <c r="BB383" s="32" t="s">
        <v>1225</v>
      </c>
      <c r="BC383" s="32" t="s">
        <v>1225</v>
      </c>
      <c r="BD383" s="32" t="s">
        <v>1225</v>
      </c>
      <c r="BE383" s="32">
        <v>1029</v>
      </c>
      <c r="BF383" s="32">
        <v>1044</v>
      </c>
      <c r="BG383" s="32" t="s">
        <v>1225</v>
      </c>
      <c r="BH383" s="32" t="s">
        <v>3859</v>
      </c>
      <c r="BI383" s="32" t="str">
        <f>HYPERLINK("http://dx.doi.org/10.1016/j.jclepro.2019.04.345","http://dx.doi.org/10.1016/j.jclepro.2019.04.345")</f>
        <v>http://dx.doi.org/10.1016/j.jclepro.2019.04.345</v>
      </c>
      <c r="BJ383" s="32" t="s">
        <v>1225</v>
      </c>
      <c r="BK383" s="32" t="s">
        <v>1225</v>
      </c>
      <c r="BL383" s="32" t="s">
        <v>1225</v>
      </c>
      <c r="BM383" s="32" t="s">
        <v>1225</v>
      </c>
      <c r="BN383" s="32" t="s">
        <v>1225</v>
      </c>
      <c r="BO383" s="32" t="s">
        <v>1225</v>
      </c>
      <c r="BP383" s="32" t="s">
        <v>1225</v>
      </c>
      <c r="BQ383" s="32" t="s">
        <v>1225</v>
      </c>
      <c r="BR383" s="32" t="s">
        <v>1225</v>
      </c>
      <c r="BS383" s="32" t="s">
        <v>1225</v>
      </c>
      <c r="BT383" s="32" t="s">
        <v>1225</v>
      </c>
      <c r="BU383" s="32" t="s">
        <v>1225</v>
      </c>
      <c r="BV383" s="32" t="s">
        <v>1225</v>
      </c>
      <c r="BW383" s="32" t="str">
        <f t="shared" si="10"/>
        <v>View Full Record in Web of Science</v>
      </c>
      <c r="BY383" s="41" t="str">
        <f>IF(Deletion!J383=TRUE,"Yes","No")</f>
        <v>Yes</v>
      </c>
    </row>
    <row r="384" spans="1:77" x14ac:dyDescent="0.15">
      <c r="A384" s="32">
        <f t="shared" si="11"/>
        <v>383</v>
      </c>
      <c r="D384" s="32" t="s">
        <v>1223</v>
      </c>
      <c r="E384" s="32" t="s">
        <v>3860</v>
      </c>
      <c r="F384" s="32" t="s">
        <v>1225</v>
      </c>
      <c r="G384" s="32" t="s">
        <v>1225</v>
      </c>
      <c r="H384" s="32" t="s">
        <v>1225</v>
      </c>
      <c r="I384" s="32" t="s">
        <v>3861</v>
      </c>
      <c r="J384" s="32" t="s">
        <v>1225</v>
      </c>
      <c r="K384" s="32" t="s">
        <v>1225</v>
      </c>
      <c r="L384" s="32" t="s">
        <v>3862</v>
      </c>
      <c r="M384" s="32" t="s">
        <v>1634</v>
      </c>
      <c r="N384" s="32" t="s">
        <v>1225</v>
      </c>
      <c r="O384" s="32" t="s">
        <v>1225</v>
      </c>
      <c r="P384" s="32" t="s">
        <v>1225</v>
      </c>
      <c r="Q384" s="32" t="s">
        <v>1227</v>
      </c>
      <c r="R384" s="32" t="s">
        <v>1225</v>
      </c>
      <c r="S384" s="32" t="s">
        <v>1225</v>
      </c>
      <c r="T384" s="32" t="s">
        <v>1225</v>
      </c>
      <c r="U384" s="32" t="s">
        <v>1225</v>
      </c>
      <c r="V384" s="32" t="s">
        <v>1225</v>
      </c>
      <c r="W384" s="32" t="s">
        <v>3863</v>
      </c>
      <c r="X384" s="32" t="s">
        <v>3864</v>
      </c>
      <c r="Y384" s="32" t="s">
        <v>3865</v>
      </c>
      <c r="Z384" s="32" t="s">
        <v>1225</v>
      </c>
      <c r="AA384" s="32" t="s">
        <v>1225</v>
      </c>
      <c r="AB384" s="32" t="s">
        <v>1225</v>
      </c>
      <c r="AC384" s="32" t="s">
        <v>1225</v>
      </c>
      <c r="AD384" s="32" t="s">
        <v>1225</v>
      </c>
      <c r="AE384" s="32" t="s">
        <v>1225</v>
      </c>
      <c r="AF384" s="32" t="s">
        <v>1225</v>
      </c>
      <c r="AG384" s="32" t="s">
        <v>1225</v>
      </c>
      <c r="AH384" s="32" t="s">
        <v>1225</v>
      </c>
      <c r="AI384" s="32" t="s">
        <v>1225</v>
      </c>
      <c r="AJ384" s="32" t="s">
        <v>1225</v>
      </c>
      <c r="AK384" s="32" t="s">
        <v>1225</v>
      </c>
      <c r="AL384" s="32" t="s">
        <v>1225</v>
      </c>
      <c r="AM384" s="32" t="s">
        <v>1225</v>
      </c>
      <c r="AN384" s="32" t="s">
        <v>1225</v>
      </c>
      <c r="AO384" s="32" t="s">
        <v>1225</v>
      </c>
      <c r="AP384" s="32" t="s">
        <v>1225</v>
      </c>
      <c r="AQ384" s="32" t="s">
        <v>1225</v>
      </c>
      <c r="AR384" s="32" t="s">
        <v>1225</v>
      </c>
      <c r="AS384" s="32" t="s">
        <v>1225</v>
      </c>
      <c r="AT384" s="32" t="s">
        <v>1225</v>
      </c>
      <c r="AU384" s="32" t="s">
        <v>1225</v>
      </c>
      <c r="AV384" s="32" t="s">
        <v>1225</v>
      </c>
      <c r="AW384" s="32" t="s">
        <v>1356</v>
      </c>
      <c r="AX384" s="32">
        <v>2019</v>
      </c>
      <c r="AY384" s="32">
        <v>9</v>
      </c>
      <c r="AZ384" s="32">
        <v>16</v>
      </c>
      <c r="BA384" s="32" t="s">
        <v>1225</v>
      </c>
      <c r="BB384" s="32" t="s">
        <v>1225</v>
      </c>
      <c r="BC384" s="32" t="s">
        <v>1225</v>
      </c>
      <c r="BD384" s="32" t="s">
        <v>1225</v>
      </c>
      <c r="BE384" s="32" t="s">
        <v>1225</v>
      </c>
      <c r="BF384" s="32" t="s">
        <v>1225</v>
      </c>
      <c r="BG384" s="32">
        <v>3420</v>
      </c>
      <c r="BH384" s="32" t="s">
        <v>3866</v>
      </c>
      <c r="BI384" s="32" t="str">
        <f>HYPERLINK("http://dx.doi.org/10.3390/app9163420","http://dx.doi.org/10.3390/app9163420")</f>
        <v>http://dx.doi.org/10.3390/app9163420</v>
      </c>
      <c r="BJ384" s="32" t="s">
        <v>1225</v>
      </c>
      <c r="BK384" s="32" t="s">
        <v>1225</v>
      </c>
      <c r="BL384" s="32" t="s">
        <v>1225</v>
      </c>
      <c r="BM384" s="32" t="s">
        <v>1225</v>
      </c>
      <c r="BN384" s="32" t="s">
        <v>1225</v>
      </c>
      <c r="BO384" s="32" t="s">
        <v>1225</v>
      </c>
      <c r="BP384" s="32" t="s">
        <v>1225</v>
      </c>
      <c r="BQ384" s="32" t="s">
        <v>1225</v>
      </c>
      <c r="BR384" s="32" t="s">
        <v>1225</v>
      </c>
      <c r="BS384" s="32" t="s">
        <v>1225</v>
      </c>
      <c r="BT384" s="32" t="s">
        <v>1225</v>
      </c>
      <c r="BU384" s="32" t="s">
        <v>1225</v>
      </c>
      <c r="BV384" s="32" t="s">
        <v>1225</v>
      </c>
      <c r="BW384" s="32" t="str">
        <f t="shared" si="10"/>
        <v>View Full Record in Web of Science</v>
      </c>
      <c r="BY384" s="41" t="str">
        <f>IF(Deletion!J384=TRUE,"Yes","No")</f>
        <v>Yes</v>
      </c>
    </row>
    <row r="385" spans="1:77" x14ac:dyDescent="0.15">
      <c r="A385" s="32">
        <f t="shared" si="11"/>
        <v>384</v>
      </c>
      <c r="D385" s="32" t="s">
        <v>1223</v>
      </c>
      <c r="E385" s="32" t="s">
        <v>3867</v>
      </c>
      <c r="F385" s="32" t="s">
        <v>1225</v>
      </c>
      <c r="G385" s="32" t="s">
        <v>1225</v>
      </c>
      <c r="H385" s="32" t="s">
        <v>1225</v>
      </c>
      <c r="I385" s="32" t="s">
        <v>3868</v>
      </c>
      <c r="J385" s="32" t="s">
        <v>1225</v>
      </c>
      <c r="K385" s="32" t="s">
        <v>1225</v>
      </c>
      <c r="L385" s="32" t="s">
        <v>3869</v>
      </c>
      <c r="M385" s="32" t="s">
        <v>1634</v>
      </c>
      <c r="N385" s="32" t="s">
        <v>1225</v>
      </c>
      <c r="O385" s="32" t="s">
        <v>1225</v>
      </c>
      <c r="P385" s="32" t="s">
        <v>1225</v>
      </c>
      <c r="Q385" s="32" t="s">
        <v>1227</v>
      </c>
      <c r="R385" s="32" t="s">
        <v>1225</v>
      </c>
      <c r="S385" s="32" t="s">
        <v>1225</v>
      </c>
      <c r="T385" s="32" t="s">
        <v>1225</v>
      </c>
      <c r="U385" s="32" t="s">
        <v>1225</v>
      </c>
      <c r="V385" s="32" t="s">
        <v>1225</v>
      </c>
      <c r="W385" s="32" t="s">
        <v>3870</v>
      </c>
      <c r="X385" s="32" t="s">
        <v>3871</v>
      </c>
      <c r="Y385" s="32" t="s">
        <v>3872</v>
      </c>
      <c r="Z385" s="32" t="s">
        <v>1225</v>
      </c>
      <c r="AA385" s="32" t="s">
        <v>1225</v>
      </c>
      <c r="AB385" s="32" t="s">
        <v>1225</v>
      </c>
      <c r="AC385" s="32" t="s">
        <v>1225</v>
      </c>
      <c r="AD385" s="32" t="s">
        <v>1225</v>
      </c>
      <c r="AE385" s="32" t="s">
        <v>1225</v>
      </c>
      <c r="AF385" s="32" t="s">
        <v>1225</v>
      </c>
      <c r="AG385" s="32" t="s">
        <v>1225</v>
      </c>
      <c r="AH385" s="32" t="s">
        <v>1225</v>
      </c>
      <c r="AI385" s="32" t="s">
        <v>1225</v>
      </c>
      <c r="AJ385" s="32" t="s">
        <v>1225</v>
      </c>
      <c r="AK385" s="32" t="s">
        <v>1225</v>
      </c>
      <c r="AL385" s="32" t="s">
        <v>1225</v>
      </c>
      <c r="AM385" s="32" t="s">
        <v>1225</v>
      </c>
      <c r="AN385" s="32" t="s">
        <v>1225</v>
      </c>
      <c r="AO385" s="32" t="s">
        <v>1225</v>
      </c>
      <c r="AP385" s="32" t="s">
        <v>1225</v>
      </c>
      <c r="AQ385" s="32" t="s">
        <v>1225</v>
      </c>
      <c r="AR385" s="32" t="s">
        <v>1225</v>
      </c>
      <c r="AS385" s="32" t="s">
        <v>1225</v>
      </c>
      <c r="AT385" s="32" t="s">
        <v>1225</v>
      </c>
      <c r="AU385" s="32" t="s">
        <v>1225</v>
      </c>
      <c r="AV385" s="32" t="s">
        <v>1225</v>
      </c>
      <c r="AW385" s="32" t="s">
        <v>1285</v>
      </c>
      <c r="AX385" s="32">
        <v>2022</v>
      </c>
      <c r="AY385" s="32">
        <v>12</v>
      </c>
      <c r="AZ385" s="32">
        <v>9</v>
      </c>
      <c r="BA385" s="32" t="s">
        <v>1225</v>
      </c>
      <c r="BB385" s="32" t="s">
        <v>1225</v>
      </c>
      <c r="BC385" s="32" t="s">
        <v>1225</v>
      </c>
      <c r="BD385" s="32" t="s">
        <v>1225</v>
      </c>
      <c r="BE385" s="32" t="s">
        <v>1225</v>
      </c>
      <c r="BF385" s="32" t="s">
        <v>1225</v>
      </c>
      <c r="BG385" s="32">
        <v>4523</v>
      </c>
      <c r="BH385" s="32" t="s">
        <v>3873</v>
      </c>
      <c r="BI385" s="32" t="str">
        <f>HYPERLINK("http://dx.doi.org/10.3390/app12094523","http://dx.doi.org/10.3390/app12094523")</f>
        <v>http://dx.doi.org/10.3390/app12094523</v>
      </c>
      <c r="BJ385" s="32" t="s">
        <v>1225</v>
      </c>
      <c r="BK385" s="32" t="s">
        <v>1225</v>
      </c>
      <c r="BL385" s="32" t="s">
        <v>1225</v>
      </c>
      <c r="BM385" s="32" t="s">
        <v>1225</v>
      </c>
      <c r="BN385" s="32" t="s">
        <v>1225</v>
      </c>
      <c r="BO385" s="32" t="s">
        <v>1225</v>
      </c>
      <c r="BP385" s="32" t="s">
        <v>1225</v>
      </c>
      <c r="BQ385" s="32" t="s">
        <v>1225</v>
      </c>
      <c r="BR385" s="32" t="s">
        <v>1225</v>
      </c>
      <c r="BS385" s="32" t="s">
        <v>1225</v>
      </c>
      <c r="BT385" s="32" t="s">
        <v>1225</v>
      </c>
      <c r="BU385" s="32" t="s">
        <v>1225</v>
      </c>
      <c r="BV385" s="32" t="s">
        <v>1225</v>
      </c>
      <c r="BW385" s="32" t="str">
        <f t="shared" si="10"/>
        <v>View Full Record in Web of Science</v>
      </c>
      <c r="BY385" s="41" t="str">
        <f>IF(Deletion!J385=TRUE,"Yes","No")</f>
        <v>Yes</v>
      </c>
    </row>
    <row r="386" spans="1:77" x14ac:dyDescent="0.15">
      <c r="A386" s="32">
        <f t="shared" si="11"/>
        <v>385</v>
      </c>
      <c r="D386" s="32" t="s">
        <v>1223</v>
      </c>
      <c r="E386" s="32" t="s">
        <v>3874</v>
      </c>
      <c r="F386" s="32" t="s">
        <v>1225</v>
      </c>
      <c r="G386" s="32" t="s">
        <v>1225</v>
      </c>
      <c r="H386" s="32" t="s">
        <v>1225</v>
      </c>
      <c r="I386" s="32" t="s">
        <v>3875</v>
      </c>
      <c r="J386" s="32" t="s">
        <v>1225</v>
      </c>
      <c r="K386" s="32" t="s">
        <v>1225</v>
      </c>
      <c r="L386" s="32" t="s">
        <v>3876</v>
      </c>
      <c r="M386" s="32" t="s">
        <v>2164</v>
      </c>
      <c r="N386" s="32" t="s">
        <v>1225</v>
      </c>
      <c r="O386" s="32" t="s">
        <v>1225</v>
      </c>
      <c r="P386" s="32" t="s">
        <v>1225</v>
      </c>
      <c r="Q386" s="32" t="s">
        <v>1227</v>
      </c>
      <c r="R386" s="32" t="s">
        <v>1225</v>
      </c>
      <c r="S386" s="32" t="s">
        <v>1225</v>
      </c>
      <c r="T386" s="32" t="s">
        <v>1225</v>
      </c>
      <c r="U386" s="32" t="s">
        <v>1225</v>
      </c>
      <c r="V386" s="32" t="s">
        <v>1225</v>
      </c>
      <c r="W386" s="32" t="s">
        <v>3877</v>
      </c>
      <c r="X386" s="32" t="s">
        <v>3878</v>
      </c>
      <c r="Y386" s="32" t="s">
        <v>3879</v>
      </c>
      <c r="Z386" s="32" t="s">
        <v>1225</v>
      </c>
      <c r="AA386" s="32" t="s">
        <v>1225</v>
      </c>
      <c r="AB386" s="32" t="s">
        <v>1225</v>
      </c>
      <c r="AC386" s="32" t="s">
        <v>1225</v>
      </c>
      <c r="AD386" s="32" t="s">
        <v>1225</v>
      </c>
      <c r="AE386" s="32" t="s">
        <v>1225</v>
      </c>
      <c r="AF386" s="32" t="s">
        <v>1225</v>
      </c>
      <c r="AG386" s="32" t="s">
        <v>1225</v>
      </c>
      <c r="AH386" s="32" t="s">
        <v>1225</v>
      </c>
      <c r="AI386" s="32" t="s">
        <v>1225</v>
      </c>
      <c r="AJ386" s="32" t="s">
        <v>1225</v>
      </c>
      <c r="AK386" s="32" t="s">
        <v>1225</v>
      </c>
      <c r="AL386" s="32" t="s">
        <v>1225</v>
      </c>
      <c r="AM386" s="32" t="s">
        <v>1225</v>
      </c>
      <c r="AN386" s="32" t="s">
        <v>1225</v>
      </c>
      <c r="AO386" s="32" t="s">
        <v>1225</v>
      </c>
      <c r="AP386" s="32" t="s">
        <v>1225</v>
      </c>
      <c r="AQ386" s="32" t="s">
        <v>1225</v>
      </c>
      <c r="AR386" s="32" t="s">
        <v>1225</v>
      </c>
      <c r="AS386" s="32" t="s">
        <v>1225</v>
      </c>
      <c r="AT386" s="32" t="s">
        <v>1225</v>
      </c>
      <c r="AU386" s="32" t="s">
        <v>1225</v>
      </c>
      <c r="AV386" s="32" t="s">
        <v>1225</v>
      </c>
      <c r="AW386" s="32" t="s">
        <v>1256</v>
      </c>
      <c r="AX386" s="32">
        <v>2014</v>
      </c>
      <c r="AY386" s="32">
        <v>1</v>
      </c>
      <c r="AZ386" s="32">
        <v>6</v>
      </c>
      <c r="BA386" s="32" t="s">
        <v>1225</v>
      </c>
      <c r="BB386" s="32" t="s">
        <v>1225</v>
      </c>
      <c r="BC386" s="32" t="s">
        <v>1511</v>
      </c>
      <c r="BD386" s="32" t="s">
        <v>1225</v>
      </c>
      <c r="BE386" s="32">
        <v>556</v>
      </c>
      <c r="BF386" s="32">
        <v>569</v>
      </c>
      <c r="BG386" s="32" t="s">
        <v>1225</v>
      </c>
      <c r="BH386" s="32" t="s">
        <v>3880</v>
      </c>
      <c r="BI386" s="32" t="str">
        <f>HYPERLINK("http://dx.doi.org/10.1109/JIOT.2014.2361911","http://dx.doi.org/10.1109/JIOT.2014.2361911")</f>
        <v>http://dx.doi.org/10.1109/JIOT.2014.2361911</v>
      </c>
      <c r="BJ386" s="32" t="s">
        <v>1225</v>
      </c>
      <c r="BK386" s="32" t="s">
        <v>1225</v>
      </c>
      <c r="BL386" s="32" t="s">
        <v>1225</v>
      </c>
      <c r="BM386" s="32" t="s">
        <v>1225</v>
      </c>
      <c r="BN386" s="32" t="s">
        <v>1225</v>
      </c>
      <c r="BO386" s="32" t="s">
        <v>1225</v>
      </c>
      <c r="BP386" s="32" t="s">
        <v>1225</v>
      </c>
      <c r="BQ386" s="32" t="s">
        <v>1225</v>
      </c>
      <c r="BR386" s="32" t="s">
        <v>1225</v>
      </c>
      <c r="BS386" s="32" t="s">
        <v>1225</v>
      </c>
      <c r="BT386" s="32" t="s">
        <v>1225</v>
      </c>
      <c r="BU386" s="32" t="s">
        <v>1225</v>
      </c>
      <c r="BV386" s="32" t="s">
        <v>1225</v>
      </c>
      <c r="BW386" s="32" t="str">
        <f t="shared" ref="BW386:BW449" si="12">HYPERLINK("https%3A%2F%2Fwww.webofscience.com%2Fwos%2Fwoscc%2Ffull-record%2F","View Full Record in Web of Science")</f>
        <v>View Full Record in Web of Science</v>
      </c>
      <c r="BY386" s="41" t="str">
        <f>IF(Deletion!J386=TRUE,"Yes","No")</f>
        <v>Yes</v>
      </c>
    </row>
    <row r="387" spans="1:77" x14ac:dyDescent="0.15">
      <c r="A387" s="32">
        <f t="shared" si="11"/>
        <v>386</v>
      </c>
      <c r="D387" s="32" t="s">
        <v>1223</v>
      </c>
      <c r="E387" s="32" t="s">
        <v>3881</v>
      </c>
      <c r="F387" s="32" t="s">
        <v>1225</v>
      </c>
      <c r="G387" s="32" t="s">
        <v>1225</v>
      </c>
      <c r="H387" s="32" t="s">
        <v>1225</v>
      </c>
      <c r="I387" s="32" t="s">
        <v>3882</v>
      </c>
      <c r="J387" s="32" t="s">
        <v>1225</v>
      </c>
      <c r="K387" s="32" t="s">
        <v>1225</v>
      </c>
      <c r="L387" s="32" t="s">
        <v>3883</v>
      </c>
      <c r="M387" s="32" t="s">
        <v>124</v>
      </c>
      <c r="N387" s="32" t="s">
        <v>1225</v>
      </c>
      <c r="O387" s="32" t="s">
        <v>1225</v>
      </c>
      <c r="P387" s="32" t="s">
        <v>1225</v>
      </c>
      <c r="Q387" s="32" t="s">
        <v>1227</v>
      </c>
      <c r="R387" s="32" t="s">
        <v>1225</v>
      </c>
      <c r="S387" s="32" t="s">
        <v>1225</v>
      </c>
      <c r="T387" s="32" t="s">
        <v>1225</v>
      </c>
      <c r="U387" s="32" t="s">
        <v>1225</v>
      </c>
      <c r="V387" s="32" t="s">
        <v>1225</v>
      </c>
      <c r="W387" s="32" t="s">
        <v>3884</v>
      </c>
      <c r="X387" s="32" t="s">
        <v>3885</v>
      </c>
      <c r="Y387" s="32" t="s">
        <v>3886</v>
      </c>
      <c r="Z387" s="32" t="s">
        <v>1225</v>
      </c>
      <c r="AA387" s="32" t="s">
        <v>1225</v>
      </c>
      <c r="AB387" s="32" t="s">
        <v>1225</v>
      </c>
      <c r="AC387" s="32" t="s">
        <v>1225</v>
      </c>
      <c r="AD387" s="32" t="s">
        <v>1225</v>
      </c>
      <c r="AE387" s="32" t="s">
        <v>1225</v>
      </c>
      <c r="AF387" s="32" t="s">
        <v>1225</v>
      </c>
      <c r="AG387" s="32" t="s">
        <v>1225</v>
      </c>
      <c r="AH387" s="32" t="s">
        <v>1225</v>
      </c>
      <c r="AI387" s="32" t="s">
        <v>1225</v>
      </c>
      <c r="AJ387" s="32" t="s">
        <v>1225</v>
      </c>
      <c r="AK387" s="32" t="s">
        <v>1225</v>
      </c>
      <c r="AL387" s="32" t="s">
        <v>1225</v>
      </c>
      <c r="AM387" s="32" t="s">
        <v>1225</v>
      </c>
      <c r="AN387" s="32" t="s">
        <v>1225</v>
      </c>
      <c r="AO387" s="32" t="s">
        <v>1225</v>
      </c>
      <c r="AP387" s="32" t="s">
        <v>1225</v>
      </c>
      <c r="AQ387" s="32" t="s">
        <v>1225</v>
      </c>
      <c r="AR387" s="32" t="s">
        <v>1225</v>
      </c>
      <c r="AS387" s="32" t="s">
        <v>1225</v>
      </c>
      <c r="AT387" s="32" t="s">
        <v>1225</v>
      </c>
      <c r="AU387" s="32" t="s">
        <v>1225</v>
      </c>
      <c r="AV387" s="32" t="s">
        <v>1225</v>
      </c>
      <c r="AW387" s="32" t="s">
        <v>1285</v>
      </c>
      <c r="AX387" s="32">
        <v>2019</v>
      </c>
      <c r="AY387" s="32">
        <v>10</v>
      </c>
      <c r="AZ387" s="32">
        <v>3</v>
      </c>
      <c r="BA387" s="32" t="s">
        <v>1225</v>
      </c>
      <c r="BB387" s="32" t="s">
        <v>1225</v>
      </c>
      <c r="BC387" s="32" t="s">
        <v>1225</v>
      </c>
      <c r="BD387" s="32" t="s">
        <v>1225</v>
      </c>
      <c r="BE387" s="32">
        <v>2999</v>
      </c>
      <c r="BF387" s="32">
        <v>3009</v>
      </c>
      <c r="BG387" s="32" t="s">
        <v>1225</v>
      </c>
      <c r="BH387" s="32" t="s">
        <v>3887</v>
      </c>
      <c r="BI387" s="32" t="str">
        <f>HYPERLINK("http://dx.doi.org/10.1109/TSG.2018.2816404","http://dx.doi.org/10.1109/TSG.2018.2816404")</f>
        <v>http://dx.doi.org/10.1109/TSG.2018.2816404</v>
      </c>
      <c r="BJ387" s="32" t="s">
        <v>1225</v>
      </c>
      <c r="BK387" s="32" t="s">
        <v>1225</v>
      </c>
      <c r="BL387" s="32" t="s">
        <v>1225</v>
      </c>
      <c r="BM387" s="32" t="s">
        <v>1225</v>
      </c>
      <c r="BN387" s="32" t="s">
        <v>1225</v>
      </c>
      <c r="BO387" s="32" t="s">
        <v>1225</v>
      </c>
      <c r="BP387" s="32" t="s">
        <v>1225</v>
      </c>
      <c r="BQ387" s="32" t="s">
        <v>1225</v>
      </c>
      <c r="BR387" s="32" t="s">
        <v>1225</v>
      </c>
      <c r="BS387" s="32" t="s">
        <v>1225</v>
      </c>
      <c r="BT387" s="32" t="s">
        <v>1225</v>
      </c>
      <c r="BU387" s="32" t="s">
        <v>1225</v>
      </c>
      <c r="BV387" s="32" t="s">
        <v>1225</v>
      </c>
      <c r="BW387" s="32" t="str">
        <f t="shared" si="12"/>
        <v>View Full Record in Web of Science</v>
      </c>
      <c r="BY387" s="41" t="str">
        <f>IF(Deletion!J387=TRUE,"Yes","No")</f>
        <v>Yes</v>
      </c>
    </row>
    <row r="388" spans="1:77" x14ac:dyDescent="0.15">
      <c r="A388" s="34">
        <f t="shared" si="11"/>
        <v>387</v>
      </c>
      <c r="B388" s="34" t="s">
        <v>4</v>
      </c>
      <c r="C388" s="34" t="s">
        <v>4</v>
      </c>
      <c r="D388" s="34" t="s">
        <v>1223</v>
      </c>
      <c r="E388" s="34" t="s">
        <v>3888</v>
      </c>
      <c r="F388" s="32" t="s">
        <v>1225</v>
      </c>
      <c r="G388" s="32" t="s">
        <v>1225</v>
      </c>
      <c r="H388" s="32" t="s">
        <v>1225</v>
      </c>
      <c r="I388" s="34" t="s">
        <v>3889</v>
      </c>
      <c r="J388" s="32" t="s">
        <v>1225</v>
      </c>
      <c r="K388" s="32" t="s">
        <v>1225</v>
      </c>
      <c r="L388" s="34" t="s">
        <v>3890</v>
      </c>
      <c r="M388" s="34" t="s">
        <v>3891</v>
      </c>
      <c r="N388" s="32" t="s">
        <v>1225</v>
      </c>
      <c r="O388" s="32" t="s">
        <v>1225</v>
      </c>
      <c r="P388" s="32" t="s">
        <v>1225</v>
      </c>
      <c r="Q388" s="34" t="s">
        <v>1227</v>
      </c>
      <c r="R388" s="32" t="s">
        <v>1225</v>
      </c>
      <c r="S388" s="32" t="s">
        <v>1225</v>
      </c>
      <c r="T388" s="32" t="s">
        <v>1225</v>
      </c>
      <c r="U388" s="32" t="s">
        <v>1225</v>
      </c>
      <c r="V388" s="32" t="s">
        <v>1225</v>
      </c>
      <c r="W388" s="34" t="s">
        <v>3892</v>
      </c>
      <c r="X388" s="34" t="s">
        <v>3893</v>
      </c>
      <c r="Y388" s="34" t="s">
        <v>3894</v>
      </c>
      <c r="Z388" s="32" t="s">
        <v>1225</v>
      </c>
      <c r="AA388" s="32" t="s">
        <v>1225</v>
      </c>
      <c r="AB388" s="32" t="s">
        <v>1225</v>
      </c>
      <c r="AC388" s="32" t="s">
        <v>1225</v>
      </c>
      <c r="AD388" s="32" t="s">
        <v>1225</v>
      </c>
      <c r="AE388" s="32" t="s">
        <v>1225</v>
      </c>
      <c r="AF388" s="32" t="s">
        <v>1225</v>
      </c>
      <c r="AG388" s="32" t="s">
        <v>1225</v>
      </c>
      <c r="AH388" s="32" t="s">
        <v>1225</v>
      </c>
      <c r="AI388" s="32" t="s">
        <v>1225</v>
      </c>
      <c r="AJ388" s="32" t="s">
        <v>1225</v>
      </c>
      <c r="AK388" s="32" t="s">
        <v>1225</v>
      </c>
      <c r="AL388" s="32" t="s">
        <v>1225</v>
      </c>
      <c r="AM388" s="32" t="s">
        <v>1225</v>
      </c>
      <c r="AN388" s="32" t="s">
        <v>1225</v>
      </c>
      <c r="AO388" s="32" t="s">
        <v>1225</v>
      </c>
      <c r="AP388" s="32" t="s">
        <v>1225</v>
      </c>
      <c r="AQ388" s="32" t="s">
        <v>1225</v>
      </c>
      <c r="AR388" s="32" t="s">
        <v>1225</v>
      </c>
      <c r="AS388" s="32" t="s">
        <v>1225</v>
      </c>
      <c r="AT388" s="32" t="s">
        <v>1225</v>
      </c>
      <c r="AU388" s="32" t="s">
        <v>1225</v>
      </c>
      <c r="AV388" s="32" t="s">
        <v>1225</v>
      </c>
      <c r="AW388" s="34" t="s">
        <v>1465</v>
      </c>
      <c r="AX388" s="34">
        <v>2014</v>
      </c>
      <c r="AY388" s="32">
        <v>78</v>
      </c>
      <c r="AZ388" s="32" t="s">
        <v>1225</v>
      </c>
      <c r="BA388" s="32" t="s">
        <v>1225</v>
      </c>
      <c r="BB388" s="32" t="s">
        <v>1225</v>
      </c>
      <c r="BC388" s="32" t="s">
        <v>1225</v>
      </c>
      <c r="BD388" s="32" t="s">
        <v>1225</v>
      </c>
      <c r="BE388" s="32">
        <v>508</v>
      </c>
      <c r="BF388" s="32">
        <v>517</v>
      </c>
      <c r="BG388" s="32" t="s">
        <v>1225</v>
      </c>
      <c r="BH388" s="34" t="s">
        <v>3895</v>
      </c>
      <c r="BI388" s="34" t="str">
        <f>HYPERLINK("http://dx.doi.org/10.1016/j.enconman.2013.11.007","http://dx.doi.org/10.1016/j.enconman.2013.11.007")</f>
        <v>http://dx.doi.org/10.1016/j.enconman.2013.11.007</v>
      </c>
      <c r="BJ388" s="32" t="s">
        <v>1225</v>
      </c>
      <c r="BK388" s="32" t="s">
        <v>1225</v>
      </c>
      <c r="BL388" s="32" t="s">
        <v>1225</v>
      </c>
      <c r="BM388" s="32" t="s">
        <v>1225</v>
      </c>
      <c r="BN388" s="32" t="s">
        <v>1225</v>
      </c>
      <c r="BO388" s="32" t="s">
        <v>1225</v>
      </c>
      <c r="BP388" s="32" t="s">
        <v>1225</v>
      </c>
      <c r="BQ388" s="32" t="s">
        <v>1225</v>
      </c>
      <c r="BR388" s="32" t="s">
        <v>1225</v>
      </c>
      <c r="BS388" s="32" t="s">
        <v>1225</v>
      </c>
      <c r="BT388" s="32" t="s">
        <v>1225</v>
      </c>
      <c r="BU388" s="32" t="s">
        <v>1225</v>
      </c>
      <c r="BV388" s="32" t="s">
        <v>1225</v>
      </c>
      <c r="BW388" s="32" t="str">
        <f t="shared" si="12"/>
        <v>View Full Record in Web of Science</v>
      </c>
      <c r="BY388" s="41" t="str">
        <f>IF(Deletion!J388=TRUE,"Yes","No")</f>
        <v>No</v>
      </c>
    </row>
    <row r="389" spans="1:77" x14ac:dyDescent="0.15">
      <c r="A389" s="32">
        <f t="shared" ref="A389:A452" si="13">A388+1</f>
        <v>388</v>
      </c>
      <c r="D389" s="32" t="s">
        <v>1223</v>
      </c>
      <c r="E389" s="32" t="s">
        <v>3896</v>
      </c>
      <c r="F389" s="32" t="s">
        <v>1225</v>
      </c>
      <c r="G389" s="32" t="s">
        <v>1225</v>
      </c>
      <c r="H389" s="32" t="s">
        <v>1225</v>
      </c>
      <c r="I389" s="32" t="s">
        <v>3897</v>
      </c>
      <c r="J389" s="32" t="s">
        <v>1225</v>
      </c>
      <c r="K389" s="32" t="s">
        <v>1225</v>
      </c>
      <c r="L389" s="32" t="s">
        <v>3898</v>
      </c>
      <c r="M389" s="32" t="s">
        <v>124</v>
      </c>
      <c r="N389" s="32" t="s">
        <v>1225</v>
      </c>
      <c r="O389" s="32" t="s">
        <v>1225</v>
      </c>
      <c r="P389" s="32" t="s">
        <v>1225</v>
      </c>
      <c r="Q389" s="32" t="s">
        <v>1227</v>
      </c>
      <c r="R389" s="32" t="s">
        <v>1225</v>
      </c>
      <c r="S389" s="32" t="s">
        <v>1225</v>
      </c>
      <c r="T389" s="32" t="s">
        <v>1225</v>
      </c>
      <c r="U389" s="32" t="s">
        <v>1225</v>
      </c>
      <c r="V389" s="32" t="s">
        <v>1225</v>
      </c>
      <c r="W389" s="32" t="s">
        <v>3899</v>
      </c>
      <c r="X389" s="32" t="s">
        <v>3900</v>
      </c>
      <c r="Y389" s="32" t="s">
        <v>3901</v>
      </c>
      <c r="Z389" s="32" t="s">
        <v>1225</v>
      </c>
      <c r="AA389" s="32" t="s">
        <v>1225</v>
      </c>
      <c r="AB389" s="32" t="s">
        <v>1225</v>
      </c>
      <c r="AC389" s="32" t="s">
        <v>1225</v>
      </c>
      <c r="AD389" s="32" t="s">
        <v>1225</v>
      </c>
      <c r="AE389" s="32" t="s">
        <v>1225</v>
      </c>
      <c r="AF389" s="32" t="s">
        <v>1225</v>
      </c>
      <c r="AG389" s="32" t="s">
        <v>1225</v>
      </c>
      <c r="AH389" s="32" t="s">
        <v>1225</v>
      </c>
      <c r="AI389" s="32" t="s">
        <v>1225</v>
      </c>
      <c r="AJ389" s="32" t="s">
        <v>1225</v>
      </c>
      <c r="AK389" s="32" t="s">
        <v>1225</v>
      </c>
      <c r="AL389" s="32" t="s">
        <v>1225</v>
      </c>
      <c r="AM389" s="32" t="s">
        <v>1225</v>
      </c>
      <c r="AN389" s="32" t="s">
        <v>1225</v>
      </c>
      <c r="AO389" s="32" t="s">
        <v>1225</v>
      </c>
      <c r="AP389" s="32" t="s">
        <v>1225</v>
      </c>
      <c r="AQ389" s="32" t="s">
        <v>1225</v>
      </c>
      <c r="AR389" s="32" t="s">
        <v>1225</v>
      </c>
      <c r="AS389" s="32" t="s">
        <v>1225</v>
      </c>
      <c r="AT389" s="32" t="s">
        <v>1225</v>
      </c>
      <c r="AU389" s="32" t="s">
        <v>1225</v>
      </c>
      <c r="AV389" s="32" t="s">
        <v>1225</v>
      </c>
      <c r="AW389" s="32" t="s">
        <v>1298</v>
      </c>
      <c r="AX389" s="32">
        <v>2018</v>
      </c>
      <c r="AY389" s="32">
        <v>9</v>
      </c>
      <c r="AZ389" s="32">
        <v>5</v>
      </c>
      <c r="BA389" s="32" t="s">
        <v>1225</v>
      </c>
      <c r="BB389" s="32" t="s">
        <v>1225</v>
      </c>
      <c r="BC389" s="32" t="s">
        <v>1225</v>
      </c>
      <c r="BD389" s="32" t="s">
        <v>1225</v>
      </c>
      <c r="BE389" s="32">
        <v>4027</v>
      </c>
      <c r="BF389" s="32">
        <v>4037</v>
      </c>
      <c r="BG389" s="32" t="s">
        <v>1225</v>
      </c>
      <c r="BH389" s="32" t="s">
        <v>3902</v>
      </c>
      <c r="BI389" s="32" t="str">
        <f>HYPERLINK("http://dx.doi.org/10.1109/TSG.2016.2647620","http://dx.doi.org/10.1109/TSG.2016.2647620")</f>
        <v>http://dx.doi.org/10.1109/TSG.2016.2647620</v>
      </c>
      <c r="BJ389" s="32" t="s">
        <v>1225</v>
      </c>
      <c r="BK389" s="32" t="s">
        <v>1225</v>
      </c>
      <c r="BL389" s="32" t="s">
        <v>1225</v>
      </c>
      <c r="BM389" s="32" t="s">
        <v>1225</v>
      </c>
      <c r="BN389" s="32" t="s">
        <v>1225</v>
      </c>
      <c r="BO389" s="32" t="s">
        <v>1225</v>
      </c>
      <c r="BP389" s="32" t="s">
        <v>1225</v>
      </c>
      <c r="BQ389" s="32" t="s">
        <v>1225</v>
      </c>
      <c r="BR389" s="32" t="s">
        <v>1225</v>
      </c>
      <c r="BS389" s="32" t="s">
        <v>1225</v>
      </c>
      <c r="BT389" s="32" t="s">
        <v>1225</v>
      </c>
      <c r="BU389" s="32" t="s">
        <v>1225</v>
      </c>
      <c r="BV389" s="32" t="s">
        <v>1225</v>
      </c>
      <c r="BW389" s="32" t="str">
        <f t="shared" si="12"/>
        <v>View Full Record in Web of Science</v>
      </c>
      <c r="BY389" s="41" t="str">
        <f>IF(Deletion!J389=TRUE,"Yes","No")</f>
        <v>Yes</v>
      </c>
    </row>
    <row r="390" spans="1:77" x14ac:dyDescent="0.15">
      <c r="A390" s="32">
        <f t="shared" si="13"/>
        <v>389</v>
      </c>
      <c r="D390" s="32" t="s">
        <v>1223</v>
      </c>
      <c r="E390" s="32" t="s">
        <v>3903</v>
      </c>
      <c r="F390" s="32" t="s">
        <v>1225</v>
      </c>
      <c r="G390" s="32" t="s">
        <v>1225</v>
      </c>
      <c r="H390" s="32" t="s">
        <v>1225</v>
      </c>
      <c r="I390" s="32" t="s">
        <v>3904</v>
      </c>
      <c r="J390" s="32" t="s">
        <v>1225</v>
      </c>
      <c r="K390" s="32" t="s">
        <v>1225</v>
      </c>
      <c r="L390" s="32" t="s">
        <v>3905</v>
      </c>
      <c r="M390" s="32" t="s">
        <v>124</v>
      </c>
      <c r="N390" s="32" t="s">
        <v>1225</v>
      </c>
      <c r="O390" s="32" t="s">
        <v>1225</v>
      </c>
      <c r="P390" s="32" t="s">
        <v>1225</v>
      </c>
      <c r="Q390" s="32" t="s">
        <v>1227</v>
      </c>
      <c r="R390" s="32" t="s">
        <v>1225</v>
      </c>
      <c r="S390" s="32" t="s">
        <v>1225</v>
      </c>
      <c r="T390" s="32" t="s">
        <v>1225</v>
      </c>
      <c r="U390" s="32" t="s">
        <v>1225</v>
      </c>
      <c r="V390" s="32" t="s">
        <v>1225</v>
      </c>
      <c r="W390" s="32" t="s">
        <v>3906</v>
      </c>
      <c r="X390" s="32" t="s">
        <v>3907</v>
      </c>
      <c r="Y390" s="32" t="s">
        <v>3908</v>
      </c>
      <c r="Z390" s="32" t="s">
        <v>1225</v>
      </c>
      <c r="AA390" s="32" t="s">
        <v>1225</v>
      </c>
      <c r="AB390" s="32" t="s">
        <v>1225</v>
      </c>
      <c r="AC390" s="32" t="s">
        <v>1225</v>
      </c>
      <c r="AD390" s="32" t="s">
        <v>1225</v>
      </c>
      <c r="AE390" s="32" t="s">
        <v>1225</v>
      </c>
      <c r="AF390" s="32" t="s">
        <v>1225</v>
      </c>
      <c r="AG390" s="32" t="s">
        <v>1225</v>
      </c>
      <c r="AH390" s="32" t="s">
        <v>1225</v>
      </c>
      <c r="AI390" s="32" t="s">
        <v>1225</v>
      </c>
      <c r="AJ390" s="32" t="s">
        <v>1225</v>
      </c>
      <c r="AK390" s="32" t="s">
        <v>1225</v>
      </c>
      <c r="AL390" s="32" t="s">
        <v>1225</v>
      </c>
      <c r="AM390" s="32" t="s">
        <v>1225</v>
      </c>
      <c r="AN390" s="32" t="s">
        <v>1225</v>
      </c>
      <c r="AO390" s="32" t="s">
        <v>1225</v>
      </c>
      <c r="AP390" s="32" t="s">
        <v>1225</v>
      </c>
      <c r="AQ390" s="32" t="s">
        <v>1225</v>
      </c>
      <c r="AR390" s="32" t="s">
        <v>1225</v>
      </c>
      <c r="AS390" s="32" t="s">
        <v>1225</v>
      </c>
      <c r="AT390" s="32" t="s">
        <v>1225</v>
      </c>
      <c r="AU390" s="32" t="s">
        <v>1225</v>
      </c>
      <c r="AV390" s="32" t="s">
        <v>1225</v>
      </c>
      <c r="AW390" s="32" t="s">
        <v>1272</v>
      </c>
      <c r="AX390" s="32">
        <v>2017</v>
      </c>
      <c r="AY390" s="32">
        <v>8</v>
      </c>
      <c r="AZ390" s="32">
        <v>2</v>
      </c>
      <c r="BA390" s="32" t="s">
        <v>1225</v>
      </c>
      <c r="BB390" s="32" t="s">
        <v>1225</v>
      </c>
      <c r="BC390" s="32" t="s">
        <v>1225</v>
      </c>
      <c r="BD390" s="32" t="s">
        <v>1225</v>
      </c>
      <c r="BE390" s="32">
        <v>802</v>
      </c>
      <c r="BF390" s="32">
        <v>811</v>
      </c>
      <c r="BG390" s="32" t="s">
        <v>1225</v>
      </c>
      <c r="BH390" s="32" t="s">
        <v>3909</v>
      </c>
      <c r="BI390" s="32" t="str">
        <f>HYPERLINK("http://dx.doi.org/10.1109/TSG.2015.2463819","http://dx.doi.org/10.1109/TSG.2015.2463819")</f>
        <v>http://dx.doi.org/10.1109/TSG.2015.2463819</v>
      </c>
      <c r="BJ390" s="32" t="s">
        <v>1225</v>
      </c>
      <c r="BK390" s="32" t="s">
        <v>1225</v>
      </c>
      <c r="BL390" s="32" t="s">
        <v>1225</v>
      </c>
      <c r="BM390" s="32" t="s">
        <v>1225</v>
      </c>
      <c r="BN390" s="32" t="s">
        <v>1225</v>
      </c>
      <c r="BO390" s="32" t="s">
        <v>1225</v>
      </c>
      <c r="BP390" s="32" t="s">
        <v>1225</v>
      </c>
      <c r="BQ390" s="32" t="s">
        <v>1225</v>
      </c>
      <c r="BR390" s="32" t="s">
        <v>1225</v>
      </c>
      <c r="BS390" s="32" t="s">
        <v>1225</v>
      </c>
      <c r="BT390" s="32" t="s">
        <v>1225</v>
      </c>
      <c r="BU390" s="32" t="s">
        <v>1225</v>
      </c>
      <c r="BV390" s="32" t="s">
        <v>1225</v>
      </c>
      <c r="BW390" s="32" t="str">
        <f t="shared" si="12"/>
        <v>View Full Record in Web of Science</v>
      </c>
      <c r="BY390" s="41" t="str">
        <f>IF(Deletion!J390=TRUE,"Yes","No")</f>
        <v>Yes</v>
      </c>
    </row>
    <row r="391" spans="1:77" x14ac:dyDescent="0.15">
      <c r="A391" s="32">
        <f t="shared" si="13"/>
        <v>390</v>
      </c>
      <c r="D391" s="32" t="s">
        <v>1223</v>
      </c>
      <c r="E391" s="32" t="s">
        <v>3910</v>
      </c>
      <c r="F391" s="32" t="s">
        <v>1225</v>
      </c>
      <c r="G391" s="32" t="s">
        <v>1225</v>
      </c>
      <c r="H391" s="32" t="s">
        <v>1225</v>
      </c>
      <c r="I391" s="32" t="s">
        <v>3911</v>
      </c>
      <c r="J391" s="32" t="s">
        <v>1225</v>
      </c>
      <c r="K391" s="32" t="s">
        <v>1225</v>
      </c>
      <c r="L391" s="32" t="s">
        <v>3912</v>
      </c>
      <c r="M391" s="32" t="s">
        <v>124</v>
      </c>
      <c r="N391" s="32" t="s">
        <v>1225</v>
      </c>
      <c r="O391" s="32" t="s">
        <v>1225</v>
      </c>
      <c r="P391" s="32" t="s">
        <v>1225</v>
      </c>
      <c r="Q391" s="32" t="s">
        <v>1227</v>
      </c>
      <c r="R391" s="32" t="s">
        <v>1225</v>
      </c>
      <c r="S391" s="32" t="s">
        <v>1225</v>
      </c>
      <c r="T391" s="32" t="s">
        <v>1225</v>
      </c>
      <c r="U391" s="32" t="s">
        <v>1225</v>
      </c>
      <c r="V391" s="32" t="s">
        <v>1225</v>
      </c>
      <c r="W391" s="32" t="s">
        <v>3913</v>
      </c>
      <c r="X391" s="32" t="s">
        <v>3914</v>
      </c>
      <c r="Y391" s="32" t="s">
        <v>3915</v>
      </c>
      <c r="Z391" s="32" t="s">
        <v>1225</v>
      </c>
      <c r="AA391" s="32" t="s">
        <v>1225</v>
      </c>
      <c r="AB391" s="32" t="s">
        <v>1225</v>
      </c>
      <c r="AC391" s="32" t="s">
        <v>1225</v>
      </c>
      <c r="AD391" s="32" t="s">
        <v>1225</v>
      </c>
      <c r="AE391" s="32" t="s">
        <v>1225</v>
      </c>
      <c r="AF391" s="32" t="s">
        <v>1225</v>
      </c>
      <c r="AG391" s="32" t="s">
        <v>1225</v>
      </c>
      <c r="AH391" s="32" t="s">
        <v>1225</v>
      </c>
      <c r="AI391" s="32" t="s">
        <v>1225</v>
      </c>
      <c r="AJ391" s="32" t="s">
        <v>1225</v>
      </c>
      <c r="AK391" s="32" t="s">
        <v>1225</v>
      </c>
      <c r="AL391" s="32" t="s">
        <v>1225</v>
      </c>
      <c r="AM391" s="32" t="s">
        <v>1225</v>
      </c>
      <c r="AN391" s="32" t="s">
        <v>1225</v>
      </c>
      <c r="AO391" s="32" t="s">
        <v>1225</v>
      </c>
      <c r="AP391" s="32" t="s">
        <v>1225</v>
      </c>
      <c r="AQ391" s="32" t="s">
        <v>1225</v>
      </c>
      <c r="AR391" s="32" t="s">
        <v>1225</v>
      </c>
      <c r="AS391" s="32" t="s">
        <v>1225</v>
      </c>
      <c r="AT391" s="32" t="s">
        <v>1225</v>
      </c>
      <c r="AU391" s="32" t="s">
        <v>1225</v>
      </c>
      <c r="AV391" s="32" t="s">
        <v>1225</v>
      </c>
      <c r="AW391" s="32" t="s">
        <v>1229</v>
      </c>
      <c r="AX391" s="32">
        <v>2021</v>
      </c>
      <c r="AY391" s="32">
        <v>12</v>
      </c>
      <c r="AZ391" s="32">
        <v>6</v>
      </c>
      <c r="BA391" s="32" t="s">
        <v>1225</v>
      </c>
      <c r="BB391" s="32" t="s">
        <v>1225</v>
      </c>
      <c r="BC391" s="32" t="s">
        <v>1225</v>
      </c>
      <c r="BD391" s="32" t="s">
        <v>1225</v>
      </c>
      <c r="BE391" s="32">
        <v>5124</v>
      </c>
      <c r="BF391" s="32">
        <v>5134</v>
      </c>
      <c r="BG391" s="32" t="s">
        <v>1225</v>
      </c>
      <c r="BH391" s="32" t="s">
        <v>3916</v>
      </c>
      <c r="BI391" s="32" t="str">
        <f>HYPERLINK("http://dx.doi.org/10.1109/TSG.2021.3098298","http://dx.doi.org/10.1109/TSG.2021.3098298")</f>
        <v>http://dx.doi.org/10.1109/TSG.2021.3098298</v>
      </c>
      <c r="BJ391" s="32" t="s">
        <v>1225</v>
      </c>
      <c r="BK391" s="32" t="s">
        <v>1225</v>
      </c>
      <c r="BL391" s="32" t="s">
        <v>1225</v>
      </c>
      <c r="BM391" s="32" t="s">
        <v>1225</v>
      </c>
      <c r="BN391" s="32" t="s">
        <v>1225</v>
      </c>
      <c r="BO391" s="32" t="s">
        <v>1225</v>
      </c>
      <c r="BP391" s="32" t="s">
        <v>1225</v>
      </c>
      <c r="BQ391" s="32" t="s">
        <v>1225</v>
      </c>
      <c r="BR391" s="32" t="s">
        <v>1225</v>
      </c>
      <c r="BS391" s="32" t="s">
        <v>1225</v>
      </c>
      <c r="BT391" s="32" t="s">
        <v>1225</v>
      </c>
      <c r="BU391" s="32" t="s">
        <v>1225</v>
      </c>
      <c r="BV391" s="32" t="s">
        <v>1225</v>
      </c>
      <c r="BW391" s="32" t="str">
        <f t="shared" si="12"/>
        <v>View Full Record in Web of Science</v>
      </c>
      <c r="BY391" s="41" t="str">
        <f>IF(Deletion!J391=TRUE,"Yes","No")</f>
        <v>Yes</v>
      </c>
    </row>
    <row r="392" spans="1:77" x14ac:dyDescent="0.15">
      <c r="A392" s="32">
        <f t="shared" si="13"/>
        <v>391</v>
      </c>
      <c r="D392" s="32" t="s">
        <v>1223</v>
      </c>
      <c r="E392" s="32" t="s">
        <v>3917</v>
      </c>
      <c r="F392" s="32" t="s">
        <v>1225</v>
      </c>
      <c r="G392" s="32" t="s">
        <v>1225</v>
      </c>
      <c r="H392" s="32" t="s">
        <v>1225</v>
      </c>
      <c r="I392" s="32" t="s">
        <v>3918</v>
      </c>
      <c r="J392" s="32" t="s">
        <v>1225</v>
      </c>
      <c r="K392" s="32" t="s">
        <v>1225</v>
      </c>
      <c r="L392" s="32" t="s">
        <v>3919</v>
      </c>
      <c r="M392" s="32" t="s">
        <v>1484</v>
      </c>
      <c r="N392" s="32" t="s">
        <v>1225</v>
      </c>
      <c r="O392" s="32" t="s">
        <v>1225</v>
      </c>
      <c r="P392" s="32" t="s">
        <v>1225</v>
      </c>
      <c r="Q392" s="32" t="s">
        <v>1227</v>
      </c>
      <c r="R392" s="32" t="s">
        <v>1225</v>
      </c>
      <c r="S392" s="32" t="s">
        <v>1225</v>
      </c>
      <c r="T392" s="32" t="s">
        <v>1225</v>
      </c>
      <c r="U392" s="32" t="s">
        <v>1225</v>
      </c>
      <c r="V392" s="32" t="s">
        <v>1225</v>
      </c>
      <c r="W392" s="32" t="s">
        <v>3920</v>
      </c>
      <c r="X392" s="32" t="s">
        <v>3921</v>
      </c>
      <c r="Y392" s="32" t="s">
        <v>3922</v>
      </c>
      <c r="Z392" s="32" t="s">
        <v>1225</v>
      </c>
      <c r="AA392" s="32" t="s">
        <v>1225</v>
      </c>
      <c r="AB392" s="32" t="s">
        <v>1225</v>
      </c>
      <c r="AC392" s="32" t="s">
        <v>1225</v>
      </c>
      <c r="AD392" s="32" t="s">
        <v>1225</v>
      </c>
      <c r="AE392" s="32" t="s">
        <v>1225</v>
      </c>
      <c r="AF392" s="32" t="s">
        <v>1225</v>
      </c>
      <c r="AG392" s="32" t="s">
        <v>1225</v>
      </c>
      <c r="AH392" s="32" t="s">
        <v>1225</v>
      </c>
      <c r="AI392" s="32" t="s">
        <v>1225</v>
      </c>
      <c r="AJ392" s="32" t="s">
        <v>1225</v>
      </c>
      <c r="AK392" s="32" t="s">
        <v>1225</v>
      </c>
      <c r="AL392" s="32" t="s">
        <v>1225</v>
      </c>
      <c r="AM392" s="32" t="s">
        <v>1225</v>
      </c>
      <c r="AN392" s="32" t="s">
        <v>1225</v>
      </c>
      <c r="AO392" s="32" t="s">
        <v>1225</v>
      </c>
      <c r="AP392" s="32" t="s">
        <v>1225</v>
      </c>
      <c r="AQ392" s="32" t="s">
        <v>1225</v>
      </c>
      <c r="AR392" s="32" t="s">
        <v>1225</v>
      </c>
      <c r="AS392" s="32" t="s">
        <v>1225</v>
      </c>
      <c r="AT392" s="32" t="s">
        <v>1225</v>
      </c>
      <c r="AU392" s="32" t="s">
        <v>1225</v>
      </c>
      <c r="AV392" s="32" t="s">
        <v>1225</v>
      </c>
      <c r="AW392" s="32" t="s">
        <v>3923</v>
      </c>
      <c r="AX392" s="32">
        <v>2021</v>
      </c>
      <c r="AY392" s="32">
        <v>9</v>
      </c>
      <c r="AZ392" s="32" t="s">
        <v>1225</v>
      </c>
      <c r="BA392" s="32" t="s">
        <v>1225</v>
      </c>
      <c r="BB392" s="32" t="s">
        <v>1225</v>
      </c>
      <c r="BC392" s="32" t="s">
        <v>1225</v>
      </c>
      <c r="BD392" s="32" t="s">
        <v>1225</v>
      </c>
      <c r="BE392" s="32" t="s">
        <v>1225</v>
      </c>
      <c r="BF392" s="32" t="s">
        <v>1225</v>
      </c>
      <c r="BG392" s="32">
        <v>631200</v>
      </c>
      <c r="BH392" s="32" t="s">
        <v>3924</v>
      </c>
      <c r="BI392" s="32" t="str">
        <f>HYPERLINK("http://dx.doi.org/10.3389/fenrg.2021.631200","http://dx.doi.org/10.3389/fenrg.2021.631200")</f>
        <v>http://dx.doi.org/10.3389/fenrg.2021.631200</v>
      </c>
      <c r="BJ392" s="32" t="s">
        <v>1225</v>
      </c>
      <c r="BK392" s="32" t="s">
        <v>1225</v>
      </c>
      <c r="BL392" s="32" t="s">
        <v>1225</v>
      </c>
      <c r="BM392" s="32" t="s">
        <v>1225</v>
      </c>
      <c r="BN392" s="32" t="s">
        <v>1225</v>
      </c>
      <c r="BO392" s="32" t="s">
        <v>1225</v>
      </c>
      <c r="BP392" s="32" t="s">
        <v>1225</v>
      </c>
      <c r="BQ392" s="32" t="s">
        <v>1225</v>
      </c>
      <c r="BR392" s="32" t="s">
        <v>1225</v>
      </c>
      <c r="BS392" s="32" t="s">
        <v>1225</v>
      </c>
      <c r="BT392" s="32" t="s">
        <v>1225</v>
      </c>
      <c r="BU392" s="32" t="s">
        <v>1225</v>
      </c>
      <c r="BV392" s="32" t="s">
        <v>1225</v>
      </c>
      <c r="BW392" s="32" t="str">
        <f t="shared" si="12"/>
        <v>View Full Record in Web of Science</v>
      </c>
      <c r="BY392" s="41" t="str">
        <f>IF(Deletion!J392=TRUE,"Yes","No")</f>
        <v>Yes</v>
      </c>
    </row>
    <row r="393" spans="1:77" x14ac:dyDescent="0.15">
      <c r="A393" s="32">
        <f t="shared" si="13"/>
        <v>392</v>
      </c>
      <c r="D393" s="32" t="s">
        <v>1223</v>
      </c>
      <c r="E393" s="32" t="s">
        <v>3925</v>
      </c>
      <c r="F393" s="32" t="s">
        <v>1225</v>
      </c>
      <c r="G393" s="32" t="s">
        <v>1225</v>
      </c>
      <c r="H393" s="32" t="s">
        <v>1225</v>
      </c>
      <c r="I393" s="32" t="s">
        <v>3926</v>
      </c>
      <c r="J393" s="32" t="s">
        <v>1225</v>
      </c>
      <c r="K393" s="32" t="s">
        <v>1225</v>
      </c>
      <c r="L393" s="32" t="s">
        <v>3927</v>
      </c>
      <c r="M393" s="32" t="s">
        <v>3360</v>
      </c>
      <c r="N393" s="32" t="s">
        <v>1225</v>
      </c>
      <c r="O393" s="32" t="s">
        <v>1225</v>
      </c>
      <c r="P393" s="32" t="s">
        <v>1225</v>
      </c>
      <c r="Q393" s="32" t="s">
        <v>1227</v>
      </c>
      <c r="R393" s="32" t="s">
        <v>1225</v>
      </c>
      <c r="S393" s="32" t="s">
        <v>1225</v>
      </c>
      <c r="T393" s="32" t="s">
        <v>1225</v>
      </c>
      <c r="U393" s="32" t="s">
        <v>1225</v>
      </c>
      <c r="V393" s="32" t="s">
        <v>1225</v>
      </c>
      <c r="W393" s="32" t="s">
        <v>3928</v>
      </c>
      <c r="X393" s="32" t="s">
        <v>3929</v>
      </c>
      <c r="Y393" s="32" t="s">
        <v>3930</v>
      </c>
      <c r="Z393" s="32" t="s">
        <v>1225</v>
      </c>
      <c r="AA393" s="32" t="s">
        <v>1225</v>
      </c>
      <c r="AB393" s="32" t="s">
        <v>1225</v>
      </c>
      <c r="AC393" s="32" t="s">
        <v>1225</v>
      </c>
      <c r="AD393" s="32" t="s">
        <v>1225</v>
      </c>
      <c r="AE393" s="32" t="s">
        <v>1225</v>
      </c>
      <c r="AF393" s="32" t="s">
        <v>1225</v>
      </c>
      <c r="AG393" s="32" t="s">
        <v>1225</v>
      </c>
      <c r="AH393" s="32" t="s">
        <v>1225</v>
      </c>
      <c r="AI393" s="32" t="s">
        <v>1225</v>
      </c>
      <c r="AJ393" s="32" t="s">
        <v>1225</v>
      </c>
      <c r="AK393" s="32" t="s">
        <v>1225</v>
      </c>
      <c r="AL393" s="32" t="s">
        <v>1225</v>
      </c>
      <c r="AM393" s="32" t="s">
        <v>1225</v>
      </c>
      <c r="AN393" s="32" t="s">
        <v>1225</v>
      </c>
      <c r="AO393" s="32" t="s">
        <v>1225</v>
      </c>
      <c r="AP393" s="32" t="s">
        <v>1225</v>
      </c>
      <c r="AQ393" s="32" t="s">
        <v>1225</v>
      </c>
      <c r="AR393" s="32" t="s">
        <v>1225</v>
      </c>
      <c r="AS393" s="32" t="s">
        <v>1225</v>
      </c>
      <c r="AT393" s="32" t="s">
        <v>1225</v>
      </c>
      <c r="AU393" s="32" t="s">
        <v>1225</v>
      </c>
      <c r="AV393" s="32" t="s">
        <v>1225</v>
      </c>
      <c r="AW393" s="32" t="s">
        <v>3364</v>
      </c>
      <c r="AX393" s="32">
        <v>2020</v>
      </c>
      <c r="AY393" s="32">
        <v>14</v>
      </c>
      <c r="AZ393" s="32">
        <v>3</v>
      </c>
      <c r="BA393" s="32" t="s">
        <v>1225</v>
      </c>
      <c r="BB393" s="32" t="s">
        <v>1225</v>
      </c>
      <c r="BC393" s="32" t="s">
        <v>1225</v>
      </c>
      <c r="BD393" s="32" t="s">
        <v>1225</v>
      </c>
      <c r="BE393" s="32">
        <v>3676</v>
      </c>
      <c r="BF393" s="32">
        <v>3686</v>
      </c>
      <c r="BG393" s="32" t="s">
        <v>1225</v>
      </c>
      <c r="BH393" s="32" t="s">
        <v>3931</v>
      </c>
      <c r="BI393" s="32" t="str">
        <f>HYPERLINK("http://dx.doi.org/10.1109/JSYST.2020.2967752","http://dx.doi.org/10.1109/JSYST.2020.2967752")</f>
        <v>http://dx.doi.org/10.1109/JSYST.2020.2967752</v>
      </c>
      <c r="BJ393" s="32" t="s">
        <v>1225</v>
      </c>
      <c r="BK393" s="32" t="s">
        <v>1225</v>
      </c>
      <c r="BL393" s="32" t="s">
        <v>1225</v>
      </c>
      <c r="BM393" s="32" t="s">
        <v>1225</v>
      </c>
      <c r="BN393" s="32" t="s">
        <v>1225</v>
      </c>
      <c r="BO393" s="32" t="s">
        <v>1225</v>
      </c>
      <c r="BP393" s="32" t="s">
        <v>1225</v>
      </c>
      <c r="BQ393" s="32" t="s">
        <v>1225</v>
      </c>
      <c r="BR393" s="32" t="s">
        <v>1225</v>
      </c>
      <c r="BS393" s="32" t="s">
        <v>1225</v>
      </c>
      <c r="BT393" s="32" t="s">
        <v>1225</v>
      </c>
      <c r="BU393" s="32" t="s">
        <v>1225</v>
      </c>
      <c r="BV393" s="32" t="s">
        <v>1225</v>
      </c>
      <c r="BW393" s="32" t="str">
        <f t="shared" si="12"/>
        <v>View Full Record in Web of Science</v>
      </c>
      <c r="BY393" s="41" t="str">
        <f>IF(Deletion!J393=TRUE,"Yes","No")</f>
        <v>Yes</v>
      </c>
    </row>
    <row r="394" spans="1:77" x14ac:dyDescent="0.15">
      <c r="A394" s="32">
        <f t="shared" si="13"/>
        <v>393</v>
      </c>
      <c r="D394" s="32" t="s">
        <v>1223</v>
      </c>
      <c r="E394" s="32" t="s">
        <v>3932</v>
      </c>
      <c r="F394" s="32" t="s">
        <v>1225</v>
      </c>
      <c r="G394" s="32" t="s">
        <v>1225</v>
      </c>
      <c r="H394" s="32" t="s">
        <v>1225</v>
      </c>
      <c r="I394" s="32" t="s">
        <v>3933</v>
      </c>
      <c r="J394" s="32" t="s">
        <v>1225</v>
      </c>
      <c r="K394" s="32" t="s">
        <v>1225</v>
      </c>
      <c r="L394" s="32" t="s">
        <v>3934</v>
      </c>
      <c r="M394" s="32" t="s">
        <v>1530</v>
      </c>
      <c r="N394" s="32" t="s">
        <v>1225</v>
      </c>
      <c r="O394" s="32" t="s">
        <v>1225</v>
      </c>
      <c r="P394" s="32" t="s">
        <v>1225</v>
      </c>
      <c r="Q394" s="32" t="s">
        <v>1227</v>
      </c>
      <c r="R394" s="32" t="s">
        <v>1225</v>
      </c>
      <c r="S394" s="32" t="s">
        <v>1225</v>
      </c>
      <c r="T394" s="32" t="s">
        <v>1225</v>
      </c>
      <c r="U394" s="32" t="s">
        <v>1225</v>
      </c>
      <c r="V394" s="32" t="s">
        <v>1225</v>
      </c>
      <c r="W394" s="32" t="s">
        <v>3935</v>
      </c>
      <c r="X394" s="32" t="s">
        <v>3936</v>
      </c>
      <c r="Y394" s="32" t="s">
        <v>3937</v>
      </c>
      <c r="Z394" s="32" t="s">
        <v>1225</v>
      </c>
      <c r="AA394" s="32" t="s">
        <v>1225</v>
      </c>
      <c r="AB394" s="32" t="s">
        <v>1225</v>
      </c>
      <c r="AC394" s="32" t="s">
        <v>1225</v>
      </c>
      <c r="AD394" s="32" t="s">
        <v>1225</v>
      </c>
      <c r="AE394" s="32" t="s">
        <v>1225</v>
      </c>
      <c r="AF394" s="32" t="s">
        <v>1225</v>
      </c>
      <c r="AG394" s="32" t="s">
        <v>1225</v>
      </c>
      <c r="AH394" s="32" t="s">
        <v>1225</v>
      </c>
      <c r="AI394" s="32" t="s">
        <v>1225</v>
      </c>
      <c r="AJ394" s="32" t="s">
        <v>1225</v>
      </c>
      <c r="AK394" s="32" t="s">
        <v>1225</v>
      </c>
      <c r="AL394" s="32" t="s">
        <v>1225</v>
      </c>
      <c r="AM394" s="32" t="s">
        <v>1225</v>
      </c>
      <c r="AN394" s="32" t="s">
        <v>1225</v>
      </c>
      <c r="AO394" s="32" t="s">
        <v>1225</v>
      </c>
      <c r="AP394" s="32" t="s">
        <v>1225</v>
      </c>
      <c r="AQ394" s="32" t="s">
        <v>1225</v>
      </c>
      <c r="AR394" s="32" t="s">
        <v>1225</v>
      </c>
      <c r="AS394" s="32" t="s">
        <v>1225</v>
      </c>
      <c r="AT394" s="32" t="s">
        <v>1225</v>
      </c>
      <c r="AU394" s="32" t="s">
        <v>1225</v>
      </c>
      <c r="AV394" s="32" t="s">
        <v>1225</v>
      </c>
      <c r="AW394" s="32" t="s">
        <v>1272</v>
      </c>
      <c r="AX394" s="32">
        <v>2019</v>
      </c>
      <c r="AY394" s="32">
        <v>17</v>
      </c>
      <c r="AZ394" s="32">
        <v>3</v>
      </c>
      <c r="BA394" s="32" t="s">
        <v>1225</v>
      </c>
      <c r="BB394" s="32" t="s">
        <v>1225</v>
      </c>
      <c r="BC394" s="32" t="s">
        <v>1225</v>
      </c>
      <c r="BD394" s="32" t="s">
        <v>1225</v>
      </c>
      <c r="BE394" s="32">
        <v>453</v>
      </c>
      <c r="BF394" s="32">
        <v>461</v>
      </c>
      <c r="BG394" s="32" t="s">
        <v>1225</v>
      </c>
      <c r="BH394" s="32" t="s">
        <v>3938</v>
      </c>
      <c r="BI394" s="32" t="str">
        <f>HYPERLINK("http://dx.doi.org/10.1109/TLA.2019.8863316","http://dx.doi.org/10.1109/TLA.2019.8863316")</f>
        <v>http://dx.doi.org/10.1109/TLA.2019.8863316</v>
      </c>
      <c r="BJ394" s="32" t="s">
        <v>1225</v>
      </c>
      <c r="BK394" s="32" t="s">
        <v>1225</v>
      </c>
      <c r="BL394" s="32" t="s">
        <v>1225</v>
      </c>
      <c r="BM394" s="32" t="s">
        <v>1225</v>
      </c>
      <c r="BN394" s="32" t="s">
        <v>1225</v>
      </c>
      <c r="BO394" s="32" t="s">
        <v>1225</v>
      </c>
      <c r="BP394" s="32" t="s">
        <v>1225</v>
      </c>
      <c r="BQ394" s="32" t="s">
        <v>1225</v>
      </c>
      <c r="BR394" s="32" t="s">
        <v>1225</v>
      </c>
      <c r="BS394" s="32" t="s">
        <v>1225</v>
      </c>
      <c r="BT394" s="32" t="s">
        <v>1225</v>
      </c>
      <c r="BU394" s="32" t="s">
        <v>1225</v>
      </c>
      <c r="BV394" s="32" t="s">
        <v>1225</v>
      </c>
      <c r="BW394" s="32" t="str">
        <f t="shared" si="12"/>
        <v>View Full Record in Web of Science</v>
      </c>
      <c r="BY394" s="41" t="str">
        <f>IF(Deletion!J394=TRUE,"Yes","No")</f>
        <v>Yes</v>
      </c>
    </row>
    <row r="395" spans="1:77" x14ac:dyDescent="0.15">
      <c r="A395" s="32">
        <f t="shared" si="13"/>
        <v>394</v>
      </c>
      <c r="D395" s="32" t="s">
        <v>1223</v>
      </c>
      <c r="E395" s="32" t="s">
        <v>3939</v>
      </c>
      <c r="F395" s="32" t="s">
        <v>1225</v>
      </c>
      <c r="G395" s="32" t="s">
        <v>1225</v>
      </c>
      <c r="H395" s="32" t="s">
        <v>1225</v>
      </c>
      <c r="I395" s="32" t="s">
        <v>3940</v>
      </c>
      <c r="J395" s="32" t="s">
        <v>1225</v>
      </c>
      <c r="K395" s="32" t="s">
        <v>1225</v>
      </c>
      <c r="L395" s="32" t="s">
        <v>3941</v>
      </c>
      <c r="M395" s="32" t="s">
        <v>1586</v>
      </c>
      <c r="N395" s="32" t="s">
        <v>1225</v>
      </c>
      <c r="O395" s="32" t="s">
        <v>1225</v>
      </c>
      <c r="P395" s="32" t="s">
        <v>1225</v>
      </c>
      <c r="Q395" s="32" t="s">
        <v>1227</v>
      </c>
      <c r="R395" s="32" t="s">
        <v>1225</v>
      </c>
      <c r="S395" s="32" t="s">
        <v>1225</v>
      </c>
      <c r="T395" s="32" t="s">
        <v>1225</v>
      </c>
      <c r="U395" s="32" t="s">
        <v>1225</v>
      </c>
      <c r="V395" s="32" t="s">
        <v>1225</v>
      </c>
      <c r="W395" s="32" t="s">
        <v>3942</v>
      </c>
      <c r="X395" s="32" t="s">
        <v>3943</v>
      </c>
      <c r="Y395" s="32" t="s">
        <v>3944</v>
      </c>
      <c r="Z395" s="32" t="s">
        <v>1225</v>
      </c>
      <c r="AA395" s="32" t="s">
        <v>1225</v>
      </c>
      <c r="AB395" s="32" t="s">
        <v>1225</v>
      </c>
      <c r="AC395" s="32" t="s">
        <v>1225</v>
      </c>
      <c r="AD395" s="32" t="s">
        <v>1225</v>
      </c>
      <c r="AE395" s="32" t="s">
        <v>1225</v>
      </c>
      <c r="AF395" s="32" t="s">
        <v>1225</v>
      </c>
      <c r="AG395" s="32" t="s">
        <v>1225</v>
      </c>
      <c r="AH395" s="32" t="s">
        <v>1225</v>
      </c>
      <c r="AI395" s="32" t="s">
        <v>1225</v>
      </c>
      <c r="AJ395" s="32" t="s">
        <v>1225</v>
      </c>
      <c r="AK395" s="32" t="s">
        <v>1225</v>
      </c>
      <c r="AL395" s="32" t="s">
        <v>1225</v>
      </c>
      <c r="AM395" s="32" t="s">
        <v>1225</v>
      </c>
      <c r="AN395" s="32" t="s">
        <v>1225</v>
      </c>
      <c r="AO395" s="32" t="s">
        <v>1225</v>
      </c>
      <c r="AP395" s="32" t="s">
        <v>1225</v>
      </c>
      <c r="AQ395" s="32" t="s">
        <v>1225</v>
      </c>
      <c r="AR395" s="32" t="s">
        <v>1225</v>
      </c>
      <c r="AS395" s="32" t="s">
        <v>1225</v>
      </c>
      <c r="AT395" s="32" t="s">
        <v>1225</v>
      </c>
      <c r="AU395" s="32" t="s">
        <v>1225</v>
      </c>
      <c r="AV395" s="32" t="s">
        <v>1225</v>
      </c>
      <c r="AW395" s="32" t="s">
        <v>1726</v>
      </c>
      <c r="AX395" s="32">
        <v>2021</v>
      </c>
      <c r="AY395" s="32">
        <v>13</v>
      </c>
      <c r="AZ395" s="32">
        <v>7</v>
      </c>
      <c r="BA395" s="32" t="s">
        <v>1225</v>
      </c>
      <c r="BB395" s="32" t="s">
        <v>1225</v>
      </c>
      <c r="BC395" s="32" t="s">
        <v>1225</v>
      </c>
      <c r="BD395" s="32" t="s">
        <v>1225</v>
      </c>
      <c r="BE395" s="32" t="s">
        <v>1225</v>
      </c>
      <c r="BF395" s="32" t="s">
        <v>1225</v>
      </c>
      <c r="BG395" s="32">
        <v>4003</v>
      </c>
      <c r="BH395" s="32" t="s">
        <v>3945</v>
      </c>
      <c r="BI395" s="32" t="str">
        <f>HYPERLINK("http://dx.doi.org/10.3390/su13074003","http://dx.doi.org/10.3390/su13074003")</f>
        <v>http://dx.doi.org/10.3390/su13074003</v>
      </c>
      <c r="BJ395" s="32" t="s">
        <v>1225</v>
      </c>
      <c r="BK395" s="32" t="s">
        <v>1225</v>
      </c>
      <c r="BL395" s="32" t="s">
        <v>1225</v>
      </c>
      <c r="BM395" s="32" t="s">
        <v>1225</v>
      </c>
      <c r="BN395" s="32" t="s">
        <v>1225</v>
      </c>
      <c r="BO395" s="32" t="s">
        <v>1225</v>
      </c>
      <c r="BP395" s="32" t="s">
        <v>1225</v>
      </c>
      <c r="BQ395" s="32" t="s">
        <v>1225</v>
      </c>
      <c r="BR395" s="32" t="s">
        <v>1225</v>
      </c>
      <c r="BS395" s="32" t="s">
        <v>1225</v>
      </c>
      <c r="BT395" s="32" t="s">
        <v>1225</v>
      </c>
      <c r="BU395" s="32" t="s">
        <v>1225</v>
      </c>
      <c r="BV395" s="32" t="s">
        <v>1225</v>
      </c>
      <c r="BW395" s="32" t="str">
        <f t="shared" si="12"/>
        <v>View Full Record in Web of Science</v>
      </c>
      <c r="BY395" s="41" t="str">
        <f>IF(Deletion!J395=TRUE,"Yes","No")</f>
        <v>Yes</v>
      </c>
    </row>
    <row r="396" spans="1:77" x14ac:dyDescent="0.15">
      <c r="A396" s="32">
        <f t="shared" si="13"/>
        <v>395</v>
      </c>
      <c r="D396" s="32" t="s">
        <v>1223</v>
      </c>
      <c r="E396" s="32" t="s">
        <v>3946</v>
      </c>
      <c r="F396" s="32" t="s">
        <v>1225</v>
      </c>
      <c r="G396" s="32" t="s">
        <v>1225</v>
      </c>
      <c r="H396" s="32" t="s">
        <v>1225</v>
      </c>
      <c r="I396" s="32" t="s">
        <v>3947</v>
      </c>
      <c r="J396" s="32" t="s">
        <v>1225</v>
      </c>
      <c r="K396" s="32" t="s">
        <v>1225</v>
      </c>
      <c r="L396" s="32" t="s">
        <v>3948</v>
      </c>
      <c r="M396" s="32" t="s">
        <v>73</v>
      </c>
      <c r="N396" s="32" t="s">
        <v>1225</v>
      </c>
      <c r="O396" s="32" t="s">
        <v>1225</v>
      </c>
      <c r="P396" s="32" t="s">
        <v>1225</v>
      </c>
      <c r="Q396" s="32" t="s">
        <v>1227</v>
      </c>
      <c r="R396" s="32" t="s">
        <v>1225</v>
      </c>
      <c r="S396" s="32" t="s">
        <v>1225</v>
      </c>
      <c r="T396" s="32" t="s">
        <v>1225</v>
      </c>
      <c r="U396" s="32" t="s">
        <v>1225</v>
      </c>
      <c r="V396" s="32" t="s">
        <v>1225</v>
      </c>
      <c r="W396" s="32" t="s">
        <v>3949</v>
      </c>
      <c r="X396" s="32" t="s">
        <v>3950</v>
      </c>
      <c r="Y396" s="32" t="s">
        <v>3951</v>
      </c>
      <c r="Z396" s="32" t="s">
        <v>1225</v>
      </c>
      <c r="AA396" s="32" t="s">
        <v>1225</v>
      </c>
      <c r="AB396" s="32" t="s">
        <v>1225</v>
      </c>
      <c r="AC396" s="32" t="s">
        <v>1225</v>
      </c>
      <c r="AD396" s="32" t="s">
        <v>1225</v>
      </c>
      <c r="AE396" s="32" t="s">
        <v>1225</v>
      </c>
      <c r="AF396" s="32" t="s">
        <v>1225</v>
      </c>
      <c r="AG396" s="32" t="s">
        <v>1225</v>
      </c>
      <c r="AH396" s="32" t="s">
        <v>1225</v>
      </c>
      <c r="AI396" s="32" t="s">
        <v>1225</v>
      </c>
      <c r="AJ396" s="32" t="s">
        <v>1225</v>
      </c>
      <c r="AK396" s="32" t="s">
        <v>1225</v>
      </c>
      <c r="AL396" s="32" t="s">
        <v>1225</v>
      </c>
      <c r="AM396" s="32" t="s">
        <v>1225</v>
      </c>
      <c r="AN396" s="32" t="s">
        <v>1225</v>
      </c>
      <c r="AO396" s="32" t="s">
        <v>1225</v>
      </c>
      <c r="AP396" s="32" t="s">
        <v>1225</v>
      </c>
      <c r="AQ396" s="32" t="s">
        <v>1225</v>
      </c>
      <c r="AR396" s="32" t="s">
        <v>1225</v>
      </c>
      <c r="AS396" s="32" t="s">
        <v>1225</v>
      </c>
      <c r="AT396" s="32" t="s">
        <v>1225</v>
      </c>
      <c r="AU396" s="32" t="s">
        <v>1225</v>
      </c>
      <c r="AV396" s="32" t="s">
        <v>1225</v>
      </c>
      <c r="AW396" s="32" t="s">
        <v>1272</v>
      </c>
      <c r="AX396" s="32">
        <v>2017</v>
      </c>
      <c r="AY396" s="32">
        <v>3</v>
      </c>
      <c r="AZ396" s="32">
        <v>1</v>
      </c>
      <c r="BA396" s="32" t="s">
        <v>1225</v>
      </c>
      <c r="BB396" s="32" t="s">
        <v>1225</v>
      </c>
      <c r="BC396" s="32" t="s">
        <v>1225</v>
      </c>
      <c r="BD396" s="32" t="s">
        <v>1225</v>
      </c>
      <c r="BE396" s="32">
        <v>201</v>
      </c>
      <c r="BF396" s="32">
        <v>209</v>
      </c>
      <c r="BG396" s="32" t="s">
        <v>1225</v>
      </c>
      <c r="BH396" s="32" t="s">
        <v>3952</v>
      </c>
      <c r="BI396" s="32" t="str">
        <f>HYPERLINK("http://dx.doi.org/10.1109/TTE.2016.2616864","http://dx.doi.org/10.1109/TTE.2016.2616864")</f>
        <v>http://dx.doi.org/10.1109/TTE.2016.2616864</v>
      </c>
      <c r="BJ396" s="32" t="s">
        <v>1225</v>
      </c>
      <c r="BK396" s="32" t="s">
        <v>1225</v>
      </c>
      <c r="BL396" s="32" t="s">
        <v>1225</v>
      </c>
      <c r="BM396" s="32" t="s">
        <v>1225</v>
      </c>
      <c r="BN396" s="32" t="s">
        <v>1225</v>
      </c>
      <c r="BO396" s="32" t="s">
        <v>1225</v>
      </c>
      <c r="BP396" s="32" t="s">
        <v>1225</v>
      </c>
      <c r="BQ396" s="32" t="s">
        <v>1225</v>
      </c>
      <c r="BR396" s="32" t="s">
        <v>1225</v>
      </c>
      <c r="BS396" s="32" t="s">
        <v>1225</v>
      </c>
      <c r="BT396" s="32" t="s">
        <v>1225</v>
      </c>
      <c r="BU396" s="32" t="s">
        <v>1225</v>
      </c>
      <c r="BV396" s="32" t="s">
        <v>1225</v>
      </c>
      <c r="BW396" s="32" t="str">
        <f t="shared" si="12"/>
        <v>View Full Record in Web of Science</v>
      </c>
      <c r="BY396" s="41" t="str">
        <f>IF(Deletion!J396=TRUE,"Yes","No")</f>
        <v>Yes</v>
      </c>
    </row>
    <row r="397" spans="1:77" x14ac:dyDescent="0.15">
      <c r="A397" s="32">
        <f t="shared" si="13"/>
        <v>396</v>
      </c>
      <c r="D397" s="32" t="s">
        <v>1223</v>
      </c>
      <c r="E397" s="32" t="s">
        <v>3953</v>
      </c>
      <c r="F397" s="32" t="s">
        <v>1225</v>
      </c>
      <c r="G397" s="32" t="s">
        <v>1225</v>
      </c>
      <c r="H397" s="32" t="s">
        <v>1225</v>
      </c>
      <c r="I397" s="32" t="s">
        <v>3954</v>
      </c>
      <c r="J397" s="32" t="s">
        <v>1225</v>
      </c>
      <c r="K397" s="32" t="s">
        <v>1225</v>
      </c>
      <c r="L397" s="32" t="s">
        <v>3955</v>
      </c>
      <c r="M397" s="32" t="s">
        <v>422</v>
      </c>
      <c r="N397" s="32" t="s">
        <v>1225</v>
      </c>
      <c r="O397" s="32" t="s">
        <v>1225</v>
      </c>
      <c r="P397" s="32" t="s">
        <v>1225</v>
      </c>
      <c r="Q397" s="32" t="s">
        <v>1227</v>
      </c>
      <c r="R397" s="32" t="s">
        <v>1225</v>
      </c>
      <c r="S397" s="32" t="s">
        <v>1225</v>
      </c>
      <c r="T397" s="32" t="s">
        <v>1225</v>
      </c>
      <c r="U397" s="32" t="s">
        <v>1225</v>
      </c>
      <c r="V397" s="32" t="s">
        <v>1225</v>
      </c>
      <c r="W397" s="32" t="s">
        <v>3956</v>
      </c>
      <c r="X397" s="32" t="s">
        <v>3957</v>
      </c>
      <c r="Y397" s="32" t="s">
        <v>3958</v>
      </c>
      <c r="Z397" s="32" t="s">
        <v>1225</v>
      </c>
      <c r="AA397" s="32" t="s">
        <v>1225</v>
      </c>
      <c r="AB397" s="32" t="s">
        <v>1225</v>
      </c>
      <c r="AC397" s="32" t="s">
        <v>1225</v>
      </c>
      <c r="AD397" s="32" t="s">
        <v>1225</v>
      </c>
      <c r="AE397" s="32" t="s">
        <v>1225</v>
      </c>
      <c r="AF397" s="32" t="s">
        <v>1225</v>
      </c>
      <c r="AG397" s="32" t="s">
        <v>1225</v>
      </c>
      <c r="AH397" s="32" t="s">
        <v>1225</v>
      </c>
      <c r="AI397" s="32" t="s">
        <v>1225</v>
      </c>
      <c r="AJ397" s="32" t="s">
        <v>1225</v>
      </c>
      <c r="AK397" s="32" t="s">
        <v>1225</v>
      </c>
      <c r="AL397" s="32" t="s">
        <v>1225</v>
      </c>
      <c r="AM397" s="32" t="s">
        <v>1225</v>
      </c>
      <c r="AN397" s="32" t="s">
        <v>1225</v>
      </c>
      <c r="AO397" s="32" t="s">
        <v>1225</v>
      </c>
      <c r="AP397" s="32" t="s">
        <v>1225</v>
      </c>
      <c r="AQ397" s="32" t="s">
        <v>1225</v>
      </c>
      <c r="AR397" s="32" t="s">
        <v>1225</v>
      </c>
      <c r="AS397" s="32" t="s">
        <v>1225</v>
      </c>
      <c r="AT397" s="32" t="s">
        <v>1225</v>
      </c>
      <c r="AU397" s="32" t="s">
        <v>1225</v>
      </c>
      <c r="AV397" s="32" t="s">
        <v>1225</v>
      </c>
      <c r="AW397" s="32" t="s">
        <v>1726</v>
      </c>
      <c r="AX397" s="32">
        <v>2020</v>
      </c>
      <c r="AY397" s="32">
        <v>13</v>
      </c>
      <c r="AZ397" s="32">
        <v>8</v>
      </c>
      <c r="BA397" s="32" t="s">
        <v>1225</v>
      </c>
      <c r="BB397" s="32" t="s">
        <v>1225</v>
      </c>
      <c r="BC397" s="32" t="s">
        <v>1225</v>
      </c>
      <c r="BD397" s="32" t="s">
        <v>1225</v>
      </c>
      <c r="BE397" s="32" t="s">
        <v>1225</v>
      </c>
      <c r="BF397" s="32" t="s">
        <v>1225</v>
      </c>
      <c r="BG397" s="32">
        <v>1864</v>
      </c>
      <c r="BH397" s="32" t="s">
        <v>3959</v>
      </c>
      <c r="BI397" s="32" t="str">
        <f>HYPERLINK("http://dx.doi.org/10.3390/en13081864","http://dx.doi.org/10.3390/en13081864")</f>
        <v>http://dx.doi.org/10.3390/en13081864</v>
      </c>
      <c r="BJ397" s="32" t="s">
        <v>1225</v>
      </c>
      <c r="BK397" s="32" t="s">
        <v>1225</v>
      </c>
      <c r="BL397" s="32" t="s">
        <v>1225</v>
      </c>
      <c r="BM397" s="32" t="s">
        <v>1225</v>
      </c>
      <c r="BN397" s="32" t="s">
        <v>1225</v>
      </c>
      <c r="BO397" s="32" t="s">
        <v>1225</v>
      </c>
      <c r="BP397" s="32" t="s">
        <v>1225</v>
      </c>
      <c r="BQ397" s="32" t="s">
        <v>1225</v>
      </c>
      <c r="BR397" s="32" t="s">
        <v>1225</v>
      </c>
      <c r="BS397" s="32" t="s">
        <v>1225</v>
      </c>
      <c r="BT397" s="32" t="s">
        <v>1225</v>
      </c>
      <c r="BU397" s="32" t="s">
        <v>1225</v>
      </c>
      <c r="BV397" s="32" t="s">
        <v>1225</v>
      </c>
      <c r="BW397" s="32" t="str">
        <f t="shared" si="12"/>
        <v>View Full Record in Web of Science</v>
      </c>
      <c r="BY397" s="41" t="str">
        <f>IF(Deletion!J397=TRUE,"Yes","No")</f>
        <v>Yes</v>
      </c>
    </row>
    <row r="398" spans="1:77" x14ac:dyDescent="0.15">
      <c r="A398" s="34">
        <f t="shared" si="13"/>
        <v>397</v>
      </c>
      <c r="B398" s="34" t="s">
        <v>4</v>
      </c>
      <c r="C398" s="34" t="s">
        <v>4</v>
      </c>
      <c r="D398" s="34" t="s">
        <v>1223</v>
      </c>
      <c r="E398" s="34" t="s">
        <v>3960</v>
      </c>
      <c r="F398" s="32" t="s">
        <v>1225</v>
      </c>
      <c r="G398" s="32" t="s">
        <v>1225</v>
      </c>
      <c r="H398" s="32" t="s">
        <v>1225</v>
      </c>
      <c r="I398" s="34" t="s">
        <v>3961</v>
      </c>
      <c r="J398" s="32" t="s">
        <v>1225</v>
      </c>
      <c r="K398" s="32" t="s">
        <v>1225</v>
      </c>
      <c r="L398" s="34" t="s">
        <v>3962</v>
      </c>
      <c r="M398" s="34" t="s">
        <v>3963</v>
      </c>
      <c r="N398" s="32" t="s">
        <v>1225</v>
      </c>
      <c r="O398" s="32" t="s">
        <v>1225</v>
      </c>
      <c r="P398" s="32" t="s">
        <v>1225</v>
      </c>
      <c r="Q398" s="34" t="s">
        <v>1227</v>
      </c>
      <c r="R398" s="32" t="s">
        <v>1225</v>
      </c>
      <c r="S398" s="32" t="s">
        <v>1225</v>
      </c>
      <c r="T398" s="32" t="s">
        <v>1225</v>
      </c>
      <c r="U398" s="32" t="s">
        <v>1225</v>
      </c>
      <c r="V398" s="32" t="s">
        <v>1225</v>
      </c>
      <c r="W398" s="34" t="s">
        <v>3964</v>
      </c>
      <c r="X398" s="34" t="s">
        <v>3965</v>
      </c>
      <c r="Y398" s="34" t="s">
        <v>3966</v>
      </c>
      <c r="Z398" s="32" t="s">
        <v>1225</v>
      </c>
      <c r="AA398" s="32" t="s">
        <v>1225</v>
      </c>
      <c r="AB398" s="32" t="s">
        <v>1225</v>
      </c>
      <c r="AC398" s="32" t="s">
        <v>1225</v>
      </c>
      <c r="AD398" s="32" t="s">
        <v>1225</v>
      </c>
      <c r="AE398" s="32" t="s">
        <v>1225</v>
      </c>
      <c r="AF398" s="32" t="s">
        <v>1225</v>
      </c>
      <c r="AG398" s="32" t="s">
        <v>1225</v>
      </c>
      <c r="AH398" s="32" t="s">
        <v>1225</v>
      </c>
      <c r="AI398" s="32" t="s">
        <v>1225</v>
      </c>
      <c r="AJ398" s="32" t="s">
        <v>1225</v>
      </c>
      <c r="AK398" s="32" t="s">
        <v>1225</v>
      </c>
      <c r="AL398" s="32" t="s">
        <v>1225</v>
      </c>
      <c r="AM398" s="32" t="s">
        <v>1225</v>
      </c>
      <c r="AN398" s="32" t="s">
        <v>1225</v>
      </c>
      <c r="AO398" s="32" t="s">
        <v>1225</v>
      </c>
      <c r="AP398" s="32" t="s">
        <v>1225</v>
      </c>
      <c r="AQ398" s="32" t="s">
        <v>1225</v>
      </c>
      <c r="AR398" s="32" t="s">
        <v>1225</v>
      </c>
      <c r="AS398" s="32" t="s">
        <v>1225</v>
      </c>
      <c r="AT398" s="32" t="s">
        <v>1225</v>
      </c>
      <c r="AU398" s="32" t="s">
        <v>1225</v>
      </c>
      <c r="AV398" s="32" t="s">
        <v>1225</v>
      </c>
      <c r="AW398" s="34" t="s">
        <v>3467</v>
      </c>
      <c r="AX398" s="34">
        <v>2019</v>
      </c>
      <c r="AY398" s="32">
        <v>22</v>
      </c>
      <c r="AZ398" s="32">
        <v>4</v>
      </c>
      <c r="BA398" s="32" t="s">
        <v>1225</v>
      </c>
      <c r="BB398" s="32" t="s">
        <v>1225</v>
      </c>
      <c r="BC398" s="32" t="s">
        <v>1225</v>
      </c>
      <c r="BD398" s="32" t="s">
        <v>1225</v>
      </c>
      <c r="BE398" s="32" t="s">
        <v>1225</v>
      </c>
      <c r="BF398" s="32" t="s">
        <v>1225</v>
      </c>
      <c r="BG398" s="32">
        <v>7</v>
      </c>
      <c r="BH398" s="34" t="s">
        <v>3967</v>
      </c>
      <c r="BI398" s="34" t="str">
        <f>HYPERLINK("http://dx.doi.org/10.18564/jasss.4133","http://dx.doi.org/10.18564/jasss.4133")</f>
        <v>http://dx.doi.org/10.18564/jasss.4133</v>
      </c>
      <c r="BJ398" s="32" t="s">
        <v>1225</v>
      </c>
      <c r="BK398" s="32" t="s">
        <v>1225</v>
      </c>
      <c r="BL398" s="32" t="s">
        <v>1225</v>
      </c>
      <c r="BM398" s="32" t="s">
        <v>1225</v>
      </c>
      <c r="BN398" s="32" t="s">
        <v>1225</v>
      </c>
      <c r="BO398" s="32" t="s">
        <v>1225</v>
      </c>
      <c r="BP398" s="32" t="s">
        <v>1225</v>
      </c>
      <c r="BQ398" s="32" t="s">
        <v>1225</v>
      </c>
      <c r="BR398" s="32" t="s">
        <v>1225</v>
      </c>
      <c r="BS398" s="32" t="s">
        <v>1225</v>
      </c>
      <c r="BT398" s="32" t="s">
        <v>1225</v>
      </c>
      <c r="BU398" s="32" t="s">
        <v>1225</v>
      </c>
      <c r="BV398" s="32" t="s">
        <v>1225</v>
      </c>
      <c r="BW398" s="32" t="str">
        <f t="shared" si="12"/>
        <v>View Full Record in Web of Science</v>
      </c>
      <c r="BY398" s="41" t="str">
        <f>IF(Deletion!J398=TRUE,"Yes","No")</f>
        <v>No</v>
      </c>
    </row>
    <row r="399" spans="1:77" x14ac:dyDescent="0.15">
      <c r="A399" s="32">
        <f t="shared" si="13"/>
        <v>398</v>
      </c>
      <c r="D399" s="32" t="s">
        <v>1223</v>
      </c>
      <c r="E399" s="32" t="s">
        <v>3968</v>
      </c>
      <c r="F399" s="32" t="s">
        <v>1225</v>
      </c>
      <c r="G399" s="32" t="s">
        <v>1225</v>
      </c>
      <c r="H399" s="32" t="s">
        <v>1225</v>
      </c>
      <c r="I399" s="32" t="s">
        <v>3969</v>
      </c>
      <c r="J399" s="32" t="s">
        <v>1225</v>
      </c>
      <c r="K399" s="32" t="s">
        <v>1225</v>
      </c>
      <c r="L399" s="32" t="s">
        <v>3970</v>
      </c>
      <c r="M399" s="32" t="s">
        <v>3517</v>
      </c>
      <c r="N399" s="32" t="s">
        <v>1225</v>
      </c>
      <c r="O399" s="32" t="s">
        <v>1225</v>
      </c>
      <c r="P399" s="32" t="s">
        <v>1225</v>
      </c>
      <c r="Q399" s="32" t="s">
        <v>1227</v>
      </c>
      <c r="R399" s="32" t="s">
        <v>1225</v>
      </c>
      <c r="S399" s="32" t="s">
        <v>1225</v>
      </c>
      <c r="T399" s="32" t="s">
        <v>1225</v>
      </c>
      <c r="U399" s="32" t="s">
        <v>1225</v>
      </c>
      <c r="V399" s="32" t="s">
        <v>1225</v>
      </c>
      <c r="W399" s="32" t="s">
        <v>3971</v>
      </c>
      <c r="X399" s="32" t="s">
        <v>3885</v>
      </c>
      <c r="Y399" s="32" t="s">
        <v>3972</v>
      </c>
      <c r="Z399" s="32" t="s">
        <v>1225</v>
      </c>
      <c r="AA399" s="32" t="s">
        <v>1225</v>
      </c>
      <c r="AB399" s="32" t="s">
        <v>1225</v>
      </c>
      <c r="AC399" s="32" t="s">
        <v>1225</v>
      </c>
      <c r="AD399" s="32" t="s">
        <v>1225</v>
      </c>
      <c r="AE399" s="32" t="s">
        <v>1225</v>
      </c>
      <c r="AF399" s="32" t="s">
        <v>1225</v>
      </c>
      <c r="AG399" s="32" t="s">
        <v>1225</v>
      </c>
      <c r="AH399" s="32" t="s">
        <v>1225</v>
      </c>
      <c r="AI399" s="32" t="s">
        <v>1225</v>
      </c>
      <c r="AJ399" s="32" t="s">
        <v>1225</v>
      </c>
      <c r="AK399" s="32" t="s">
        <v>1225</v>
      </c>
      <c r="AL399" s="32" t="s">
        <v>1225</v>
      </c>
      <c r="AM399" s="32" t="s">
        <v>1225</v>
      </c>
      <c r="AN399" s="32" t="s">
        <v>1225</v>
      </c>
      <c r="AO399" s="32" t="s">
        <v>1225</v>
      </c>
      <c r="AP399" s="32" t="s">
        <v>1225</v>
      </c>
      <c r="AQ399" s="32" t="s">
        <v>1225</v>
      </c>
      <c r="AR399" s="32" t="s">
        <v>1225</v>
      </c>
      <c r="AS399" s="32" t="s">
        <v>1225</v>
      </c>
      <c r="AT399" s="32" t="s">
        <v>1225</v>
      </c>
      <c r="AU399" s="32" t="s">
        <v>1225</v>
      </c>
      <c r="AV399" s="32" t="s">
        <v>1225</v>
      </c>
      <c r="AW399" s="32" t="s">
        <v>1726</v>
      </c>
      <c r="AX399" s="32">
        <v>2018</v>
      </c>
      <c r="AY399" s="32">
        <v>13</v>
      </c>
      <c r="AZ399" s="32">
        <v>4</v>
      </c>
      <c r="BA399" s="32" t="s">
        <v>1225</v>
      </c>
      <c r="BB399" s="32" t="s">
        <v>1225</v>
      </c>
      <c r="BC399" s="32" t="s">
        <v>1225</v>
      </c>
      <c r="BD399" s="32" t="s">
        <v>1225</v>
      </c>
      <c r="BE399" s="32">
        <v>537</v>
      </c>
      <c r="BF399" s="32">
        <v>548</v>
      </c>
      <c r="BG399" s="32" t="s">
        <v>1225</v>
      </c>
      <c r="BH399" s="32" t="s">
        <v>3973</v>
      </c>
      <c r="BI399" s="32" t="str">
        <f>HYPERLINK("http://dx.doi.org/10.1002/tee.22599","http://dx.doi.org/10.1002/tee.22599")</f>
        <v>http://dx.doi.org/10.1002/tee.22599</v>
      </c>
      <c r="BJ399" s="32" t="s">
        <v>1225</v>
      </c>
      <c r="BK399" s="32" t="s">
        <v>1225</v>
      </c>
      <c r="BL399" s="32" t="s">
        <v>1225</v>
      </c>
      <c r="BM399" s="32" t="s">
        <v>1225</v>
      </c>
      <c r="BN399" s="32" t="s">
        <v>1225</v>
      </c>
      <c r="BO399" s="32" t="s">
        <v>1225</v>
      </c>
      <c r="BP399" s="32" t="s">
        <v>1225</v>
      </c>
      <c r="BQ399" s="32" t="s">
        <v>1225</v>
      </c>
      <c r="BR399" s="32" t="s">
        <v>1225</v>
      </c>
      <c r="BS399" s="32" t="s">
        <v>1225</v>
      </c>
      <c r="BT399" s="32" t="s">
        <v>1225</v>
      </c>
      <c r="BU399" s="32" t="s">
        <v>1225</v>
      </c>
      <c r="BV399" s="32" t="s">
        <v>1225</v>
      </c>
      <c r="BW399" s="32" t="str">
        <f t="shared" si="12"/>
        <v>View Full Record in Web of Science</v>
      </c>
      <c r="BY399" s="41" t="str">
        <f>IF(Deletion!J399=TRUE,"Yes","No")</f>
        <v>Yes</v>
      </c>
    </row>
    <row r="400" spans="1:77" x14ac:dyDescent="0.15">
      <c r="A400" s="34">
        <f t="shared" si="13"/>
        <v>399</v>
      </c>
      <c r="B400" s="34" t="s">
        <v>4</v>
      </c>
      <c r="C400" s="34" t="s">
        <v>4</v>
      </c>
      <c r="D400" s="34" t="s">
        <v>1223</v>
      </c>
      <c r="E400" s="34" t="s">
        <v>3974</v>
      </c>
      <c r="F400" s="32" t="s">
        <v>1225</v>
      </c>
      <c r="G400" s="32" t="s">
        <v>1225</v>
      </c>
      <c r="H400" s="32" t="s">
        <v>1225</v>
      </c>
      <c r="I400" s="34" t="s">
        <v>3975</v>
      </c>
      <c r="J400" s="32" t="s">
        <v>1225</v>
      </c>
      <c r="K400" s="32" t="s">
        <v>1225</v>
      </c>
      <c r="L400" s="34" t="s">
        <v>3976</v>
      </c>
      <c r="M400" s="34" t="s">
        <v>3977</v>
      </c>
      <c r="N400" s="32" t="s">
        <v>1225</v>
      </c>
      <c r="O400" s="32" t="s">
        <v>1225</v>
      </c>
      <c r="P400" s="32" t="s">
        <v>1225</v>
      </c>
      <c r="Q400" s="34" t="s">
        <v>1227</v>
      </c>
      <c r="R400" s="32" t="s">
        <v>1225</v>
      </c>
      <c r="S400" s="32" t="s">
        <v>1225</v>
      </c>
      <c r="T400" s="32" t="s">
        <v>1225</v>
      </c>
      <c r="U400" s="32" t="s">
        <v>1225</v>
      </c>
      <c r="V400" s="32" t="s">
        <v>1225</v>
      </c>
      <c r="W400" s="34" t="s">
        <v>3978</v>
      </c>
      <c r="X400" s="34" t="s">
        <v>3979</v>
      </c>
      <c r="Y400" s="34" t="s">
        <v>3980</v>
      </c>
      <c r="Z400" s="32" t="s">
        <v>1225</v>
      </c>
      <c r="AA400" s="32" t="s">
        <v>1225</v>
      </c>
      <c r="AB400" s="32" t="s">
        <v>1225</v>
      </c>
      <c r="AC400" s="32" t="s">
        <v>1225</v>
      </c>
      <c r="AD400" s="32" t="s">
        <v>1225</v>
      </c>
      <c r="AE400" s="32" t="s">
        <v>1225</v>
      </c>
      <c r="AF400" s="32" t="s">
        <v>1225</v>
      </c>
      <c r="AG400" s="32" t="s">
        <v>1225</v>
      </c>
      <c r="AH400" s="32" t="s">
        <v>1225</v>
      </c>
      <c r="AI400" s="32" t="s">
        <v>1225</v>
      </c>
      <c r="AJ400" s="32" t="s">
        <v>1225</v>
      </c>
      <c r="AK400" s="32" t="s">
        <v>1225</v>
      </c>
      <c r="AL400" s="32" t="s">
        <v>1225</v>
      </c>
      <c r="AM400" s="32" t="s">
        <v>1225</v>
      </c>
      <c r="AN400" s="32" t="s">
        <v>1225</v>
      </c>
      <c r="AO400" s="32" t="s">
        <v>1225</v>
      </c>
      <c r="AP400" s="32" t="s">
        <v>1225</v>
      </c>
      <c r="AQ400" s="32" t="s">
        <v>1225</v>
      </c>
      <c r="AR400" s="32" t="s">
        <v>1225</v>
      </c>
      <c r="AS400" s="32" t="s">
        <v>1225</v>
      </c>
      <c r="AT400" s="32" t="s">
        <v>1225</v>
      </c>
      <c r="AU400" s="32" t="s">
        <v>1225</v>
      </c>
      <c r="AV400" s="32" t="s">
        <v>1225</v>
      </c>
      <c r="AW400" s="34" t="s">
        <v>1256</v>
      </c>
      <c r="AX400" s="34">
        <v>2019</v>
      </c>
      <c r="AY400" s="32">
        <v>20</v>
      </c>
      <c r="AZ400" s="32" t="s">
        <v>1225</v>
      </c>
      <c r="BA400" s="32" t="s">
        <v>1225</v>
      </c>
      <c r="BB400" s="32" t="s">
        <v>1225</v>
      </c>
      <c r="BC400" s="32" t="s">
        <v>1225</v>
      </c>
      <c r="BD400" s="32" t="s">
        <v>1225</v>
      </c>
      <c r="BE400" s="32" t="s">
        <v>1225</v>
      </c>
      <c r="BF400" s="32" t="s">
        <v>1225</v>
      </c>
      <c r="BG400" s="32">
        <v>100188</v>
      </c>
      <c r="BH400" s="34" t="s">
        <v>3981</v>
      </c>
      <c r="BI400" s="34" t="str">
        <f>HYPERLINK("http://dx.doi.org/10.1016/j.vehcom.2019.100188","http://dx.doi.org/10.1016/j.vehcom.2019.100188")</f>
        <v>http://dx.doi.org/10.1016/j.vehcom.2019.100188</v>
      </c>
      <c r="BJ400" s="32" t="s">
        <v>1225</v>
      </c>
      <c r="BK400" s="32" t="s">
        <v>1225</v>
      </c>
      <c r="BL400" s="32" t="s">
        <v>1225</v>
      </c>
      <c r="BM400" s="32" t="s">
        <v>1225</v>
      </c>
      <c r="BN400" s="32" t="s">
        <v>1225</v>
      </c>
      <c r="BO400" s="32" t="s">
        <v>1225</v>
      </c>
      <c r="BP400" s="32" t="s">
        <v>1225</v>
      </c>
      <c r="BQ400" s="32" t="s">
        <v>1225</v>
      </c>
      <c r="BR400" s="32" t="s">
        <v>1225</v>
      </c>
      <c r="BS400" s="32" t="s">
        <v>1225</v>
      </c>
      <c r="BT400" s="32" t="s">
        <v>1225</v>
      </c>
      <c r="BU400" s="32" t="s">
        <v>1225</v>
      </c>
      <c r="BV400" s="32" t="s">
        <v>1225</v>
      </c>
      <c r="BW400" s="32" t="str">
        <f t="shared" si="12"/>
        <v>View Full Record in Web of Science</v>
      </c>
      <c r="BY400" s="41" t="str">
        <f>IF(Deletion!J400=TRUE,"Yes","No")</f>
        <v>No</v>
      </c>
    </row>
    <row r="401" spans="1:77" x14ac:dyDescent="0.15">
      <c r="A401" s="34">
        <f t="shared" si="13"/>
        <v>400</v>
      </c>
      <c r="B401" s="34" t="s">
        <v>4</v>
      </c>
      <c r="C401" s="34" t="s">
        <v>4</v>
      </c>
      <c r="D401" s="34" t="s">
        <v>1223</v>
      </c>
      <c r="E401" s="34" t="s">
        <v>3982</v>
      </c>
      <c r="F401" s="32" t="s">
        <v>1225</v>
      </c>
      <c r="G401" s="32" t="s">
        <v>1225</v>
      </c>
      <c r="H401" s="32" t="s">
        <v>1225</v>
      </c>
      <c r="I401" s="34" t="s">
        <v>3983</v>
      </c>
      <c r="J401" s="32" t="s">
        <v>1225</v>
      </c>
      <c r="K401" s="32" t="s">
        <v>1225</v>
      </c>
      <c r="L401" s="34" t="s">
        <v>3984</v>
      </c>
      <c r="M401" s="34" t="s">
        <v>97</v>
      </c>
      <c r="N401" s="32" t="s">
        <v>1225</v>
      </c>
      <c r="O401" s="32" t="s">
        <v>1225</v>
      </c>
      <c r="P401" s="32" t="s">
        <v>1225</v>
      </c>
      <c r="Q401" s="34" t="s">
        <v>1795</v>
      </c>
      <c r="R401" s="32" t="s">
        <v>1225</v>
      </c>
      <c r="S401" s="32" t="s">
        <v>1225</v>
      </c>
      <c r="T401" s="32" t="s">
        <v>1225</v>
      </c>
      <c r="U401" s="32" t="s">
        <v>1225</v>
      </c>
      <c r="V401" s="32" t="s">
        <v>1225</v>
      </c>
      <c r="W401" s="34" t="s">
        <v>3985</v>
      </c>
      <c r="X401" s="34" t="s">
        <v>3986</v>
      </c>
      <c r="Y401" s="34" t="s">
        <v>3987</v>
      </c>
      <c r="Z401" s="32" t="s">
        <v>1225</v>
      </c>
      <c r="AA401" s="32" t="s">
        <v>1225</v>
      </c>
      <c r="AB401" s="32" t="s">
        <v>1225</v>
      </c>
      <c r="AC401" s="32" t="s">
        <v>1225</v>
      </c>
      <c r="AD401" s="32" t="s">
        <v>1225</v>
      </c>
      <c r="AE401" s="32" t="s">
        <v>1225</v>
      </c>
      <c r="AF401" s="32" t="s">
        <v>1225</v>
      </c>
      <c r="AG401" s="32" t="s">
        <v>1225</v>
      </c>
      <c r="AH401" s="32" t="s">
        <v>1225</v>
      </c>
      <c r="AI401" s="32" t="s">
        <v>1225</v>
      </c>
      <c r="AJ401" s="32" t="s">
        <v>1225</v>
      </c>
      <c r="AK401" s="32" t="s">
        <v>1225</v>
      </c>
      <c r="AL401" s="32" t="s">
        <v>1225</v>
      </c>
      <c r="AM401" s="32" t="s">
        <v>1225</v>
      </c>
      <c r="AN401" s="32" t="s">
        <v>1225</v>
      </c>
      <c r="AO401" s="32" t="s">
        <v>1225</v>
      </c>
      <c r="AP401" s="32" t="s">
        <v>1225</v>
      </c>
      <c r="AQ401" s="32" t="s">
        <v>1225</v>
      </c>
      <c r="AR401" s="32" t="s">
        <v>1225</v>
      </c>
      <c r="AS401" s="32" t="s">
        <v>1225</v>
      </c>
      <c r="AT401" s="32" t="s">
        <v>1225</v>
      </c>
      <c r="AU401" s="32" t="s">
        <v>1225</v>
      </c>
      <c r="AV401" s="32" t="s">
        <v>1225</v>
      </c>
      <c r="AW401" s="34" t="s">
        <v>1424</v>
      </c>
      <c r="AX401" s="34">
        <v>2017</v>
      </c>
      <c r="AY401" s="32">
        <v>207</v>
      </c>
      <c r="AZ401" s="32" t="s">
        <v>1225</v>
      </c>
      <c r="BA401" s="32" t="s">
        <v>1225</v>
      </c>
      <c r="BB401" s="32" t="s">
        <v>1225</v>
      </c>
      <c r="BC401" s="32" t="s">
        <v>1225</v>
      </c>
      <c r="BD401" s="32" t="s">
        <v>1225</v>
      </c>
      <c r="BE401" s="32">
        <v>438</v>
      </c>
      <c r="BF401" s="32">
        <v>464</v>
      </c>
      <c r="BG401" s="32" t="s">
        <v>1225</v>
      </c>
      <c r="BH401" s="34" t="s">
        <v>3988</v>
      </c>
      <c r="BI401" s="34" t="str">
        <f>HYPERLINK("http://dx.doi.org/10.1016/j.apenergy.2017.06.097","http://dx.doi.org/10.1016/j.apenergy.2017.06.097")</f>
        <v>http://dx.doi.org/10.1016/j.apenergy.2017.06.097</v>
      </c>
      <c r="BJ401" s="32" t="s">
        <v>1225</v>
      </c>
      <c r="BK401" s="32" t="s">
        <v>1225</v>
      </c>
      <c r="BL401" s="32" t="s">
        <v>1225</v>
      </c>
      <c r="BM401" s="32" t="s">
        <v>1225</v>
      </c>
      <c r="BN401" s="32" t="s">
        <v>1225</v>
      </c>
      <c r="BO401" s="32" t="s">
        <v>1225</v>
      </c>
      <c r="BP401" s="32" t="s">
        <v>1225</v>
      </c>
      <c r="BQ401" s="32" t="s">
        <v>1225</v>
      </c>
      <c r="BR401" s="32" t="s">
        <v>1225</v>
      </c>
      <c r="BS401" s="32" t="s">
        <v>1225</v>
      </c>
      <c r="BT401" s="32" t="s">
        <v>1225</v>
      </c>
      <c r="BU401" s="32" t="s">
        <v>1225</v>
      </c>
      <c r="BV401" s="32" t="s">
        <v>1225</v>
      </c>
      <c r="BW401" s="32" t="str">
        <f t="shared" si="12"/>
        <v>View Full Record in Web of Science</v>
      </c>
      <c r="BY401" s="41" t="str">
        <f>IF(Deletion!J401=TRUE,"Yes","No")</f>
        <v>Yes</v>
      </c>
    </row>
    <row r="402" spans="1:77" x14ac:dyDescent="0.15">
      <c r="A402" s="34">
        <f t="shared" si="13"/>
        <v>401</v>
      </c>
      <c r="B402" s="34" t="s">
        <v>4</v>
      </c>
      <c r="C402" s="34" t="s">
        <v>4</v>
      </c>
      <c r="D402" s="34" t="s">
        <v>1223</v>
      </c>
      <c r="E402" s="34" t="s">
        <v>3989</v>
      </c>
      <c r="F402" s="32" t="s">
        <v>1225</v>
      </c>
      <c r="G402" s="32" t="s">
        <v>1225</v>
      </c>
      <c r="H402" s="32" t="s">
        <v>1225</v>
      </c>
      <c r="I402" s="34" t="s">
        <v>2487</v>
      </c>
      <c r="J402" s="32" t="s">
        <v>1225</v>
      </c>
      <c r="K402" s="32" t="s">
        <v>1225</v>
      </c>
      <c r="L402" s="34" t="s">
        <v>3990</v>
      </c>
      <c r="M402" s="34" t="s">
        <v>3991</v>
      </c>
      <c r="N402" s="32" t="s">
        <v>1225</v>
      </c>
      <c r="O402" s="32" t="s">
        <v>1225</v>
      </c>
      <c r="P402" s="32" t="s">
        <v>1225</v>
      </c>
      <c r="Q402" s="34" t="s">
        <v>1227</v>
      </c>
      <c r="R402" s="32" t="s">
        <v>1225</v>
      </c>
      <c r="S402" s="32" t="s">
        <v>1225</v>
      </c>
      <c r="T402" s="32" t="s">
        <v>1225</v>
      </c>
      <c r="U402" s="32" t="s">
        <v>1225</v>
      </c>
      <c r="V402" s="32" t="s">
        <v>1225</v>
      </c>
      <c r="W402" s="34" t="s">
        <v>3992</v>
      </c>
      <c r="X402" s="34" t="s">
        <v>3993</v>
      </c>
      <c r="Y402" s="34" t="s">
        <v>3994</v>
      </c>
      <c r="Z402" s="32" t="s">
        <v>1225</v>
      </c>
      <c r="AA402" s="32" t="s">
        <v>1225</v>
      </c>
      <c r="AB402" s="32" t="s">
        <v>1225</v>
      </c>
      <c r="AC402" s="32" t="s">
        <v>1225</v>
      </c>
      <c r="AD402" s="32" t="s">
        <v>1225</v>
      </c>
      <c r="AE402" s="32" t="s">
        <v>1225</v>
      </c>
      <c r="AF402" s="32" t="s">
        <v>1225</v>
      </c>
      <c r="AG402" s="32" t="s">
        <v>1225</v>
      </c>
      <c r="AH402" s="32" t="s">
        <v>1225</v>
      </c>
      <c r="AI402" s="32" t="s">
        <v>1225</v>
      </c>
      <c r="AJ402" s="32" t="s">
        <v>1225</v>
      </c>
      <c r="AK402" s="32" t="s">
        <v>1225</v>
      </c>
      <c r="AL402" s="32" t="s">
        <v>1225</v>
      </c>
      <c r="AM402" s="32" t="s">
        <v>1225</v>
      </c>
      <c r="AN402" s="32" t="s">
        <v>1225</v>
      </c>
      <c r="AO402" s="32" t="s">
        <v>1225</v>
      </c>
      <c r="AP402" s="32" t="s">
        <v>1225</v>
      </c>
      <c r="AQ402" s="32" t="s">
        <v>1225</v>
      </c>
      <c r="AR402" s="32" t="s">
        <v>1225</v>
      </c>
      <c r="AS402" s="32" t="s">
        <v>1225</v>
      </c>
      <c r="AT402" s="32" t="s">
        <v>1225</v>
      </c>
      <c r="AU402" s="32" t="s">
        <v>1225</v>
      </c>
      <c r="AV402" s="32" t="s">
        <v>1225</v>
      </c>
      <c r="AW402" s="34" t="s">
        <v>1298</v>
      </c>
      <c r="AX402" s="34">
        <v>2021</v>
      </c>
      <c r="AY402" s="32">
        <v>131</v>
      </c>
      <c r="AZ402" s="32" t="s">
        <v>1225</v>
      </c>
      <c r="BA402" s="32" t="s">
        <v>1225</v>
      </c>
      <c r="BB402" s="32" t="s">
        <v>1225</v>
      </c>
      <c r="BC402" s="32" t="s">
        <v>1225</v>
      </c>
      <c r="BD402" s="32" t="s">
        <v>1225</v>
      </c>
      <c r="BE402" s="32" t="s">
        <v>1225</v>
      </c>
      <c r="BF402" s="32" t="s">
        <v>1225</v>
      </c>
      <c r="BG402" s="32">
        <v>109746</v>
      </c>
      <c r="BH402" s="34" t="s">
        <v>3995</v>
      </c>
      <c r="BI402" s="34" t="str">
        <f>HYPERLINK("http://dx.doi.org/10.1016/j.automatica.2021.109746","http://dx.doi.org/10.1016/j.automatica.2021.109746")</f>
        <v>http://dx.doi.org/10.1016/j.automatica.2021.109746</v>
      </c>
      <c r="BJ402" s="32" t="s">
        <v>1225</v>
      </c>
      <c r="BK402" s="32" t="s">
        <v>1553</v>
      </c>
      <c r="BL402" s="32" t="s">
        <v>1225</v>
      </c>
      <c r="BM402" s="32" t="s">
        <v>1225</v>
      </c>
      <c r="BN402" s="32" t="s">
        <v>1225</v>
      </c>
      <c r="BO402" s="32" t="s">
        <v>1225</v>
      </c>
      <c r="BP402" s="32" t="s">
        <v>1225</v>
      </c>
      <c r="BQ402" s="32" t="s">
        <v>1225</v>
      </c>
      <c r="BR402" s="32" t="s">
        <v>1225</v>
      </c>
      <c r="BS402" s="32" t="s">
        <v>1225</v>
      </c>
      <c r="BT402" s="32" t="s">
        <v>1225</v>
      </c>
      <c r="BU402" s="32" t="s">
        <v>1225</v>
      </c>
      <c r="BV402" s="32" t="s">
        <v>1225</v>
      </c>
      <c r="BW402" s="32" t="str">
        <f t="shared" si="12"/>
        <v>View Full Record in Web of Science</v>
      </c>
      <c r="BY402" s="41" t="str">
        <f>IF(Deletion!J402=TRUE,"Yes","No")</f>
        <v>No</v>
      </c>
    </row>
    <row r="403" spans="1:77" x14ac:dyDescent="0.15">
      <c r="A403" s="32">
        <f t="shared" si="13"/>
        <v>402</v>
      </c>
      <c r="D403" s="32" t="s">
        <v>1223</v>
      </c>
      <c r="E403" s="32" t="s">
        <v>3996</v>
      </c>
      <c r="F403" s="32" t="s">
        <v>1225</v>
      </c>
      <c r="G403" s="32" t="s">
        <v>1225</v>
      </c>
      <c r="H403" s="32" t="s">
        <v>1225</v>
      </c>
      <c r="I403" s="32" t="s">
        <v>3997</v>
      </c>
      <c r="J403" s="32" t="s">
        <v>1225</v>
      </c>
      <c r="K403" s="32" t="s">
        <v>1225</v>
      </c>
      <c r="L403" s="32" t="s">
        <v>3998</v>
      </c>
      <c r="M403" s="32" t="s">
        <v>2372</v>
      </c>
      <c r="N403" s="32" t="s">
        <v>1225</v>
      </c>
      <c r="O403" s="32" t="s">
        <v>1225</v>
      </c>
      <c r="P403" s="32" t="s">
        <v>1225</v>
      </c>
      <c r="Q403" s="32" t="s">
        <v>1227</v>
      </c>
      <c r="R403" s="32" t="s">
        <v>1225</v>
      </c>
      <c r="S403" s="32" t="s">
        <v>1225</v>
      </c>
      <c r="T403" s="32" t="s">
        <v>1225</v>
      </c>
      <c r="U403" s="32" t="s">
        <v>1225</v>
      </c>
      <c r="V403" s="32" t="s">
        <v>1225</v>
      </c>
      <c r="W403" s="32" t="s">
        <v>3999</v>
      </c>
      <c r="X403" s="32" t="s">
        <v>4000</v>
      </c>
      <c r="Y403" s="32" t="s">
        <v>4001</v>
      </c>
      <c r="Z403" s="32" t="s">
        <v>1225</v>
      </c>
      <c r="AA403" s="32" t="s">
        <v>1225</v>
      </c>
      <c r="AB403" s="32" t="s">
        <v>1225</v>
      </c>
      <c r="AC403" s="32" t="s">
        <v>1225</v>
      </c>
      <c r="AD403" s="32" t="s">
        <v>1225</v>
      </c>
      <c r="AE403" s="32" t="s">
        <v>1225</v>
      </c>
      <c r="AF403" s="32" t="s">
        <v>1225</v>
      </c>
      <c r="AG403" s="32" t="s">
        <v>1225</v>
      </c>
      <c r="AH403" s="32" t="s">
        <v>1225</v>
      </c>
      <c r="AI403" s="32" t="s">
        <v>1225</v>
      </c>
      <c r="AJ403" s="32" t="s">
        <v>1225</v>
      </c>
      <c r="AK403" s="32" t="s">
        <v>1225</v>
      </c>
      <c r="AL403" s="32" t="s">
        <v>1225</v>
      </c>
      <c r="AM403" s="32" t="s">
        <v>1225</v>
      </c>
      <c r="AN403" s="32" t="s">
        <v>1225</v>
      </c>
      <c r="AO403" s="32" t="s">
        <v>1225</v>
      </c>
      <c r="AP403" s="32" t="s">
        <v>1225</v>
      </c>
      <c r="AQ403" s="32" t="s">
        <v>1225</v>
      </c>
      <c r="AR403" s="32" t="s">
        <v>1225</v>
      </c>
      <c r="AS403" s="32" t="s">
        <v>1225</v>
      </c>
      <c r="AT403" s="32" t="s">
        <v>1225</v>
      </c>
      <c r="AU403" s="32" t="s">
        <v>1225</v>
      </c>
      <c r="AV403" s="32" t="s">
        <v>1225</v>
      </c>
      <c r="AW403" s="32" t="s">
        <v>1256</v>
      </c>
      <c r="AX403" s="32">
        <v>2020</v>
      </c>
      <c r="AY403" s="32">
        <v>3</v>
      </c>
      <c r="AZ403" s="32">
        <v>4</v>
      </c>
      <c r="BA403" s="32" t="s">
        <v>1225</v>
      </c>
      <c r="BB403" s="32" t="s">
        <v>1225</v>
      </c>
      <c r="BC403" s="32" t="s">
        <v>1225</v>
      </c>
      <c r="BD403" s="32" t="s">
        <v>1225</v>
      </c>
      <c r="BE403" s="32">
        <v>1405</v>
      </c>
      <c r="BF403" s="32">
        <v>1427</v>
      </c>
      <c r="BG403" s="32" t="s">
        <v>1225</v>
      </c>
      <c r="BH403" s="32" t="s">
        <v>4002</v>
      </c>
      <c r="BI403" s="32" t="str">
        <f>HYPERLINK("http://dx.doi.org/10.3390/smartcities3040067","http://dx.doi.org/10.3390/smartcities3040067")</f>
        <v>http://dx.doi.org/10.3390/smartcities3040067</v>
      </c>
      <c r="BJ403" s="32" t="s">
        <v>1225</v>
      </c>
      <c r="BK403" s="32" t="s">
        <v>1225</v>
      </c>
      <c r="BL403" s="32" t="s">
        <v>1225</v>
      </c>
      <c r="BM403" s="32" t="s">
        <v>1225</v>
      </c>
      <c r="BN403" s="32" t="s">
        <v>1225</v>
      </c>
      <c r="BO403" s="32" t="s">
        <v>1225</v>
      </c>
      <c r="BP403" s="32" t="s">
        <v>1225</v>
      </c>
      <c r="BQ403" s="32" t="s">
        <v>1225</v>
      </c>
      <c r="BR403" s="32" t="s">
        <v>1225</v>
      </c>
      <c r="BS403" s="32" t="s">
        <v>1225</v>
      </c>
      <c r="BT403" s="32" t="s">
        <v>1225</v>
      </c>
      <c r="BU403" s="32" t="s">
        <v>1225</v>
      </c>
      <c r="BV403" s="32" t="s">
        <v>1225</v>
      </c>
      <c r="BW403" s="32" t="str">
        <f t="shared" si="12"/>
        <v>View Full Record in Web of Science</v>
      </c>
      <c r="BY403" s="41" t="str">
        <f>IF(Deletion!J403=TRUE,"Yes","No")</f>
        <v>Yes</v>
      </c>
    </row>
    <row r="404" spans="1:77" x14ac:dyDescent="0.15">
      <c r="A404" s="32">
        <f t="shared" si="13"/>
        <v>403</v>
      </c>
      <c r="D404" s="32" t="s">
        <v>1223</v>
      </c>
      <c r="E404" s="32" t="s">
        <v>4003</v>
      </c>
      <c r="F404" s="32" t="s">
        <v>1225</v>
      </c>
      <c r="G404" s="32" t="s">
        <v>1225</v>
      </c>
      <c r="H404" s="32" t="s">
        <v>1225</v>
      </c>
      <c r="I404" s="32" t="s">
        <v>4004</v>
      </c>
      <c r="J404" s="32" t="s">
        <v>1225</v>
      </c>
      <c r="K404" s="32" t="s">
        <v>1225</v>
      </c>
      <c r="L404" s="32" t="s">
        <v>4005</v>
      </c>
      <c r="M404" s="32" t="s">
        <v>502</v>
      </c>
      <c r="N404" s="32" t="s">
        <v>1225</v>
      </c>
      <c r="O404" s="32" t="s">
        <v>1225</v>
      </c>
      <c r="P404" s="32" t="s">
        <v>1225</v>
      </c>
      <c r="Q404" s="32" t="s">
        <v>1227</v>
      </c>
      <c r="R404" s="32" t="s">
        <v>1225</v>
      </c>
      <c r="S404" s="32" t="s">
        <v>1225</v>
      </c>
      <c r="T404" s="32" t="s">
        <v>1225</v>
      </c>
      <c r="U404" s="32" t="s">
        <v>1225</v>
      </c>
      <c r="V404" s="32" t="s">
        <v>1225</v>
      </c>
      <c r="W404" s="32" t="s">
        <v>4006</v>
      </c>
      <c r="X404" s="32" t="s">
        <v>4007</v>
      </c>
      <c r="Y404" s="32" t="s">
        <v>4008</v>
      </c>
      <c r="Z404" s="32" t="s">
        <v>1225</v>
      </c>
      <c r="AA404" s="32" t="s">
        <v>1225</v>
      </c>
      <c r="AB404" s="32" t="s">
        <v>1225</v>
      </c>
      <c r="AC404" s="32" t="s">
        <v>1225</v>
      </c>
      <c r="AD404" s="32" t="s">
        <v>1225</v>
      </c>
      <c r="AE404" s="32" t="s">
        <v>1225</v>
      </c>
      <c r="AF404" s="32" t="s">
        <v>1225</v>
      </c>
      <c r="AG404" s="32" t="s">
        <v>1225</v>
      </c>
      <c r="AH404" s="32" t="s">
        <v>1225</v>
      </c>
      <c r="AI404" s="32" t="s">
        <v>1225</v>
      </c>
      <c r="AJ404" s="32" t="s">
        <v>1225</v>
      </c>
      <c r="AK404" s="32" t="s">
        <v>1225</v>
      </c>
      <c r="AL404" s="32" t="s">
        <v>1225</v>
      </c>
      <c r="AM404" s="32" t="s">
        <v>1225</v>
      </c>
      <c r="AN404" s="32" t="s">
        <v>1225</v>
      </c>
      <c r="AO404" s="32" t="s">
        <v>1225</v>
      </c>
      <c r="AP404" s="32" t="s">
        <v>1225</v>
      </c>
      <c r="AQ404" s="32" t="s">
        <v>1225</v>
      </c>
      <c r="AR404" s="32" t="s">
        <v>1225</v>
      </c>
      <c r="AS404" s="32" t="s">
        <v>1225</v>
      </c>
      <c r="AT404" s="32" t="s">
        <v>1225</v>
      </c>
      <c r="AU404" s="32" t="s">
        <v>1225</v>
      </c>
      <c r="AV404" s="32" t="s">
        <v>1225</v>
      </c>
      <c r="AW404" s="32" t="s">
        <v>1647</v>
      </c>
      <c r="AX404" s="32">
        <v>2015</v>
      </c>
      <c r="AY404" s="32">
        <v>87</v>
      </c>
      <c r="AZ404" s="32" t="s">
        <v>1225</v>
      </c>
      <c r="BA404" s="32" t="s">
        <v>1225</v>
      </c>
      <c r="BB404" s="32" t="s">
        <v>1225</v>
      </c>
      <c r="BC404" s="32" t="s">
        <v>1225</v>
      </c>
      <c r="BD404" s="32" t="s">
        <v>1225</v>
      </c>
      <c r="BE404" s="32">
        <v>504</v>
      </c>
      <c r="BF404" s="32">
        <v>519</v>
      </c>
      <c r="BG404" s="32" t="s">
        <v>1225</v>
      </c>
      <c r="BH404" s="32" t="s">
        <v>4009</v>
      </c>
      <c r="BI404" s="32" t="str">
        <f>HYPERLINK("http://dx.doi.org/10.1016/j.energy.2015.05.012","http://dx.doi.org/10.1016/j.energy.2015.05.012")</f>
        <v>http://dx.doi.org/10.1016/j.energy.2015.05.012</v>
      </c>
      <c r="BJ404" s="32" t="s">
        <v>1225</v>
      </c>
      <c r="BK404" s="32" t="s">
        <v>1225</v>
      </c>
      <c r="BL404" s="32" t="s">
        <v>1225</v>
      </c>
      <c r="BM404" s="32" t="s">
        <v>1225</v>
      </c>
      <c r="BN404" s="32" t="s">
        <v>1225</v>
      </c>
      <c r="BO404" s="32" t="s">
        <v>1225</v>
      </c>
      <c r="BP404" s="32" t="s">
        <v>1225</v>
      </c>
      <c r="BQ404" s="32" t="s">
        <v>1225</v>
      </c>
      <c r="BR404" s="32" t="s">
        <v>1225</v>
      </c>
      <c r="BS404" s="32" t="s">
        <v>1225</v>
      </c>
      <c r="BT404" s="32" t="s">
        <v>1225</v>
      </c>
      <c r="BU404" s="32" t="s">
        <v>1225</v>
      </c>
      <c r="BV404" s="32" t="s">
        <v>1225</v>
      </c>
      <c r="BW404" s="32" t="str">
        <f t="shared" si="12"/>
        <v>View Full Record in Web of Science</v>
      </c>
      <c r="BY404" s="41" t="str">
        <f>IF(Deletion!J404=TRUE,"Yes","No")</f>
        <v>Yes</v>
      </c>
    </row>
    <row r="405" spans="1:77" x14ac:dyDescent="0.15">
      <c r="A405" s="32">
        <f t="shared" si="13"/>
        <v>404</v>
      </c>
      <c r="D405" s="32" t="s">
        <v>1223</v>
      </c>
      <c r="E405" s="32" t="s">
        <v>4010</v>
      </c>
      <c r="F405" s="32" t="s">
        <v>1225</v>
      </c>
      <c r="G405" s="32" t="s">
        <v>1225</v>
      </c>
      <c r="H405" s="32" t="s">
        <v>1225</v>
      </c>
      <c r="I405" s="32" t="s">
        <v>4011</v>
      </c>
      <c r="J405" s="32" t="s">
        <v>1225</v>
      </c>
      <c r="K405" s="32" t="s">
        <v>1225</v>
      </c>
      <c r="L405" s="32" t="s">
        <v>4012</v>
      </c>
      <c r="M405" s="32" t="s">
        <v>1322</v>
      </c>
      <c r="N405" s="32" t="s">
        <v>1225</v>
      </c>
      <c r="O405" s="32" t="s">
        <v>1225</v>
      </c>
      <c r="P405" s="32" t="s">
        <v>1225</v>
      </c>
      <c r="Q405" s="32" t="s">
        <v>1227</v>
      </c>
      <c r="R405" s="32" t="s">
        <v>1225</v>
      </c>
      <c r="S405" s="32" t="s">
        <v>1225</v>
      </c>
      <c r="T405" s="32" t="s">
        <v>1225</v>
      </c>
      <c r="U405" s="32" t="s">
        <v>1225</v>
      </c>
      <c r="V405" s="32" t="s">
        <v>1225</v>
      </c>
      <c r="W405" s="32" t="s">
        <v>4013</v>
      </c>
      <c r="X405" s="32" t="s">
        <v>4014</v>
      </c>
      <c r="Y405" s="32" t="s">
        <v>4015</v>
      </c>
      <c r="Z405" s="32" t="s">
        <v>1225</v>
      </c>
      <c r="AA405" s="32" t="s">
        <v>1225</v>
      </c>
      <c r="AB405" s="32" t="s">
        <v>1225</v>
      </c>
      <c r="AC405" s="32" t="s">
        <v>1225</v>
      </c>
      <c r="AD405" s="32" t="s">
        <v>1225</v>
      </c>
      <c r="AE405" s="32" t="s">
        <v>1225</v>
      </c>
      <c r="AF405" s="32" t="s">
        <v>1225</v>
      </c>
      <c r="AG405" s="32" t="s">
        <v>1225</v>
      </c>
      <c r="AH405" s="32" t="s">
        <v>1225</v>
      </c>
      <c r="AI405" s="32" t="s">
        <v>1225</v>
      </c>
      <c r="AJ405" s="32" t="s">
        <v>1225</v>
      </c>
      <c r="AK405" s="32" t="s">
        <v>1225</v>
      </c>
      <c r="AL405" s="32" t="s">
        <v>1225</v>
      </c>
      <c r="AM405" s="32" t="s">
        <v>1225</v>
      </c>
      <c r="AN405" s="32" t="s">
        <v>1225</v>
      </c>
      <c r="AO405" s="32" t="s">
        <v>1225</v>
      </c>
      <c r="AP405" s="32" t="s">
        <v>1225</v>
      </c>
      <c r="AQ405" s="32" t="s">
        <v>1225</v>
      </c>
      <c r="AR405" s="32" t="s">
        <v>1225</v>
      </c>
      <c r="AS405" s="32" t="s">
        <v>1225</v>
      </c>
      <c r="AT405" s="32" t="s">
        <v>1225</v>
      </c>
      <c r="AU405" s="32" t="s">
        <v>1225</v>
      </c>
      <c r="AV405" s="32" t="s">
        <v>1225</v>
      </c>
      <c r="AW405" s="32" t="s">
        <v>1393</v>
      </c>
      <c r="AX405" s="32">
        <v>2015</v>
      </c>
      <c r="AY405" s="32">
        <v>3</v>
      </c>
      <c r="AZ405" s="32">
        <v>2</v>
      </c>
      <c r="BA405" s="32" t="s">
        <v>1225</v>
      </c>
      <c r="BB405" s="32" t="s">
        <v>1225</v>
      </c>
      <c r="BC405" s="32" t="s">
        <v>1511</v>
      </c>
      <c r="BD405" s="32" t="s">
        <v>1225</v>
      </c>
      <c r="BE405" s="32">
        <v>259</v>
      </c>
      <c r="BF405" s="32">
        <v>268</v>
      </c>
      <c r="BG405" s="32" t="s">
        <v>1225</v>
      </c>
      <c r="BH405" s="32" t="s">
        <v>4016</v>
      </c>
      <c r="BI405" s="32" t="str">
        <f>HYPERLINK("http://dx.doi.org/10.1007/s40565-015-0118-y","http://dx.doi.org/10.1007/s40565-015-0118-y")</f>
        <v>http://dx.doi.org/10.1007/s40565-015-0118-y</v>
      </c>
      <c r="BJ405" s="32" t="s">
        <v>1225</v>
      </c>
      <c r="BK405" s="32" t="s">
        <v>1225</v>
      </c>
      <c r="BL405" s="32" t="s">
        <v>1225</v>
      </c>
      <c r="BM405" s="32" t="s">
        <v>1225</v>
      </c>
      <c r="BN405" s="32" t="s">
        <v>1225</v>
      </c>
      <c r="BO405" s="32" t="s">
        <v>1225</v>
      </c>
      <c r="BP405" s="32" t="s">
        <v>1225</v>
      </c>
      <c r="BQ405" s="32" t="s">
        <v>1225</v>
      </c>
      <c r="BR405" s="32" t="s">
        <v>1225</v>
      </c>
      <c r="BS405" s="32" t="s">
        <v>1225</v>
      </c>
      <c r="BT405" s="32" t="s">
        <v>1225</v>
      </c>
      <c r="BU405" s="32" t="s">
        <v>1225</v>
      </c>
      <c r="BV405" s="32" t="s">
        <v>1225</v>
      </c>
      <c r="BW405" s="32" t="str">
        <f t="shared" si="12"/>
        <v>View Full Record in Web of Science</v>
      </c>
      <c r="BY405" s="41" t="str">
        <f>IF(Deletion!J405=TRUE,"Yes","No")</f>
        <v>Yes</v>
      </c>
    </row>
    <row r="406" spans="1:77" x14ac:dyDescent="0.15">
      <c r="A406" s="32">
        <f t="shared" si="13"/>
        <v>405</v>
      </c>
      <c r="D406" s="32" t="s">
        <v>1223</v>
      </c>
      <c r="E406" s="32" t="s">
        <v>4017</v>
      </c>
      <c r="F406" s="32" t="s">
        <v>1225</v>
      </c>
      <c r="G406" s="32" t="s">
        <v>1225</v>
      </c>
      <c r="H406" s="32" t="s">
        <v>1225</v>
      </c>
      <c r="I406" s="32" t="s">
        <v>4018</v>
      </c>
      <c r="J406" s="32" t="s">
        <v>1225</v>
      </c>
      <c r="K406" s="32" t="s">
        <v>1225</v>
      </c>
      <c r="L406" s="32" t="s">
        <v>4019</v>
      </c>
      <c r="M406" s="32" t="s">
        <v>97</v>
      </c>
      <c r="N406" s="32" t="s">
        <v>1225</v>
      </c>
      <c r="O406" s="32" t="s">
        <v>1225</v>
      </c>
      <c r="P406" s="32" t="s">
        <v>1225</v>
      </c>
      <c r="Q406" s="32" t="s">
        <v>1227</v>
      </c>
      <c r="R406" s="32" t="s">
        <v>1225</v>
      </c>
      <c r="S406" s="32" t="s">
        <v>1225</v>
      </c>
      <c r="T406" s="32" t="s">
        <v>1225</v>
      </c>
      <c r="U406" s="32" t="s">
        <v>1225</v>
      </c>
      <c r="V406" s="32" t="s">
        <v>1225</v>
      </c>
      <c r="W406" s="32" t="s">
        <v>4020</v>
      </c>
      <c r="X406" s="32" t="s">
        <v>4021</v>
      </c>
      <c r="Y406" s="32" t="s">
        <v>4022</v>
      </c>
      <c r="Z406" s="32" t="s">
        <v>1225</v>
      </c>
      <c r="AA406" s="32" t="s">
        <v>1225</v>
      </c>
      <c r="AB406" s="32" t="s">
        <v>1225</v>
      </c>
      <c r="AC406" s="32" t="s">
        <v>1225</v>
      </c>
      <c r="AD406" s="32" t="s">
        <v>1225</v>
      </c>
      <c r="AE406" s="32" t="s">
        <v>1225</v>
      </c>
      <c r="AF406" s="32" t="s">
        <v>1225</v>
      </c>
      <c r="AG406" s="32" t="s">
        <v>1225</v>
      </c>
      <c r="AH406" s="32" t="s">
        <v>1225</v>
      </c>
      <c r="AI406" s="32" t="s">
        <v>1225</v>
      </c>
      <c r="AJ406" s="32" t="s">
        <v>1225</v>
      </c>
      <c r="AK406" s="32" t="s">
        <v>1225</v>
      </c>
      <c r="AL406" s="32" t="s">
        <v>1225</v>
      </c>
      <c r="AM406" s="32" t="s">
        <v>1225</v>
      </c>
      <c r="AN406" s="32" t="s">
        <v>1225</v>
      </c>
      <c r="AO406" s="32" t="s">
        <v>1225</v>
      </c>
      <c r="AP406" s="32" t="s">
        <v>1225</v>
      </c>
      <c r="AQ406" s="32" t="s">
        <v>1225</v>
      </c>
      <c r="AR406" s="32" t="s">
        <v>1225</v>
      </c>
      <c r="AS406" s="32" t="s">
        <v>1225</v>
      </c>
      <c r="AT406" s="32" t="s">
        <v>1225</v>
      </c>
      <c r="AU406" s="32" t="s">
        <v>1225</v>
      </c>
      <c r="AV406" s="32" t="s">
        <v>1225</v>
      </c>
      <c r="AW406" s="32" t="s">
        <v>2090</v>
      </c>
      <c r="AX406" s="32">
        <v>2016</v>
      </c>
      <c r="AY406" s="32">
        <v>180</v>
      </c>
      <c r="AZ406" s="32" t="s">
        <v>1225</v>
      </c>
      <c r="BA406" s="32" t="s">
        <v>1225</v>
      </c>
      <c r="BB406" s="32" t="s">
        <v>1225</v>
      </c>
      <c r="BC406" s="32" t="s">
        <v>1225</v>
      </c>
      <c r="BD406" s="32" t="s">
        <v>1225</v>
      </c>
      <c r="BE406" s="32">
        <v>155</v>
      </c>
      <c r="BF406" s="32">
        <v>168</v>
      </c>
      <c r="BG406" s="32" t="s">
        <v>1225</v>
      </c>
      <c r="BH406" s="32" t="s">
        <v>4023</v>
      </c>
      <c r="BI406" s="32" t="str">
        <f>HYPERLINK("http://dx.doi.org/10.1016/j.apenergy.2016.07.110","http://dx.doi.org/10.1016/j.apenergy.2016.07.110")</f>
        <v>http://dx.doi.org/10.1016/j.apenergy.2016.07.110</v>
      </c>
      <c r="BJ406" s="32" t="s">
        <v>1225</v>
      </c>
      <c r="BK406" s="32" t="s">
        <v>1225</v>
      </c>
      <c r="BL406" s="32" t="s">
        <v>1225</v>
      </c>
      <c r="BM406" s="32" t="s">
        <v>1225</v>
      </c>
      <c r="BN406" s="32" t="s">
        <v>1225</v>
      </c>
      <c r="BO406" s="32" t="s">
        <v>1225</v>
      </c>
      <c r="BP406" s="32" t="s">
        <v>1225</v>
      </c>
      <c r="BQ406" s="32" t="s">
        <v>1225</v>
      </c>
      <c r="BR406" s="32" t="s">
        <v>1225</v>
      </c>
      <c r="BS406" s="32" t="s">
        <v>1225</v>
      </c>
      <c r="BT406" s="32" t="s">
        <v>1225</v>
      </c>
      <c r="BU406" s="32" t="s">
        <v>1225</v>
      </c>
      <c r="BV406" s="32" t="s">
        <v>1225</v>
      </c>
      <c r="BW406" s="32" t="str">
        <f t="shared" si="12"/>
        <v>View Full Record in Web of Science</v>
      </c>
      <c r="BY406" s="41" t="str">
        <f>IF(Deletion!J406=TRUE,"Yes","No")</f>
        <v>Yes</v>
      </c>
    </row>
    <row r="407" spans="1:77" x14ac:dyDescent="0.15">
      <c r="A407" s="32">
        <f t="shared" si="13"/>
        <v>406</v>
      </c>
      <c r="D407" s="32" t="s">
        <v>1223</v>
      </c>
      <c r="E407" s="32" t="s">
        <v>4024</v>
      </c>
      <c r="F407" s="32" t="s">
        <v>1225</v>
      </c>
      <c r="G407" s="32" t="s">
        <v>1225</v>
      </c>
      <c r="H407" s="32" t="s">
        <v>1225</v>
      </c>
      <c r="I407" s="32" t="s">
        <v>4025</v>
      </c>
      <c r="J407" s="32" t="s">
        <v>1225</v>
      </c>
      <c r="K407" s="32" t="s">
        <v>1225</v>
      </c>
      <c r="L407" s="32" t="s">
        <v>4026</v>
      </c>
      <c r="M407" s="32" t="s">
        <v>89</v>
      </c>
      <c r="N407" s="32" t="s">
        <v>1225</v>
      </c>
      <c r="O407" s="32" t="s">
        <v>1225</v>
      </c>
      <c r="P407" s="32" t="s">
        <v>1225</v>
      </c>
      <c r="Q407" s="32" t="s">
        <v>1227</v>
      </c>
      <c r="R407" s="32" t="s">
        <v>1225</v>
      </c>
      <c r="S407" s="32" t="s">
        <v>1225</v>
      </c>
      <c r="T407" s="32" t="s">
        <v>1225</v>
      </c>
      <c r="U407" s="32" t="s">
        <v>1225</v>
      </c>
      <c r="V407" s="32" t="s">
        <v>1225</v>
      </c>
      <c r="W407" s="32" t="s">
        <v>4027</v>
      </c>
      <c r="X407" s="32" t="s">
        <v>4028</v>
      </c>
      <c r="Y407" s="32" t="s">
        <v>4029</v>
      </c>
      <c r="Z407" s="32" t="s">
        <v>1225</v>
      </c>
      <c r="AA407" s="32" t="s">
        <v>1225</v>
      </c>
      <c r="AB407" s="32" t="s">
        <v>1225</v>
      </c>
      <c r="AC407" s="32" t="s">
        <v>1225</v>
      </c>
      <c r="AD407" s="32" t="s">
        <v>1225</v>
      </c>
      <c r="AE407" s="32" t="s">
        <v>1225</v>
      </c>
      <c r="AF407" s="32" t="s">
        <v>1225</v>
      </c>
      <c r="AG407" s="32" t="s">
        <v>1225</v>
      </c>
      <c r="AH407" s="32" t="s">
        <v>1225</v>
      </c>
      <c r="AI407" s="32" t="s">
        <v>1225</v>
      </c>
      <c r="AJ407" s="32" t="s">
        <v>1225</v>
      </c>
      <c r="AK407" s="32" t="s">
        <v>1225</v>
      </c>
      <c r="AL407" s="32" t="s">
        <v>1225</v>
      </c>
      <c r="AM407" s="32" t="s">
        <v>1225</v>
      </c>
      <c r="AN407" s="32" t="s">
        <v>1225</v>
      </c>
      <c r="AO407" s="32" t="s">
        <v>1225</v>
      </c>
      <c r="AP407" s="32" t="s">
        <v>1225</v>
      </c>
      <c r="AQ407" s="32" t="s">
        <v>1225</v>
      </c>
      <c r="AR407" s="32" t="s">
        <v>1225</v>
      </c>
      <c r="AS407" s="32" t="s">
        <v>1225</v>
      </c>
      <c r="AT407" s="32" t="s">
        <v>1225</v>
      </c>
      <c r="AU407" s="32" t="s">
        <v>1225</v>
      </c>
      <c r="AV407" s="32" t="s">
        <v>1225</v>
      </c>
      <c r="AW407" s="32" t="s">
        <v>1298</v>
      </c>
      <c r="AX407" s="32">
        <v>2022</v>
      </c>
      <c r="AY407" s="32">
        <v>210</v>
      </c>
      <c r="AZ407" s="32" t="s">
        <v>1225</v>
      </c>
      <c r="BA407" s="32" t="s">
        <v>1225</v>
      </c>
      <c r="BB407" s="32" t="s">
        <v>1225</v>
      </c>
      <c r="BC407" s="32" t="s">
        <v>1225</v>
      </c>
      <c r="BD407" s="32" t="s">
        <v>1225</v>
      </c>
      <c r="BE407" s="32" t="s">
        <v>1225</v>
      </c>
      <c r="BF407" s="32" t="s">
        <v>1225</v>
      </c>
      <c r="BG407" s="32">
        <v>108087</v>
      </c>
      <c r="BH407" s="32" t="s">
        <v>4030</v>
      </c>
      <c r="BI407" s="32" t="str">
        <f>HYPERLINK("http://dx.doi.org/10.1016/j.epsr.2022.108087","http://dx.doi.org/10.1016/j.epsr.2022.108087")</f>
        <v>http://dx.doi.org/10.1016/j.epsr.2022.108087</v>
      </c>
      <c r="BJ407" s="32" t="s">
        <v>1225</v>
      </c>
      <c r="BK407" s="32" t="s">
        <v>1225</v>
      </c>
      <c r="BL407" s="32" t="s">
        <v>1225</v>
      </c>
      <c r="BM407" s="32" t="s">
        <v>1225</v>
      </c>
      <c r="BN407" s="32" t="s">
        <v>1225</v>
      </c>
      <c r="BO407" s="32" t="s">
        <v>1225</v>
      </c>
      <c r="BP407" s="32" t="s">
        <v>1225</v>
      </c>
      <c r="BQ407" s="32" t="s">
        <v>1225</v>
      </c>
      <c r="BR407" s="32" t="s">
        <v>1225</v>
      </c>
      <c r="BS407" s="32" t="s">
        <v>1225</v>
      </c>
      <c r="BT407" s="32" t="s">
        <v>1225</v>
      </c>
      <c r="BU407" s="32" t="s">
        <v>1225</v>
      </c>
      <c r="BV407" s="32" t="s">
        <v>1225</v>
      </c>
      <c r="BW407" s="32" t="str">
        <f t="shared" si="12"/>
        <v>View Full Record in Web of Science</v>
      </c>
      <c r="BY407" s="41" t="str">
        <f>IF(Deletion!J407=TRUE,"Yes","No")</f>
        <v>Yes</v>
      </c>
    </row>
    <row r="408" spans="1:77" x14ac:dyDescent="0.15">
      <c r="A408" s="32">
        <f t="shared" si="13"/>
        <v>407</v>
      </c>
      <c r="D408" s="32" t="s">
        <v>1223</v>
      </c>
      <c r="E408" s="32" t="s">
        <v>4031</v>
      </c>
      <c r="F408" s="32" t="s">
        <v>1225</v>
      </c>
      <c r="G408" s="32" t="s">
        <v>1225</v>
      </c>
      <c r="H408" s="32" t="s">
        <v>1225</v>
      </c>
      <c r="I408" s="32" t="s">
        <v>4032</v>
      </c>
      <c r="J408" s="32" t="s">
        <v>1225</v>
      </c>
      <c r="K408" s="32" t="s">
        <v>1225</v>
      </c>
      <c r="L408" s="32" t="s">
        <v>4033</v>
      </c>
      <c r="M408" s="32" t="s">
        <v>1372</v>
      </c>
      <c r="N408" s="32" t="s">
        <v>1225</v>
      </c>
      <c r="O408" s="32" t="s">
        <v>1225</v>
      </c>
      <c r="P408" s="32" t="s">
        <v>1225</v>
      </c>
      <c r="Q408" s="32" t="s">
        <v>1227</v>
      </c>
      <c r="R408" s="32" t="s">
        <v>1225</v>
      </c>
      <c r="S408" s="32" t="s">
        <v>1225</v>
      </c>
      <c r="T408" s="32" t="s">
        <v>1225</v>
      </c>
      <c r="U408" s="32" t="s">
        <v>1225</v>
      </c>
      <c r="V408" s="32" t="s">
        <v>1225</v>
      </c>
      <c r="W408" s="32" t="s">
        <v>4034</v>
      </c>
      <c r="X408" s="32" t="s">
        <v>1225</v>
      </c>
      <c r="Y408" s="32" t="s">
        <v>4035</v>
      </c>
      <c r="Z408" s="32" t="s">
        <v>1225</v>
      </c>
      <c r="AA408" s="32" t="s">
        <v>1225</v>
      </c>
      <c r="AB408" s="32" t="s">
        <v>1225</v>
      </c>
      <c r="AC408" s="32" t="s">
        <v>1225</v>
      </c>
      <c r="AD408" s="32" t="s">
        <v>1225</v>
      </c>
      <c r="AE408" s="32" t="s">
        <v>1225</v>
      </c>
      <c r="AF408" s="32" t="s">
        <v>1225</v>
      </c>
      <c r="AG408" s="32" t="s">
        <v>1225</v>
      </c>
      <c r="AH408" s="32" t="s">
        <v>1225</v>
      </c>
      <c r="AI408" s="32" t="s">
        <v>1225</v>
      </c>
      <c r="AJ408" s="32" t="s">
        <v>1225</v>
      </c>
      <c r="AK408" s="32" t="s">
        <v>1225</v>
      </c>
      <c r="AL408" s="32" t="s">
        <v>1225</v>
      </c>
      <c r="AM408" s="32" t="s">
        <v>1225</v>
      </c>
      <c r="AN408" s="32" t="s">
        <v>1225</v>
      </c>
      <c r="AO408" s="32" t="s">
        <v>1225</v>
      </c>
      <c r="AP408" s="32" t="s">
        <v>1225</v>
      </c>
      <c r="AQ408" s="32" t="s">
        <v>1225</v>
      </c>
      <c r="AR408" s="32" t="s">
        <v>1225</v>
      </c>
      <c r="AS408" s="32" t="s">
        <v>1225</v>
      </c>
      <c r="AT408" s="32" t="s">
        <v>1225</v>
      </c>
      <c r="AU408" s="32" t="s">
        <v>1225</v>
      </c>
      <c r="AV408" s="32" t="s">
        <v>1225</v>
      </c>
      <c r="AW408" s="32" t="s">
        <v>1393</v>
      </c>
      <c r="AX408" s="32">
        <v>2020</v>
      </c>
      <c r="AY408" s="32">
        <v>9</v>
      </c>
      <c r="AZ408" s="32">
        <v>6</v>
      </c>
      <c r="BA408" s="32" t="s">
        <v>1225</v>
      </c>
      <c r="BB408" s="32" t="s">
        <v>1225</v>
      </c>
      <c r="BC408" s="32" t="s">
        <v>1225</v>
      </c>
      <c r="BD408" s="32" t="s">
        <v>1225</v>
      </c>
      <c r="BE408" s="32" t="s">
        <v>1225</v>
      </c>
      <c r="BF408" s="32" t="s">
        <v>1225</v>
      </c>
      <c r="BG408" s="32">
        <v>888</v>
      </c>
      <c r="BH408" s="32" t="s">
        <v>4036</v>
      </c>
      <c r="BI408" s="32" t="str">
        <f>HYPERLINK("http://dx.doi.org/10.3390/electronics9060888","http://dx.doi.org/10.3390/electronics9060888")</f>
        <v>http://dx.doi.org/10.3390/electronics9060888</v>
      </c>
      <c r="BJ408" s="32" t="s">
        <v>1225</v>
      </c>
      <c r="BK408" s="32" t="s">
        <v>1225</v>
      </c>
      <c r="BL408" s="32" t="s">
        <v>1225</v>
      </c>
      <c r="BM408" s="32" t="s">
        <v>1225</v>
      </c>
      <c r="BN408" s="32" t="s">
        <v>1225</v>
      </c>
      <c r="BO408" s="32" t="s">
        <v>1225</v>
      </c>
      <c r="BP408" s="32" t="s">
        <v>1225</v>
      </c>
      <c r="BQ408" s="32" t="s">
        <v>1225</v>
      </c>
      <c r="BR408" s="32" t="s">
        <v>1225</v>
      </c>
      <c r="BS408" s="32" t="s">
        <v>1225</v>
      </c>
      <c r="BT408" s="32" t="s">
        <v>1225</v>
      </c>
      <c r="BU408" s="32" t="s">
        <v>1225</v>
      </c>
      <c r="BV408" s="32" t="s">
        <v>1225</v>
      </c>
      <c r="BW408" s="32" t="str">
        <f t="shared" si="12"/>
        <v>View Full Record in Web of Science</v>
      </c>
      <c r="BY408" s="41" t="str">
        <f>IF(Deletion!J408=TRUE,"Yes","No")</f>
        <v>Yes</v>
      </c>
    </row>
    <row r="409" spans="1:77" x14ac:dyDescent="0.15">
      <c r="A409" s="34">
        <f t="shared" si="13"/>
        <v>408</v>
      </c>
      <c r="B409" s="34" t="s">
        <v>4</v>
      </c>
      <c r="C409" s="34" t="s">
        <v>4</v>
      </c>
      <c r="D409" s="34" t="s">
        <v>1223</v>
      </c>
      <c r="E409" s="34" t="s">
        <v>4037</v>
      </c>
      <c r="F409" s="32" t="s">
        <v>1225</v>
      </c>
      <c r="G409" s="32" t="s">
        <v>1225</v>
      </c>
      <c r="H409" s="32" t="s">
        <v>1225</v>
      </c>
      <c r="I409" s="34" t="s">
        <v>4038</v>
      </c>
      <c r="J409" s="32" t="s">
        <v>1225</v>
      </c>
      <c r="K409" s="32" t="s">
        <v>1225</v>
      </c>
      <c r="L409" s="34" t="s">
        <v>4039</v>
      </c>
      <c r="M409" s="34" t="s">
        <v>4040</v>
      </c>
      <c r="N409" s="32" t="s">
        <v>1225</v>
      </c>
      <c r="O409" s="32" t="s">
        <v>1225</v>
      </c>
      <c r="P409" s="32" t="s">
        <v>1225</v>
      </c>
      <c r="Q409" s="34" t="s">
        <v>1227</v>
      </c>
      <c r="R409" s="32" t="s">
        <v>1225</v>
      </c>
      <c r="S409" s="32" t="s">
        <v>1225</v>
      </c>
      <c r="T409" s="32" t="s">
        <v>1225</v>
      </c>
      <c r="U409" s="32" t="s">
        <v>1225</v>
      </c>
      <c r="V409" s="32" t="s">
        <v>1225</v>
      </c>
      <c r="W409" s="34" t="s">
        <v>4041</v>
      </c>
      <c r="X409" s="34" t="s">
        <v>4042</v>
      </c>
      <c r="Y409" s="34" t="s">
        <v>4043</v>
      </c>
      <c r="Z409" s="32" t="s">
        <v>1225</v>
      </c>
      <c r="AA409" s="32" t="s">
        <v>1225</v>
      </c>
      <c r="AB409" s="32" t="s">
        <v>1225</v>
      </c>
      <c r="AC409" s="32" t="s">
        <v>1225</v>
      </c>
      <c r="AD409" s="32" t="s">
        <v>1225</v>
      </c>
      <c r="AE409" s="32" t="s">
        <v>1225</v>
      </c>
      <c r="AF409" s="32" t="s">
        <v>1225</v>
      </c>
      <c r="AG409" s="32" t="s">
        <v>1225</v>
      </c>
      <c r="AH409" s="32" t="s">
        <v>1225</v>
      </c>
      <c r="AI409" s="32" t="s">
        <v>1225</v>
      </c>
      <c r="AJ409" s="32" t="s">
        <v>1225</v>
      </c>
      <c r="AK409" s="32" t="s">
        <v>1225</v>
      </c>
      <c r="AL409" s="32" t="s">
        <v>1225</v>
      </c>
      <c r="AM409" s="32" t="s">
        <v>1225</v>
      </c>
      <c r="AN409" s="32" t="s">
        <v>1225</v>
      </c>
      <c r="AO409" s="32" t="s">
        <v>1225</v>
      </c>
      <c r="AP409" s="32" t="s">
        <v>1225</v>
      </c>
      <c r="AQ409" s="32" t="s">
        <v>1225</v>
      </c>
      <c r="AR409" s="32" t="s">
        <v>1225</v>
      </c>
      <c r="AS409" s="32" t="s">
        <v>1225</v>
      </c>
      <c r="AT409" s="32" t="s">
        <v>1225</v>
      </c>
      <c r="AU409" s="32" t="s">
        <v>1225</v>
      </c>
      <c r="AV409" s="32" t="s">
        <v>1225</v>
      </c>
      <c r="AW409" s="34" t="s">
        <v>1393</v>
      </c>
      <c r="AX409" s="34">
        <v>2022</v>
      </c>
      <c r="AY409" s="32">
        <v>26</v>
      </c>
      <c r="AZ409" s="32">
        <v>3</v>
      </c>
      <c r="BA409" s="32" t="s">
        <v>1225</v>
      </c>
      <c r="BB409" s="32" t="s">
        <v>1225</v>
      </c>
      <c r="BC409" s="32" t="s">
        <v>1225</v>
      </c>
      <c r="BD409" s="32" t="s">
        <v>1225</v>
      </c>
      <c r="BE409" s="32">
        <v>1108</v>
      </c>
      <c r="BF409" s="32">
        <v>1122</v>
      </c>
      <c r="BG409" s="32" t="s">
        <v>1225</v>
      </c>
      <c r="BH409" s="34" t="s">
        <v>4044</v>
      </c>
      <c r="BI409" s="34" t="str">
        <f>HYPERLINK("http://dx.doi.org/10.1111/jiec.13263","http://dx.doi.org/10.1111/jiec.13263")</f>
        <v>http://dx.doi.org/10.1111/jiec.13263</v>
      </c>
      <c r="BJ409" s="32" t="s">
        <v>1225</v>
      </c>
      <c r="BK409" s="32" t="s">
        <v>4045</v>
      </c>
      <c r="BL409" s="32" t="s">
        <v>1225</v>
      </c>
      <c r="BM409" s="32" t="s">
        <v>1225</v>
      </c>
      <c r="BN409" s="32" t="s">
        <v>1225</v>
      </c>
      <c r="BO409" s="32" t="s">
        <v>1225</v>
      </c>
      <c r="BP409" s="32" t="s">
        <v>1225</v>
      </c>
      <c r="BQ409" s="32" t="s">
        <v>1225</v>
      </c>
      <c r="BR409" s="32" t="s">
        <v>1225</v>
      </c>
      <c r="BS409" s="32" t="s">
        <v>1225</v>
      </c>
      <c r="BT409" s="32" t="s">
        <v>1225</v>
      </c>
      <c r="BU409" s="32" t="s">
        <v>1225</v>
      </c>
      <c r="BV409" s="32" t="s">
        <v>1225</v>
      </c>
      <c r="BW409" s="32" t="str">
        <f t="shared" si="12"/>
        <v>View Full Record in Web of Science</v>
      </c>
      <c r="BY409" s="41" t="str">
        <f>IF(Deletion!J409=TRUE,"Yes","No")</f>
        <v>No</v>
      </c>
    </row>
    <row r="410" spans="1:77" x14ac:dyDescent="0.15">
      <c r="A410" s="32">
        <f t="shared" si="13"/>
        <v>409</v>
      </c>
      <c r="D410" s="32" t="s">
        <v>1223</v>
      </c>
      <c r="E410" s="32" t="s">
        <v>4046</v>
      </c>
      <c r="F410" s="32" t="s">
        <v>1225</v>
      </c>
      <c r="G410" s="32" t="s">
        <v>1225</v>
      </c>
      <c r="H410" s="32" t="s">
        <v>1225</v>
      </c>
      <c r="I410" s="32" t="s">
        <v>4047</v>
      </c>
      <c r="J410" s="32" t="s">
        <v>1225</v>
      </c>
      <c r="K410" s="32" t="s">
        <v>1225</v>
      </c>
      <c r="L410" s="32" t="s">
        <v>4048</v>
      </c>
      <c r="M410" s="32" t="s">
        <v>68</v>
      </c>
      <c r="N410" s="32" t="s">
        <v>1225</v>
      </c>
      <c r="O410" s="32" t="s">
        <v>1225</v>
      </c>
      <c r="P410" s="32" t="s">
        <v>1225</v>
      </c>
      <c r="Q410" s="32" t="s">
        <v>1227</v>
      </c>
      <c r="R410" s="32" t="s">
        <v>1225</v>
      </c>
      <c r="S410" s="32" t="s">
        <v>1225</v>
      </c>
      <c r="T410" s="32" t="s">
        <v>1225</v>
      </c>
      <c r="U410" s="32" t="s">
        <v>1225</v>
      </c>
      <c r="V410" s="32" t="s">
        <v>1225</v>
      </c>
      <c r="W410" s="32" t="s">
        <v>4049</v>
      </c>
      <c r="X410" s="32" t="s">
        <v>4050</v>
      </c>
      <c r="Y410" s="32" t="s">
        <v>4051</v>
      </c>
      <c r="Z410" s="32" t="s">
        <v>1225</v>
      </c>
      <c r="AA410" s="32" t="s">
        <v>1225</v>
      </c>
      <c r="AB410" s="32" t="s">
        <v>1225</v>
      </c>
      <c r="AC410" s="32" t="s">
        <v>1225</v>
      </c>
      <c r="AD410" s="32" t="s">
        <v>1225</v>
      </c>
      <c r="AE410" s="32" t="s">
        <v>1225</v>
      </c>
      <c r="AF410" s="32" t="s">
        <v>1225</v>
      </c>
      <c r="AG410" s="32" t="s">
        <v>1225</v>
      </c>
      <c r="AH410" s="32" t="s">
        <v>1225</v>
      </c>
      <c r="AI410" s="32" t="s">
        <v>1225</v>
      </c>
      <c r="AJ410" s="32" t="s">
        <v>1225</v>
      </c>
      <c r="AK410" s="32" t="s">
        <v>1225</v>
      </c>
      <c r="AL410" s="32" t="s">
        <v>1225</v>
      </c>
      <c r="AM410" s="32" t="s">
        <v>1225</v>
      </c>
      <c r="AN410" s="32" t="s">
        <v>1225</v>
      </c>
      <c r="AO410" s="32" t="s">
        <v>1225</v>
      </c>
      <c r="AP410" s="32" t="s">
        <v>1225</v>
      </c>
      <c r="AQ410" s="32" t="s">
        <v>1225</v>
      </c>
      <c r="AR410" s="32" t="s">
        <v>1225</v>
      </c>
      <c r="AS410" s="32" t="s">
        <v>1225</v>
      </c>
      <c r="AT410" s="32" t="s">
        <v>1225</v>
      </c>
      <c r="AU410" s="32" t="s">
        <v>1225</v>
      </c>
      <c r="AV410" s="32" t="s">
        <v>1225</v>
      </c>
      <c r="AW410" s="32" t="s">
        <v>1225</v>
      </c>
      <c r="AX410" s="32">
        <v>2021</v>
      </c>
      <c r="AY410" s="32">
        <v>9</v>
      </c>
      <c r="AZ410" s="32" t="s">
        <v>1225</v>
      </c>
      <c r="BA410" s="32" t="s">
        <v>1225</v>
      </c>
      <c r="BB410" s="32" t="s">
        <v>1225</v>
      </c>
      <c r="BC410" s="32" t="s">
        <v>1225</v>
      </c>
      <c r="BD410" s="32" t="s">
        <v>1225</v>
      </c>
      <c r="BE410" s="32">
        <v>75761</v>
      </c>
      <c r="BF410" s="32">
        <v>75777</v>
      </c>
      <c r="BG410" s="32" t="s">
        <v>1225</v>
      </c>
      <c r="BH410" s="32" t="s">
        <v>4052</v>
      </c>
      <c r="BI410" s="32" t="str">
        <f>HYPERLINK("http://dx.doi.org/10.1109/ACCESS.2021.3081506","http://dx.doi.org/10.1109/ACCESS.2021.3081506")</f>
        <v>http://dx.doi.org/10.1109/ACCESS.2021.3081506</v>
      </c>
      <c r="BJ410" s="32" t="s">
        <v>1225</v>
      </c>
      <c r="BK410" s="32" t="s">
        <v>1225</v>
      </c>
      <c r="BL410" s="32" t="s">
        <v>1225</v>
      </c>
      <c r="BM410" s="32" t="s">
        <v>1225</v>
      </c>
      <c r="BN410" s="32" t="s">
        <v>1225</v>
      </c>
      <c r="BO410" s="32" t="s">
        <v>1225</v>
      </c>
      <c r="BP410" s="32" t="s">
        <v>1225</v>
      </c>
      <c r="BQ410" s="32" t="s">
        <v>1225</v>
      </c>
      <c r="BR410" s="32" t="s">
        <v>1225</v>
      </c>
      <c r="BS410" s="32" t="s">
        <v>1225</v>
      </c>
      <c r="BT410" s="32" t="s">
        <v>1225</v>
      </c>
      <c r="BU410" s="32" t="s">
        <v>1225</v>
      </c>
      <c r="BV410" s="32" t="s">
        <v>1225</v>
      </c>
      <c r="BW410" s="32" t="str">
        <f t="shared" si="12"/>
        <v>View Full Record in Web of Science</v>
      </c>
      <c r="BY410" s="41" t="str">
        <f>IF(Deletion!J410=TRUE,"Yes","No")</f>
        <v>Yes</v>
      </c>
    </row>
    <row r="411" spans="1:77" x14ac:dyDescent="0.15">
      <c r="A411" s="34">
        <f t="shared" si="13"/>
        <v>410</v>
      </c>
      <c r="B411" s="34" t="s">
        <v>4</v>
      </c>
      <c r="C411" s="34" t="s">
        <v>4</v>
      </c>
      <c r="D411" s="34" t="s">
        <v>1223</v>
      </c>
      <c r="E411" s="34" t="s">
        <v>4053</v>
      </c>
      <c r="F411" s="32" t="s">
        <v>1225</v>
      </c>
      <c r="G411" s="32" t="s">
        <v>1225</v>
      </c>
      <c r="H411" s="32" t="s">
        <v>1225</v>
      </c>
      <c r="I411" s="34" t="s">
        <v>4054</v>
      </c>
      <c r="J411" s="32" t="s">
        <v>1225</v>
      </c>
      <c r="K411" s="32" t="s">
        <v>1225</v>
      </c>
      <c r="L411" s="34" t="s">
        <v>4055</v>
      </c>
      <c r="M411" s="34" t="s">
        <v>124</v>
      </c>
      <c r="N411" s="32" t="s">
        <v>1225</v>
      </c>
      <c r="O411" s="32" t="s">
        <v>1225</v>
      </c>
      <c r="P411" s="32" t="s">
        <v>1225</v>
      </c>
      <c r="Q411" s="34" t="s">
        <v>1227</v>
      </c>
      <c r="R411" s="32" t="s">
        <v>1225</v>
      </c>
      <c r="S411" s="32" t="s">
        <v>1225</v>
      </c>
      <c r="T411" s="32" t="s">
        <v>1225</v>
      </c>
      <c r="U411" s="32" t="s">
        <v>1225</v>
      </c>
      <c r="V411" s="32" t="s">
        <v>1225</v>
      </c>
      <c r="W411" s="34" t="s">
        <v>4056</v>
      </c>
      <c r="X411" s="34" t="s">
        <v>4057</v>
      </c>
      <c r="Y411" s="34" t="s">
        <v>4058</v>
      </c>
      <c r="Z411" s="32" t="s">
        <v>1225</v>
      </c>
      <c r="AA411" s="32" t="s">
        <v>1225</v>
      </c>
      <c r="AB411" s="32" t="s">
        <v>1225</v>
      </c>
      <c r="AC411" s="32" t="s">
        <v>1225</v>
      </c>
      <c r="AD411" s="32" t="s">
        <v>1225</v>
      </c>
      <c r="AE411" s="32" t="s">
        <v>1225</v>
      </c>
      <c r="AF411" s="32" t="s">
        <v>1225</v>
      </c>
      <c r="AG411" s="32" t="s">
        <v>1225</v>
      </c>
      <c r="AH411" s="32" t="s">
        <v>1225</v>
      </c>
      <c r="AI411" s="32" t="s">
        <v>1225</v>
      </c>
      <c r="AJ411" s="32" t="s">
        <v>1225</v>
      </c>
      <c r="AK411" s="32" t="s">
        <v>1225</v>
      </c>
      <c r="AL411" s="32" t="s">
        <v>1225</v>
      </c>
      <c r="AM411" s="32" t="s">
        <v>1225</v>
      </c>
      <c r="AN411" s="32" t="s">
        <v>1225</v>
      </c>
      <c r="AO411" s="32" t="s">
        <v>1225</v>
      </c>
      <c r="AP411" s="32" t="s">
        <v>1225</v>
      </c>
      <c r="AQ411" s="32" t="s">
        <v>1225</v>
      </c>
      <c r="AR411" s="32" t="s">
        <v>1225</v>
      </c>
      <c r="AS411" s="32" t="s">
        <v>1225</v>
      </c>
      <c r="AT411" s="32" t="s">
        <v>1225</v>
      </c>
      <c r="AU411" s="32" t="s">
        <v>1225</v>
      </c>
      <c r="AV411" s="32" t="s">
        <v>1225</v>
      </c>
      <c r="AW411" s="34" t="s">
        <v>1298</v>
      </c>
      <c r="AX411" s="34">
        <v>2015</v>
      </c>
      <c r="AY411" s="32">
        <v>6</v>
      </c>
      <c r="AZ411" s="32">
        <v>5</v>
      </c>
      <c r="BA411" s="32" t="s">
        <v>1225</v>
      </c>
      <c r="BB411" s="32" t="s">
        <v>1225</v>
      </c>
      <c r="BC411" s="32" t="s">
        <v>1225</v>
      </c>
      <c r="BD411" s="32" t="s">
        <v>1225</v>
      </c>
      <c r="BE411" s="32">
        <v>2200</v>
      </c>
      <c r="BF411" s="32">
        <v>2210</v>
      </c>
      <c r="BG411" s="32" t="s">
        <v>1225</v>
      </c>
      <c r="BH411" s="34" t="s">
        <v>4059</v>
      </c>
      <c r="BI411" s="34" t="str">
        <f>HYPERLINK("http://dx.doi.org/10.1109/TSG.2015.2394489","http://dx.doi.org/10.1109/TSG.2015.2394489")</f>
        <v>http://dx.doi.org/10.1109/TSG.2015.2394489</v>
      </c>
      <c r="BJ411" s="32" t="s">
        <v>1225</v>
      </c>
      <c r="BK411" s="32" t="s">
        <v>1225</v>
      </c>
      <c r="BL411" s="32" t="s">
        <v>1225</v>
      </c>
      <c r="BM411" s="32" t="s">
        <v>1225</v>
      </c>
      <c r="BN411" s="32" t="s">
        <v>1225</v>
      </c>
      <c r="BO411" s="32" t="s">
        <v>1225</v>
      </c>
      <c r="BP411" s="32" t="s">
        <v>1225</v>
      </c>
      <c r="BQ411" s="32" t="s">
        <v>1225</v>
      </c>
      <c r="BR411" s="32" t="s">
        <v>1225</v>
      </c>
      <c r="BS411" s="32" t="s">
        <v>1225</v>
      </c>
      <c r="BT411" s="32" t="s">
        <v>1225</v>
      </c>
      <c r="BU411" s="32" t="s">
        <v>1225</v>
      </c>
      <c r="BV411" s="32" t="s">
        <v>1225</v>
      </c>
      <c r="BW411" s="32" t="str">
        <f t="shared" si="12"/>
        <v>View Full Record in Web of Science</v>
      </c>
      <c r="BY411" s="41" t="str">
        <f>IF(Deletion!J411=TRUE,"Yes","No")</f>
        <v>No</v>
      </c>
    </row>
    <row r="412" spans="1:77" x14ac:dyDescent="0.15">
      <c r="A412" s="32">
        <f t="shared" si="13"/>
        <v>411</v>
      </c>
      <c r="D412" s="32" t="s">
        <v>1223</v>
      </c>
      <c r="E412" s="32" t="s">
        <v>4060</v>
      </c>
      <c r="F412" s="32" t="s">
        <v>1225</v>
      </c>
      <c r="G412" s="32" t="s">
        <v>1225</v>
      </c>
      <c r="H412" s="32" t="s">
        <v>1225</v>
      </c>
      <c r="I412" s="32" t="s">
        <v>4061</v>
      </c>
      <c r="J412" s="32" t="s">
        <v>1225</v>
      </c>
      <c r="K412" s="32" t="s">
        <v>1225</v>
      </c>
      <c r="L412" s="32" t="s">
        <v>4062</v>
      </c>
      <c r="M412" s="32" t="s">
        <v>3301</v>
      </c>
      <c r="N412" s="32" t="s">
        <v>1225</v>
      </c>
      <c r="O412" s="32" t="s">
        <v>1225</v>
      </c>
      <c r="P412" s="32" t="s">
        <v>1225</v>
      </c>
      <c r="Q412" s="32" t="s">
        <v>1227</v>
      </c>
      <c r="R412" s="32" t="s">
        <v>1225</v>
      </c>
      <c r="S412" s="32" t="s">
        <v>1225</v>
      </c>
      <c r="T412" s="32" t="s">
        <v>1225</v>
      </c>
      <c r="U412" s="32" t="s">
        <v>1225</v>
      </c>
      <c r="V412" s="32" t="s">
        <v>1225</v>
      </c>
      <c r="W412" s="32" t="s">
        <v>4063</v>
      </c>
      <c r="X412" s="32" t="s">
        <v>4064</v>
      </c>
      <c r="Y412" s="32" t="s">
        <v>4065</v>
      </c>
      <c r="Z412" s="32" t="s">
        <v>1225</v>
      </c>
      <c r="AA412" s="32" t="s">
        <v>1225</v>
      </c>
      <c r="AB412" s="32" t="s">
        <v>1225</v>
      </c>
      <c r="AC412" s="32" t="s">
        <v>1225</v>
      </c>
      <c r="AD412" s="32" t="s">
        <v>1225</v>
      </c>
      <c r="AE412" s="32" t="s">
        <v>1225</v>
      </c>
      <c r="AF412" s="32" t="s">
        <v>1225</v>
      </c>
      <c r="AG412" s="32" t="s">
        <v>1225</v>
      </c>
      <c r="AH412" s="32" t="s">
        <v>1225</v>
      </c>
      <c r="AI412" s="32" t="s">
        <v>1225</v>
      </c>
      <c r="AJ412" s="32" t="s">
        <v>1225</v>
      </c>
      <c r="AK412" s="32" t="s">
        <v>1225</v>
      </c>
      <c r="AL412" s="32" t="s">
        <v>1225</v>
      </c>
      <c r="AM412" s="32" t="s">
        <v>1225</v>
      </c>
      <c r="AN412" s="32" t="s">
        <v>1225</v>
      </c>
      <c r="AO412" s="32" t="s">
        <v>1225</v>
      </c>
      <c r="AP412" s="32" t="s">
        <v>1225</v>
      </c>
      <c r="AQ412" s="32" t="s">
        <v>1225</v>
      </c>
      <c r="AR412" s="32" t="s">
        <v>1225</v>
      </c>
      <c r="AS412" s="32" t="s">
        <v>1225</v>
      </c>
      <c r="AT412" s="32" t="s">
        <v>1225</v>
      </c>
      <c r="AU412" s="32" t="s">
        <v>1225</v>
      </c>
      <c r="AV412" s="32" t="s">
        <v>1225</v>
      </c>
      <c r="AW412" s="32" t="s">
        <v>1229</v>
      </c>
      <c r="AX412" s="32">
        <v>2021</v>
      </c>
      <c r="AY412" s="32">
        <v>66</v>
      </c>
      <c r="AZ412" s="32">
        <v>11</v>
      </c>
      <c r="BA412" s="32" t="s">
        <v>1225</v>
      </c>
      <c r="BB412" s="32" t="s">
        <v>1225</v>
      </c>
      <c r="BC412" s="32" t="s">
        <v>1225</v>
      </c>
      <c r="BD412" s="32" t="s">
        <v>1225</v>
      </c>
      <c r="BE412" s="32">
        <v>5506</v>
      </c>
      <c r="BF412" s="32">
        <v>5513</v>
      </c>
      <c r="BG412" s="32" t="s">
        <v>1225</v>
      </c>
      <c r="BH412" s="32" t="s">
        <v>4066</v>
      </c>
      <c r="BI412" s="32" t="str">
        <f>HYPERLINK("http://dx.doi.org/10.1109/TAC.2020.3046555","http://dx.doi.org/10.1109/TAC.2020.3046555")</f>
        <v>http://dx.doi.org/10.1109/TAC.2020.3046555</v>
      </c>
      <c r="BJ412" s="32" t="s">
        <v>1225</v>
      </c>
      <c r="BK412" s="32" t="s">
        <v>1225</v>
      </c>
      <c r="BL412" s="32" t="s">
        <v>1225</v>
      </c>
      <c r="BM412" s="32" t="s">
        <v>1225</v>
      </c>
      <c r="BN412" s="32" t="s">
        <v>1225</v>
      </c>
      <c r="BO412" s="32" t="s">
        <v>1225</v>
      </c>
      <c r="BP412" s="32" t="s">
        <v>1225</v>
      </c>
      <c r="BQ412" s="32" t="s">
        <v>1225</v>
      </c>
      <c r="BR412" s="32" t="s">
        <v>1225</v>
      </c>
      <c r="BS412" s="32" t="s">
        <v>1225</v>
      </c>
      <c r="BT412" s="32" t="s">
        <v>1225</v>
      </c>
      <c r="BU412" s="32" t="s">
        <v>1225</v>
      </c>
      <c r="BV412" s="32" t="s">
        <v>1225</v>
      </c>
      <c r="BW412" s="32" t="str">
        <f t="shared" si="12"/>
        <v>View Full Record in Web of Science</v>
      </c>
      <c r="BY412" s="41" t="str">
        <f>IF(Deletion!J412=TRUE,"Yes","No")</f>
        <v>Yes</v>
      </c>
    </row>
    <row r="413" spans="1:77" x14ac:dyDescent="0.15">
      <c r="A413" s="34">
        <f t="shared" si="13"/>
        <v>412</v>
      </c>
      <c r="B413" s="34" t="s">
        <v>4</v>
      </c>
      <c r="C413" s="34" t="s">
        <v>4</v>
      </c>
      <c r="D413" s="34" t="s">
        <v>1223</v>
      </c>
      <c r="E413" s="34" t="s">
        <v>4067</v>
      </c>
      <c r="F413" s="32" t="s">
        <v>1225</v>
      </c>
      <c r="G413" s="32" t="s">
        <v>1225</v>
      </c>
      <c r="H413" s="32" t="s">
        <v>1225</v>
      </c>
      <c r="I413" s="34" t="s">
        <v>4068</v>
      </c>
      <c r="J413" s="32" t="s">
        <v>1225</v>
      </c>
      <c r="K413" s="32" t="s">
        <v>1225</v>
      </c>
      <c r="L413" s="34" t="s">
        <v>4069</v>
      </c>
      <c r="M413" s="34" t="s">
        <v>4070</v>
      </c>
      <c r="N413" s="32" t="s">
        <v>1225</v>
      </c>
      <c r="O413" s="32" t="s">
        <v>1225</v>
      </c>
      <c r="P413" s="32" t="s">
        <v>1225</v>
      </c>
      <c r="Q413" s="34" t="s">
        <v>1227</v>
      </c>
      <c r="R413" s="32" t="s">
        <v>1225</v>
      </c>
      <c r="S413" s="32" t="s">
        <v>1225</v>
      </c>
      <c r="T413" s="32" t="s">
        <v>1225</v>
      </c>
      <c r="U413" s="32" t="s">
        <v>1225</v>
      </c>
      <c r="V413" s="32" t="s">
        <v>1225</v>
      </c>
      <c r="W413" s="34" t="s">
        <v>4071</v>
      </c>
      <c r="X413" s="34" t="s">
        <v>4072</v>
      </c>
      <c r="Y413" s="34" t="s">
        <v>4073</v>
      </c>
      <c r="Z413" s="32" t="s">
        <v>1225</v>
      </c>
      <c r="AA413" s="32" t="s">
        <v>1225</v>
      </c>
      <c r="AB413" s="32" t="s">
        <v>1225</v>
      </c>
      <c r="AC413" s="32" t="s">
        <v>1225</v>
      </c>
      <c r="AD413" s="32" t="s">
        <v>1225</v>
      </c>
      <c r="AE413" s="32" t="s">
        <v>1225</v>
      </c>
      <c r="AF413" s="32" t="s">
        <v>1225</v>
      </c>
      <c r="AG413" s="32" t="s">
        <v>1225</v>
      </c>
      <c r="AH413" s="32" t="s">
        <v>1225</v>
      </c>
      <c r="AI413" s="32" t="s">
        <v>1225</v>
      </c>
      <c r="AJ413" s="32" t="s">
        <v>1225</v>
      </c>
      <c r="AK413" s="32" t="s">
        <v>1225</v>
      </c>
      <c r="AL413" s="32" t="s">
        <v>1225</v>
      </c>
      <c r="AM413" s="32" t="s">
        <v>1225</v>
      </c>
      <c r="AN413" s="32" t="s">
        <v>1225</v>
      </c>
      <c r="AO413" s="32" t="s">
        <v>1225</v>
      </c>
      <c r="AP413" s="32" t="s">
        <v>1225</v>
      </c>
      <c r="AQ413" s="32" t="s">
        <v>1225</v>
      </c>
      <c r="AR413" s="32" t="s">
        <v>1225</v>
      </c>
      <c r="AS413" s="32" t="s">
        <v>1225</v>
      </c>
      <c r="AT413" s="32" t="s">
        <v>1225</v>
      </c>
      <c r="AU413" s="32" t="s">
        <v>1225</v>
      </c>
      <c r="AV413" s="32" t="s">
        <v>1225</v>
      </c>
      <c r="AW413" s="34" t="s">
        <v>1225</v>
      </c>
      <c r="AX413" s="34">
        <v>2019</v>
      </c>
      <c r="AY413" s="32">
        <v>68</v>
      </c>
      <c r="AZ413" s="32">
        <v>1</v>
      </c>
      <c r="BA413" s="32" t="s">
        <v>1225</v>
      </c>
      <c r="BB413" s="32" t="s">
        <v>1225</v>
      </c>
      <c r="BC413" s="32" t="s">
        <v>1225</v>
      </c>
      <c r="BD413" s="32" t="s">
        <v>1225</v>
      </c>
      <c r="BE413" s="32">
        <v>15</v>
      </c>
      <c r="BF413" s="32">
        <v>32</v>
      </c>
      <c r="BG413" s="32" t="s">
        <v>1225</v>
      </c>
      <c r="BH413" s="34" t="s">
        <v>4074</v>
      </c>
      <c r="BI413" s="34" t="str">
        <f>HYPERLINK("http://dx.doi.org/10.24425/aee.2019.125977","http://dx.doi.org/10.24425/aee.2019.125977")</f>
        <v>http://dx.doi.org/10.24425/aee.2019.125977</v>
      </c>
      <c r="BJ413" s="32" t="s">
        <v>1225</v>
      </c>
      <c r="BK413" s="32" t="s">
        <v>1225</v>
      </c>
      <c r="BL413" s="32" t="s">
        <v>1225</v>
      </c>
      <c r="BM413" s="32" t="s">
        <v>1225</v>
      </c>
      <c r="BN413" s="32" t="s">
        <v>1225</v>
      </c>
      <c r="BO413" s="32" t="s">
        <v>1225</v>
      </c>
      <c r="BP413" s="32" t="s">
        <v>1225</v>
      </c>
      <c r="BQ413" s="32" t="s">
        <v>1225</v>
      </c>
      <c r="BR413" s="32" t="s">
        <v>1225</v>
      </c>
      <c r="BS413" s="32" t="s">
        <v>1225</v>
      </c>
      <c r="BT413" s="32" t="s">
        <v>1225</v>
      </c>
      <c r="BU413" s="32" t="s">
        <v>1225</v>
      </c>
      <c r="BV413" s="32" t="s">
        <v>1225</v>
      </c>
      <c r="BW413" s="32" t="str">
        <f t="shared" si="12"/>
        <v>View Full Record in Web of Science</v>
      </c>
      <c r="BY413" s="41" t="str">
        <f>IF(Deletion!J413=TRUE,"Yes","No")</f>
        <v>No</v>
      </c>
    </row>
    <row r="414" spans="1:77" x14ac:dyDescent="0.15">
      <c r="A414" s="32">
        <f t="shared" si="13"/>
        <v>413</v>
      </c>
      <c r="D414" s="32" t="s">
        <v>1223</v>
      </c>
      <c r="E414" s="32" t="s">
        <v>4075</v>
      </c>
      <c r="F414" s="32" t="s">
        <v>1225</v>
      </c>
      <c r="G414" s="32" t="s">
        <v>1225</v>
      </c>
      <c r="H414" s="32" t="s">
        <v>1225</v>
      </c>
      <c r="I414" s="32" t="s">
        <v>4076</v>
      </c>
      <c r="J414" s="32" t="s">
        <v>1225</v>
      </c>
      <c r="K414" s="32" t="s">
        <v>1225</v>
      </c>
      <c r="L414" s="32" t="s">
        <v>4077</v>
      </c>
      <c r="M414" s="32" t="s">
        <v>1743</v>
      </c>
      <c r="N414" s="32" t="s">
        <v>1225</v>
      </c>
      <c r="O414" s="32" t="s">
        <v>1225</v>
      </c>
      <c r="P414" s="32" t="s">
        <v>1225</v>
      </c>
      <c r="Q414" s="32" t="s">
        <v>1227</v>
      </c>
      <c r="R414" s="32" t="s">
        <v>1225</v>
      </c>
      <c r="S414" s="32" t="s">
        <v>1225</v>
      </c>
      <c r="T414" s="32" t="s">
        <v>1225</v>
      </c>
      <c r="U414" s="32" t="s">
        <v>1225</v>
      </c>
      <c r="V414" s="32" t="s">
        <v>1225</v>
      </c>
      <c r="W414" s="32" t="s">
        <v>4078</v>
      </c>
      <c r="X414" s="32" t="s">
        <v>4079</v>
      </c>
      <c r="Y414" s="32" t="s">
        <v>4080</v>
      </c>
      <c r="Z414" s="32" t="s">
        <v>1225</v>
      </c>
      <c r="AA414" s="32" t="s">
        <v>1225</v>
      </c>
      <c r="AB414" s="32" t="s">
        <v>1225</v>
      </c>
      <c r="AC414" s="32" t="s">
        <v>1225</v>
      </c>
      <c r="AD414" s="32" t="s">
        <v>1225</v>
      </c>
      <c r="AE414" s="32" t="s">
        <v>1225</v>
      </c>
      <c r="AF414" s="32" t="s">
        <v>1225</v>
      </c>
      <c r="AG414" s="32" t="s">
        <v>1225</v>
      </c>
      <c r="AH414" s="32" t="s">
        <v>1225</v>
      </c>
      <c r="AI414" s="32" t="s">
        <v>1225</v>
      </c>
      <c r="AJ414" s="32" t="s">
        <v>1225</v>
      </c>
      <c r="AK414" s="32" t="s">
        <v>1225</v>
      </c>
      <c r="AL414" s="32" t="s">
        <v>1225</v>
      </c>
      <c r="AM414" s="32" t="s">
        <v>1225</v>
      </c>
      <c r="AN414" s="32" t="s">
        <v>1225</v>
      </c>
      <c r="AO414" s="32" t="s">
        <v>1225</v>
      </c>
      <c r="AP414" s="32" t="s">
        <v>1225</v>
      </c>
      <c r="AQ414" s="32" t="s">
        <v>1225</v>
      </c>
      <c r="AR414" s="32" t="s">
        <v>1225</v>
      </c>
      <c r="AS414" s="32" t="s">
        <v>1225</v>
      </c>
      <c r="AT414" s="32" t="s">
        <v>1225</v>
      </c>
      <c r="AU414" s="32" t="s">
        <v>1225</v>
      </c>
      <c r="AV414" s="32" t="s">
        <v>1225</v>
      </c>
      <c r="AW414" s="32" t="s">
        <v>2215</v>
      </c>
      <c r="AX414" s="32">
        <v>2020</v>
      </c>
      <c r="AY414" s="32">
        <v>56</v>
      </c>
      <c r="AZ414" s="32">
        <v>2</v>
      </c>
      <c r="BA414" s="32" t="s">
        <v>1225</v>
      </c>
      <c r="BB414" s="32" t="s">
        <v>1225</v>
      </c>
      <c r="BC414" s="32" t="s">
        <v>1225</v>
      </c>
      <c r="BD414" s="32" t="s">
        <v>1225</v>
      </c>
      <c r="BE414" s="32">
        <v>1679</v>
      </c>
      <c r="BF414" s="32">
        <v>1689</v>
      </c>
      <c r="BG414" s="32" t="s">
        <v>1225</v>
      </c>
      <c r="BH414" s="32" t="s">
        <v>4081</v>
      </c>
      <c r="BI414" s="32" t="str">
        <f>HYPERLINK("http://dx.doi.org/10.1109/TIA.2019.2956718","http://dx.doi.org/10.1109/TIA.2019.2956718")</f>
        <v>http://dx.doi.org/10.1109/TIA.2019.2956718</v>
      </c>
      <c r="BJ414" s="32" t="s">
        <v>1225</v>
      </c>
      <c r="BK414" s="32" t="s">
        <v>1225</v>
      </c>
      <c r="BL414" s="32" t="s">
        <v>1225</v>
      </c>
      <c r="BM414" s="32" t="s">
        <v>1225</v>
      </c>
      <c r="BN414" s="32" t="s">
        <v>1225</v>
      </c>
      <c r="BO414" s="32" t="s">
        <v>1225</v>
      </c>
      <c r="BP414" s="32" t="s">
        <v>1225</v>
      </c>
      <c r="BQ414" s="32" t="s">
        <v>1225</v>
      </c>
      <c r="BR414" s="32" t="s">
        <v>1225</v>
      </c>
      <c r="BS414" s="32" t="s">
        <v>1225</v>
      </c>
      <c r="BT414" s="32" t="s">
        <v>1225</v>
      </c>
      <c r="BU414" s="32" t="s">
        <v>1225</v>
      </c>
      <c r="BV414" s="32" t="s">
        <v>1225</v>
      </c>
      <c r="BW414" s="32" t="str">
        <f t="shared" si="12"/>
        <v>View Full Record in Web of Science</v>
      </c>
      <c r="BY414" s="41" t="str">
        <f>IF(Deletion!J414=TRUE,"Yes","No")</f>
        <v>Yes</v>
      </c>
    </row>
    <row r="415" spans="1:77" x14ac:dyDescent="0.15">
      <c r="A415" s="32">
        <f t="shared" si="13"/>
        <v>414</v>
      </c>
      <c r="D415" s="32" t="s">
        <v>1223</v>
      </c>
      <c r="E415" s="32" t="s">
        <v>4082</v>
      </c>
      <c r="F415" s="32" t="s">
        <v>1225</v>
      </c>
      <c r="G415" s="32" t="s">
        <v>1225</v>
      </c>
      <c r="H415" s="32" t="s">
        <v>1225</v>
      </c>
      <c r="I415" s="32" t="s">
        <v>4083</v>
      </c>
      <c r="J415" s="32" t="s">
        <v>1225</v>
      </c>
      <c r="K415" s="32" t="s">
        <v>1225</v>
      </c>
      <c r="L415" s="32" t="s">
        <v>4084</v>
      </c>
      <c r="M415" s="32" t="s">
        <v>2164</v>
      </c>
      <c r="N415" s="32" t="s">
        <v>1225</v>
      </c>
      <c r="O415" s="32" t="s">
        <v>1225</v>
      </c>
      <c r="P415" s="32" t="s">
        <v>1225</v>
      </c>
      <c r="Q415" s="32" t="s">
        <v>1227</v>
      </c>
      <c r="R415" s="32" t="s">
        <v>1225</v>
      </c>
      <c r="S415" s="32" t="s">
        <v>1225</v>
      </c>
      <c r="T415" s="32" t="s">
        <v>1225</v>
      </c>
      <c r="U415" s="32" t="s">
        <v>1225</v>
      </c>
      <c r="V415" s="32" t="s">
        <v>1225</v>
      </c>
      <c r="W415" s="32" t="s">
        <v>4085</v>
      </c>
      <c r="X415" s="32" t="s">
        <v>4086</v>
      </c>
      <c r="Y415" s="32" t="s">
        <v>4087</v>
      </c>
      <c r="Z415" s="32" t="s">
        <v>1225</v>
      </c>
      <c r="AA415" s="32" t="s">
        <v>1225</v>
      </c>
      <c r="AB415" s="32" t="s">
        <v>1225</v>
      </c>
      <c r="AC415" s="32" t="s">
        <v>1225</v>
      </c>
      <c r="AD415" s="32" t="s">
        <v>1225</v>
      </c>
      <c r="AE415" s="32" t="s">
        <v>1225</v>
      </c>
      <c r="AF415" s="32" t="s">
        <v>1225</v>
      </c>
      <c r="AG415" s="32" t="s">
        <v>1225</v>
      </c>
      <c r="AH415" s="32" t="s">
        <v>1225</v>
      </c>
      <c r="AI415" s="32" t="s">
        <v>1225</v>
      </c>
      <c r="AJ415" s="32" t="s">
        <v>1225</v>
      </c>
      <c r="AK415" s="32" t="s">
        <v>1225</v>
      </c>
      <c r="AL415" s="32" t="s">
        <v>1225</v>
      </c>
      <c r="AM415" s="32" t="s">
        <v>1225</v>
      </c>
      <c r="AN415" s="32" t="s">
        <v>1225</v>
      </c>
      <c r="AO415" s="32" t="s">
        <v>1225</v>
      </c>
      <c r="AP415" s="32" t="s">
        <v>1225</v>
      </c>
      <c r="AQ415" s="32" t="s">
        <v>1225</v>
      </c>
      <c r="AR415" s="32" t="s">
        <v>1225</v>
      </c>
      <c r="AS415" s="32" t="s">
        <v>1225</v>
      </c>
      <c r="AT415" s="32" t="s">
        <v>1225</v>
      </c>
      <c r="AU415" s="32" t="s">
        <v>1225</v>
      </c>
      <c r="AV415" s="32" t="s">
        <v>1225</v>
      </c>
      <c r="AW415" s="32" t="s">
        <v>1726</v>
      </c>
      <c r="AX415" s="32">
        <v>2019</v>
      </c>
      <c r="AY415" s="32">
        <v>6</v>
      </c>
      <c r="AZ415" s="32">
        <v>2</v>
      </c>
      <c r="BA415" s="32" t="s">
        <v>1225</v>
      </c>
      <c r="BB415" s="32" t="s">
        <v>1225</v>
      </c>
      <c r="BC415" s="32" t="s">
        <v>1225</v>
      </c>
      <c r="BD415" s="32" t="s">
        <v>1225</v>
      </c>
      <c r="BE415" s="32">
        <v>2907</v>
      </c>
      <c r="BF415" s="32">
        <v>2921</v>
      </c>
      <c r="BG415" s="32" t="s">
        <v>1225</v>
      </c>
      <c r="BH415" s="32" t="s">
        <v>4088</v>
      </c>
      <c r="BI415" s="32" t="str">
        <f>HYPERLINK("http://dx.doi.org/10.1109/JIOT.2018.2876422","http://dx.doi.org/10.1109/JIOT.2018.2876422")</f>
        <v>http://dx.doi.org/10.1109/JIOT.2018.2876422</v>
      </c>
      <c r="BJ415" s="32" t="s">
        <v>1225</v>
      </c>
      <c r="BK415" s="32" t="s">
        <v>1225</v>
      </c>
      <c r="BL415" s="32" t="s">
        <v>1225</v>
      </c>
      <c r="BM415" s="32" t="s">
        <v>1225</v>
      </c>
      <c r="BN415" s="32" t="s">
        <v>1225</v>
      </c>
      <c r="BO415" s="32" t="s">
        <v>1225</v>
      </c>
      <c r="BP415" s="32" t="s">
        <v>1225</v>
      </c>
      <c r="BQ415" s="32" t="s">
        <v>1225</v>
      </c>
      <c r="BR415" s="32" t="s">
        <v>1225</v>
      </c>
      <c r="BS415" s="32" t="s">
        <v>1225</v>
      </c>
      <c r="BT415" s="32" t="s">
        <v>1225</v>
      </c>
      <c r="BU415" s="32" t="s">
        <v>1225</v>
      </c>
      <c r="BV415" s="32" t="s">
        <v>1225</v>
      </c>
      <c r="BW415" s="32" t="str">
        <f t="shared" si="12"/>
        <v>View Full Record in Web of Science</v>
      </c>
      <c r="BY415" s="41" t="str">
        <f>IF(Deletion!J415=TRUE,"Yes","No")</f>
        <v>Yes</v>
      </c>
    </row>
    <row r="416" spans="1:77" x14ac:dyDescent="0.15">
      <c r="A416" s="38">
        <f t="shared" si="13"/>
        <v>415</v>
      </c>
      <c r="B416" s="38" t="s">
        <v>1413</v>
      </c>
      <c r="C416" s="38" t="s">
        <v>1413</v>
      </c>
      <c r="D416" s="38" t="s">
        <v>1223</v>
      </c>
      <c r="E416" s="38" t="s">
        <v>4089</v>
      </c>
      <c r="F416" s="38" t="s">
        <v>1225</v>
      </c>
      <c r="G416" s="38" t="s">
        <v>1225</v>
      </c>
      <c r="H416" s="38" t="s">
        <v>1225</v>
      </c>
      <c r="I416" s="38" t="s">
        <v>4090</v>
      </c>
      <c r="J416" s="38" t="s">
        <v>1225</v>
      </c>
      <c r="K416" s="38" t="s">
        <v>1225</v>
      </c>
      <c r="L416" s="38" t="s">
        <v>4091</v>
      </c>
      <c r="M416" s="38" t="s">
        <v>1451</v>
      </c>
      <c r="N416" s="38" t="s">
        <v>1225</v>
      </c>
      <c r="O416" s="38" t="s">
        <v>1225</v>
      </c>
      <c r="P416" s="38" t="s">
        <v>1225</v>
      </c>
      <c r="Q416" s="38" t="s">
        <v>1417</v>
      </c>
      <c r="R416" s="38" t="s">
        <v>1225</v>
      </c>
      <c r="S416" s="38" t="s">
        <v>1225</v>
      </c>
      <c r="T416" s="38" t="s">
        <v>1225</v>
      </c>
      <c r="U416" s="38" t="s">
        <v>1225</v>
      </c>
      <c r="V416" s="38" t="s">
        <v>1225</v>
      </c>
      <c r="W416" s="38" t="s">
        <v>4092</v>
      </c>
      <c r="X416" s="38" t="s">
        <v>4093</v>
      </c>
      <c r="Y416" s="38" t="s">
        <v>4094</v>
      </c>
      <c r="Z416" s="38" t="s">
        <v>1225</v>
      </c>
      <c r="AA416" s="38" t="s">
        <v>1225</v>
      </c>
      <c r="AB416" s="38" t="s">
        <v>1225</v>
      </c>
      <c r="AC416" s="38" t="s">
        <v>1225</v>
      </c>
      <c r="AD416" s="38" t="s">
        <v>1225</v>
      </c>
      <c r="AE416" s="38" t="s">
        <v>1225</v>
      </c>
      <c r="AF416" s="38" t="s">
        <v>1225</v>
      </c>
      <c r="AG416" s="38" t="s">
        <v>1225</v>
      </c>
      <c r="AH416" s="38" t="s">
        <v>1225</v>
      </c>
      <c r="AI416" s="38" t="s">
        <v>1225</v>
      </c>
      <c r="AJ416" s="38" t="s">
        <v>1225</v>
      </c>
      <c r="AK416" s="38" t="s">
        <v>1225</v>
      </c>
      <c r="AL416" s="38" t="s">
        <v>1225</v>
      </c>
      <c r="AM416" s="38" t="s">
        <v>1225</v>
      </c>
      <c r="AN416" s="38" t="s">
        <v>1225</v>
      </c>
      <c r="AO416" s="38" t="s">
        <v>1225</v>
      </c>
      <c r="AP416" s="38" t="s">
        <v>1225</v>
      </c>
      <c r="AQ416" s="38" t="s">
        <v>1225</v>
      </c>
      <c r="AR416" s="38" t="s">
        <v>1225</v>
      </c>
      <c r="AS416" s="38" t="s">
        <v>1225</v>
      </c>
      <c r="AT416" s="38" t="s">
        <v>1225</v>
      </c>
      <c r="AU416" s="38" t="s">
        <v>1225</v>
      </c>
      <c r="AV416" s="38" t="s">
        <v>1225</v>
      </c>
      <c r="AW416" s="38" t="s">
        <v>1393</v>
      </c>
      <c r="AX416" s="38">
        <v>2014</v>
      </c>
      <c r="AY416" s="38">
        <v>34</v>
      </c>
      <c r="AZ416" s="38" t="s">
        <v>1225</v>
      </c>
      <c r="BA416" s="38" t="s">
        <v>1225</v>
      </c>
      <c r="BB416" s="38" t="s">
        <v>1225</v>
      </c>
      <c r="BC416" s="38" t="s">
        <v>1225</v>
      </c>
      <c r="BD416" s="38" t="s">
        <v>1225</v>
      </c>
      <c r="BE416" s="38">
        <v>501</v>
      </c>
      <c r="BF416" s="38">
        <v>516</v>
      </c>
      <c r="BG416" s="38" t="s">
        <v>1225</v>
      </c>
      <c r="BH416" s="38" t="s">
        <v>4095</v>
      </c>
      <c r="BI416" s="38" t="str">
        <f>HYPERLINK("http://dx.doi.org/10.1016/j.rser.2014.03.031","http://dx.doi.org/10.1016/j.rser.2014.03.031")</f>
        <v>http://dx.doi.org/10.1016/j.rser.2014.03.031</v>
      </c>
      <c r="BJ416" s="38" t="s">
        <v>1225</v>
      </c>
      <c r="BK416" s="38" t="s">
        <v>1225</v>
      </c>
      <c r="BL416" s="38" t="s">
        <v>1225</v>
      </c>
      <c r="BM416" s="38" t="s">
        <v>1225</v>
      </c>
      <c r="BN416" s="38" t="s">
        <v>1225</v>
      </c>
      <c r="BO416" s="38" t="s">
        <v>1225</v>
      </c>
      <c r="BP416" s="38" t="s">
        <v>1225</v>
      </c>
      <c r="BQ416" s="38" t="s">
        <v>1225</v>
      </c>
      <c r="BR416" s="38" t="s">
        <v>1225</v>
      </c>
      <c r="BS416" s="38" t="s">
        <v>1225</v>
      </c>
      <c r="BT416" s="38" t="s">
        <v>1225</v>
      </c>
      <c r="BU416" s="38" t="s">
        <v>1225</v>
      </c>
      <c r="BV416" s="38" t="s">
        <v>1225</v>
      </c>
      <c r="BW416" s="38" t="str">
        <f t="shared" si="12"/>
        <v>View Full Record in Web of Science</v>
      </c>
      <c r="BX416" s="38"/>
      <c r="BY416" s="41" t="str">
        <f>IF(Deletion!J416=TRUE,"Yes","No")</f>
        <v>No</v>
      </c>
    </row>
    <row r="417" spans="1:77" x14ac:dyDescent="0.15">
      <c r="A417" s="32">
        <f t="shared" si="13"/>
        <v>416</v>
      </c>
      <c r="D417" s="32" t="s">
        <v>1223</v>
      </c>
      <c r="E417" s="32" t="s">
        <v>4096</v>
      </c>
      <c r="F417" s="32" t="s">
        <v>1225</v>
      </c>
      <c r="G417" s="32" t="s">
        <v>1225</v>
      </c>
      <c r="H417" s="32" t="s">
        <v>1225</v>
      </c>
      <c r="I417" s="32" t="s">
        <v>4097</v>
      </c>
      <c r="J417" s="32" t="s">
        <v>1225</v>
      </c>
      <c r="K417" s="32" t="s">
        <v>1225</v>
      </c>
      <c r="L417" s="32" t="s">
        <v>4098</v>
      </c>
      <c r="M417" s="32" t="s">
        <v>4099</v>
      </c>
      <c r="N417" s="32" t="s">
        <v>1225</v>
      </c>
      <c r="O417" s="32" t="s">
        <v>1225</v>
      </c>
      <c r="P417" s="32" t="s">
        <v>1225</v>
      </c>
      <c r="Q417" s="32" t="s">
        <v>1227</v>
      </c>
      <c r="R417" s="32" t="s">
        <v>1225</v>
      </c>
      <c r="S417" s="32" t="s">
        <v>1225</v>
      </c>
      <c r="T417" s="32" t="s">
        <v>1225</v>
      </c>
      <c r="U417" s="32" t="s">
        <v>1225</v>
      </c>
      <c r="V417" s="32" t="s">
        <v>1225</v>
      </c>
      <c r="W417" s="32" t="s">
        <v>4100</v>
      </c>
      <c r="X417" s="32" t="s">
        <v>4101</v>
      </c>
      <c r="Y417" s="32" t="s">
        <v>4102</v>
      </c>
      <c r="Z417" s="32" t="s">
        <v>1225</v>
      </c>
      <c r="AA417" s="32" t="s">
        <v>1225</v>
      </c>
      <c r="AB417" s="32" t="s">
        <v>1225</v>
      </c>
      <c r="AC417" s="32" t="s">
        <v>1225</v>
      </c>
      <c r="AD417" s="32" t="s">
        <v>1225</v>
      </c>
      <c r="AE417" s="32" t="s">
        <v>1225</v>
      </c>
      <c r="AF417" s="32" t="s">
        <v>1225</v>
      </c>
      <c r="AG417" s="32" t="s">
        <v>1225</v>
      </c>
      <c r="AH417" s="32" t="s">
        <v>1225</v>
      </c>
      <c r="AI417" s="32" t="s">
        <v>1225</v>
      </c>
      <c r="AJ417" s="32" t="s">
        <v>1225</v>
      </c>
      <c r="AK417" s="32" t="s">
        <v>1225</v>
      </c>
      <c r="AL417" s="32" t="s">
        <v>1225</v>
      </c>
      <c r="AM417" s="32" t="s">
        <v>1225</v>
      </c>
      <c r="AN417" s="32" t="s">
        <v>1225</v>
      </c>
      <c r="AO417" s="32" t="s">
        <v>1225</v>
      </c>
      <c r="AP417" s="32" t="s">
        <v>1225</v>
      </c>
      <c r="AQ417" s="32" t="s">
        <v>1225</v>
      </c>
      <c r="AR417" s="32" t="s">
        <v>1225</v>
      </c>
      <c r="AS417" s="32" t="s">
        <v>1225</v>
      </c>
      <c r="AT417" s="32" t="s">
        <v>1225</v>
      </c>
      <c r="AU417" s="32" t="s">
        <v>1225</v>
      </c>
      <c r="AV417" s="32" t="s">
        <v>1225</v>
      </c>
      <c r="AW417" s="32" t="s">
        <v>4103</v>
      </c>
      <c r="AX417" s="32">
        <v>2014</v>
      </c>
      <c r="AY417" s="32">
        <v>42</v>
      </c>
      <c r="AZ417" s="32" t="s">
        <v>4104</v>
      </c>
      <c r="BA417" s="32" t="s">
        <v>1225</v>
      </c>
      <c r="BB417" s="32" t="s">
        <v>1225</v>
      </c>
      <c r="BC417" s="32" t="s">
        <v>1511</v>
      </c>
      <c r="BD417" s="32" t="s">
        <v>1225</v>
      </c>
      <c r="BE417" s="32">
        <v>339</v>
      </c>
      <c r="BF417" s="32">
        <v>347</v>
      </c>
      <c r="BG417" s="32" t="s">
        <v>1225</v>
      </c>
      <c r="BH417" s="32" t="s">
        <v>4105</v>
      </c>
      <c r="BI417" s="32" t="str">
        <f>HYPERLINK("http://dx.doi.org/10.1080/15325008.2013.837120","http://dx.doi.org/10.1080/15325008.2013.837120")</f>
        <v>http://dx.doi.org/10.1080/15325008.2013.837120</v>
      </c>
      <c r="BJ417" s="32" t="s">
        <v>1225</v>
      </c>
      <c r="BK417" s="32" t="s">
        <v>1225</v>
      </c>
      <c r="BL417" s="32" t="s">
        <v>1225</v>
      </c>
      <c r="BM417" s="32" t="s">
        <v>1225</v>
      </c>
      <c r="BN417" s="32" t="s">
        <v>1225</v>
      </c>
      <c r="BO417" s="32" t="s">
        <v>1225</v>
      </c>
      <c r="BP417" s="32" t="s">
        <v>1225</v>
      </c>
      <c r="BQ417" s="32" t="s">
        <v>1225</v>
      </c>
      <c r="BR417" s="32" t="s">
        <v>1225</v>
      </c>
      <c r="BS417" s="32" t="s">
        <v>1225</v>
      </c>
      <c r="BT417" s="32" t="s">
        <v>1225</v>
      </c>
      <c r="BU417" s="32" t="s">
        <v>1225</v>
      </c>
      <c r="BV417" s="32" t="s">
        <v>1225</v>
      </c>
      <c r="BW417" s="32" t="str">
        <f t="shared" si="12"/>
        <v>View Full Record in Web of Science</v>
      </c>
      <c r="BY417" s="41" t="str">
        <f>IF(Deletion!J417=TRUE,"Yes","No")</f>
        <v>Yes</v>
      </c>
    </row>
    <row r="418" spans="1:77" x14ac:dyDescent="0.15">
      <c r="A418" s="32">
        <f t="shared" si="13"/>
        <v>417</v>
      </c>
      <c r="D418" s="32" t="s">
        <v>1223</v>
      </c>
      <c r="E418" s="32" t="s">
        <v>4106</v>
      </c>
      <c r="F418" s="32" t="s">
        <v>1225</v>
      </c>
      <c r="G418" s="32" t="s">
        <v>1225</v>
      </c>
      <c r="H418" s="32" t="s">
        <v>1225</v>
      </c>
      <c r="I418" s="32" t="s">
        <v>4107</v>
      </c>
      <c r="J418" s="32" t="s">
        <v>1225</v>
      </c>
      <c r="K418" s="32" t="s">
        <v>1225</v>
      </c>
      <c r="L418" s="32" t="s">
        <v>4108</v>
      </c>
      <c r="M418" s="32" t="s">
        <v>1951</v>
      </c>
      <c r="N418" s="32" t="s">
        <v>1225</v>
      </c>
      <c r="O418" s="32" t="s">
        <v>1225</v>
      </c>
      <c r="P418" s="32" t="s">
        <v>1225</v>
      </c>
      <c r="Q418" s="32" t="s">
        <v>1227</v>
      </c>
      <c r="R418" s="32" t="s">
        <v>1225</v>
      </c>
      <c r="S418" s="32" t="s">
        <v>1225</v>
      </c>
      <c r="T418" s="32" t="s">
        <v>1225</v>
      </c>
      <c r="U418" s="32" t="s">
        <v>1225</v>
      </c>
      <c r="V418" s="32" t="s">
        <v>1225</v>
      </c>
      <c r="W418" s="32" t="s">
        <v>4109</v>
      </c>
      <c r="X418" s="32" t="s">
        <v>2731</v>
      </c>
      <c r="Y418" s="32" t="s">
        <v>4110</v>
      </c>
      <c r="Z418" s="32" t="s">
        <v>1225</v>
      </c>
      <c r="AA418" s="32" t="s">
        <v>1225</v>
      </c>
      <c r="AB418" s="32" t="s">
        <v>1225</v>
      </c>
      <c r="AC418" s="32" t="s">
        <v>1225</v>
      </c>
      <c r="AD418" s="32" t="s">
        <v>1225</v>
      </c>
      <c r="AE418" s="32" t="s">
        <v>1225</v>
      </c>
      <c r="AF418" s="32" t="s">
        <v>1225</v>
      </c>
      <c r="AG418" s="32" t="s">
        <v>1225</v>
      </c>
      <c r="AH418" s="32" t="s">
        <v>1225</v>
      </c>
      <c r="AI418" s="32" t="s">
        <v>1225</v>
      </c>
      <c r="AJ418" s="32" t="s">
        <v>1225</v>
      </c>
      <c r="AK418" s="32" t="s">
        <v>1225</v>
      </c>
      <c r="AL418" s="32" t="s">
        <v>1225</v>
      </c>
      <c r="AM418" s="32" t="s">
        <v>1225</v>
      </c>
      <c r="AN418" s="32" t="s">
        <v>1225</v>
      </c>
      <c r="AO418" s="32" t="s">
        <v>1225</v>
      </c>
      <c r="AP418" s="32" t="s">
        <v>1225</v>
      </c>
      <c r="AQ418" s="32" t="s">
        <v>1225</v>
      </c>
      <c r="AR418" s="32" t="s">
        <v>1225</v>
      </c>
      <c r="AS418" s="32" t="s">
        <v>1225</v>
      </c>
      <c r="AT418" s="32" t="s">
        <v>1225</v>
      </c>
      <c r="AU418" s="32" t="s">
        <v>1225</v>
      </c>
      <c r="AV418" s="32" t="s">
        <v>1225</v>
      </c>
      <c r="AW418" s="32" t="s">
        <v>1256</v>
      </c>
      <c r="AX418" s="32">
        <v>2021</v>
      </c>
      <c r="AY418" s="32">
        <v>6</v>
      </c>
      <c r="AZ418" s="32">
        <v>4</v>
      </c>
      <c r="BA418" s="32" t="s">
        <v>1225</v>
      </c>
      <c r="BB418" s="32" t="s">
        <v>1225</v>
      </c>
      <c r="BC418" s="32" t="s">
        <v>1225</v>
      </c>
      <c r="BD418" s="32" t="s">
        <v>1225</v>
      </c>
      <c r="BE418" s="32">
        <v>736</v>
      </c>
      <c r="BF418" s="32">
        <v>746</v>
      </c>
      <c r="BG418" s="32" t="s">
        <v>1225</v>
      </c>
      <c r="BH418" s="32" t="s">
        <v>4111</v>
      </c>
      <c r="BI418" s="32" t="str">
        <f>HYPERLINK("http://dx.doi.org/10.1109/TIV.2021.3063221","http://dx.doi.org/10.1109/TIV.2021.3063221")</f>
        <v>http://dx.doi.org/10.1109/TIV.2021.3063221</v>
      </c>
      <c r="BJ418" s="32" t="s">
        <v>1225</v>
      </c>
      <c r="BK418" s="32" t="s">
        <v>1225</v>
      </c>
      <c r="BL418" s="32" t="s">
        <v>1225</v>
      </c>
      <c r="BM418" s="32" t="s">
        <v>1225</v>
      </c>
      <c r="BN418" s="32" t="s">
        <v>1225</v>
      </c>
      <c r="BO418" s="32" t="s">
        <v>1225</v>
      </c>
      <c r="BP418" s="32" t="s">
        <v>1225</v>
      </c>
      <c r="BQ418" s="32" t="s">
        <v>1225</v>
      </c>
      <c r="BR418" s="32" t="s">
        <v>1225</v>
      </c>
      <c r="BS418" s="32" t="s">
        <v>1225</v>
      </c>
      <c r="BT418" s="32" t="s">
        <v>1225</v>
      </c>
      <c r="BU418" s="32" t="s">
        <v>1225</v>
      </c>
      <c r="BV418" s="32" t="s">
        <v>1225</v>
      </c>
      <c r="BW418" s="32" t="str">
        <f t="shared" si="12"/>
        <v>View Full Record in Web of Science</v>
      </c>
      <c r="BY418" s="41" t="str">
        <f>IF(Deletion!J418=TRUE,"Yes","No")</f>
        <v>Yes</v>
      </c>
    </row>
    <row r="419" spans="1:77" x14ac:dyDescent="0.15">
      <c r="A419" s="32">
        <f t="shared" si="13"/>
        <v>418</v>
      </c>
      <c r="D419" s="32" t="s">
        <v>1223</v>
      </c>
      <c r="E419" s="32" t="s">
        <v>4112</v>
      </c>
      <c r="F419" s="32" t="s">
        <v>1225</v>
      </c>
      <c r="G419" s="32" t="s">
        <v>1225</v>
      </c>
      <c r="H419" s="32" t="s">
        <v>1225</v>
      </c>
      <c r="I419" s="32" t="s">
        <v>4113</v>
      </c>
      <c r="J419" s="32" t="s">
        <v>1225</v>
      </c>
      <c r="K419" s="32" t="s">
        <v>1225</v>
      </c>
      <c r="L419" s="32" t="s">
        <v>4114</v>
      </c>
      <c r="M419" s="32" t="s">
        <v>89</v>
      </c>
      <c r="N419" s="32" t="s">
        <v>1225</v>
      </c>
      <c r="O419" s="32" t="s">
        <v>1225</v>
      </c>
      <c r="P419" s="32" t="s">
        <v>1225</v>
      </c>
      <c r="Q419" s="32" t="s">
        <v>1227</v>
      </c>
      <c r="R419" s="32" t="s">
        <v>1225</v>
      </c>
      <c r="S419" s="32" t="s">
        <v>1225</v>
      </c>
      <c r="T419" s="32" t="s">
        <v>1225</v>
      </c>
      <c r="U419" s="32" t="s">
        <v>1225</v>
      </c>
      <c r="V419" s="32" t="s">
        <v>1225</v>
      </c>
      <c r="W419" s="32" t="s">
        <v>4115</v>
      </c>
      <c r="X419" s="32" t="s">
        <v>4116</v>
      </c>
      <c r="Y419" s="32" t="s">
        <v>4117</v>
      </c>
      <c r="Z419" s="32" t="s">
        <v>1225</v>
      </c>
      <c r="AA419" s="32" t="s">
        <v>1225</v>
      </c>
      <c r="AB419" s="32" t="s">
        <v>1225</v>
      </c>
      <c r="AC419" s="32" t="s">
        <v>1225</v>
      </c>
      <c r="AD419" s="32" t="s">
        <v>1225</v>
      </c>
      <c r="AE419" s="32" t="s">
        <v>1225</v>
      </c>
      <c r="AF419" s="32" t="s">
        <v>1225</v>
      </c>
      <c r="AG419" s="32" t="s">
        <v>1225</v>
      </c>
      <c r="AH419" s="32" t="s">
        <v>1225</v>
      </c>
      <c r="AI419" s="32" t="s">
        <v>1225</v>
      </c>
      <c r="AJ419" s="32" t="s">
        <v>1225</v>
      </c>
      <c r="AK419" s="32" t="s">
        <v>1225</v>
      </c>
      <c r="AL419" s="32" t="s">
        <v>1225</v>
      </c>
      <c r="AM419" s="32" t="s">
        <v>1225</v>
      </c>
      <c r="AN419" s="32" t="s">
        <v>1225</v>
      </c>
      <c r="AO419" s="32" t="s">
        <v>1225</v>
      </c>
      <c r="AP419" s="32" t="s">
        <v>1225</v>
      </c>
      <c r="AQ419" s="32" t="s">
        <v>1225</v>
      </c>
      <c r="AR419" s="32" t="s">
        <v>1225</v>
      </c>
      <c r="AS419" s="32" t="s">
        <v>1225</v>
      </c>
      <c r="AT419" s="32" t="s">
        <v>1225</v>
      </c>
      <c r="AU419" s="32" t="s">
        <v>1225</v>
      </c>
      <c r="AV419" s="32" t="s">
        <v>1225</v>
      </c>
      <c r="AW419" s="32" t="s">
        <v>1356</v>
      </c>
      <c r="AX419" s="32">
        <v>2015</v>
      </c>
      <c r="AY419" s="32">
        <v>125</v>
      </c>
      <c r="AZ419" s="32" t="s">
        <v>1225</v>
      </c>
      <c r="BA419" s="32" t="s">
        <v>1225</v>
      </c>
      <c r="BB419" s="32" t="s">
        <v>1225</v>
      </c>
      <c r="BC419" s="32" t="s">
        <v>1225</v>
      </c>
      <c r="BD419" s="32" t="s">
        <v>1225</v>
      </c>
      <c r="BE419" s="32">
        <v>1</v>
      </c>
      <c r="BF419" s="32">
        <v>7</v>
      </c>
      <c r="BG419" s="32" t="s">
        <v>1225</v>
      </c>
      <c r="BH419" s="32" t="s">
        <v>4118</v>
      </c>
      <c r="BI419" s="32" t="str">
        <f>HYPERLINK("http://dx.doi.org/10.1016/j.epsr.2015.03.013","http://dx.doi.org/10.1016/j.epsr.2015.03.013")</f>
        <v>http://dx.doi.org/10.1016/j.epsr.2015.03.013</v>
      </c>
      <c r="BJ419" s="32" t="s">
        <v>1225</v>
      </c>
      <c r="BK419" s="32" t="s">
        <v>1225</v>
      </c>
      <c r="BL419" s="32" t="s">
        <v>1225</v>
      </c>
      <c r="BM419" s="32" t="s">
        <v>1225</v>
      </c>
      <c r="BN419" s="32" t="s">
        <v>1225</v>
      </c>
      <c r="BO419" s="32" t="s">
        <v>1225</v>
      </c>
      <c r="BP419" s="32" t="s">
        <v>1225</v>
      </c>
      <c r="BQ419" s="32" t="s">
        <v>1225</v>
      </c>
      <c r="BR419" s="32" t="s">
        <v>1225</v>
      </c>
      <c r="BS419" s="32" t="s">
        <v>1225</v>
      </c>
      <c r="BT419" s="32" t="s">
        <v>1225</v>
      </c>
      <c r="BU419" s="32" t="s">
        <v>1225</v>
      </c>
      <c r="BV419" s="32" t="s">
        <v>1225</v>
      </c>
      <c r="BW419" s="32" t="str">
        <f t="shared" si="12"/>
        <v>View Full Record in Web of Science</v>
      </c>
      <c r="BY419" s="41" t="str">
        <f>IF(Deletion!J419=TRUE,"Yes","No")</f>
        <v>Yes</v>
      </c>
    </row>
    <row r="420" spans="1:77" x14ac:dyDescent="0.15">
      <c r="A420" s="33">
        <f t="shared" si="13"/>
        <v>419</v>
      </c>
      <c r="B420" s="33" t="s">
        <v>1222</v>
      </c>
      <c r="C420" s="33" t="s">
        <v>1222</v>
      </c>
      <c r="D420" s="33" t="s">
        <v>1223</v>
      </c>
      <c r="E420" s="33" t="s">
        <v>4119</v>
      </c>
      <c r="F420" s="33" t="s">
        <v>1225</v>
      </c>
      <c r="G420" s="33" t="s">
        <v>1225</v>
      </c>
      <c r="H420" s="33" t="s">
        <v>1225</v>
      </c>
      <c r="I420" s="33" t="s">
        <v>832</v>
      </c>
      <c r="J420" s="33" t="s">
        <v>1225</v>
      </c>
      <c r="K420" s="33" t="s">
        <v>1225</v>
      </c>
      <c r="L420" s="33" t="s">
        <v>831</v>
      </c>
      <c r="M420" s="33" t="s">
        <v>124</v>
      </c>
      <c r="N420" s="33" t="s">
        <v>1225</v>
      </c>
      <c r="O420" s="33" t="s">
        <v>1225</v>
      </c>
      <c r="P420" s="33" t="s">
        <v>1225</v>
      </c>
      <c r="Q420" s="33" t="s">
        <v>1227</v>
      </c>
      <c r="R420" s="33" t="s">
        <v>1225</v>
      </c>
      <c r="S420" s="33" t="s">
        <v>1225</v>
      </c>
      <c r="T420" s="33" t="s">
        <v>1225</v>
      </c>
      <c r="U420" s="33" t="s">
        <v>1225</v>
      </c>
      <c r="V420" s="33" t="s">
        <v>1225</v>
      </c>
      <c r="W420" s="33" t="s">
        <v>834</v>
      </c>
      <c r="X420" s="33" t="s">
        <v>4120</v>
      </c>
      <c r="Y420" s="33" t="s">
        <v>833</v>
      </c>
      <c r="Z420" s="33" t="s">
        <v>1225</v>
      </c>
      <c r="AA420" s="33" t="s">
        <v>1225</v>
      </c>
      <c r="AB420" s="33" t="s">
        <v>1225</v>
      </c>
      <c r="AC420" s="33" t="s">
        <v>1225</v>
      </c>
      <c r="AD420" s="33" t="s">
        <v>1225</v>
      </c>
      <c r="AE420" s="33" t="s">
        <v>1225</v>
      </c>
      <c r="AF420" s="33" t="s">
        <v>1225</v>
      </c>
      <c r="AG420" s="33" t="s">
        <v>1225</v>
      </c>
      <c r="AH420" s="33" t="s">
        <v>1225</v>
      </c>
      <c r="AI420" s="33" t="s">
        <v>1225</v>
      </c>
      <c r="AJ420" s="33" t="s">
        <v>1225</v>
      </c>
      <c r="AK420" s="33" t="s">
        <v>1225</v>
      </c>
      <c r="AL420" s="33" t="s">
        <v>1225</v>
      </c>
      <c r="AM420" s="33" t="s">
        <v>1225</v>
      </c>
      <c r="AN420" s="33" t="s">
        <v>1225</v>
      </c>
      <c r="AO420" s="33" t="s">
        <v>1225</v>
      </c>
      <c r="AP420" s="33" t="s">
        <v>1225</v>
      </c>
      <c r="AQ420" s="33" t="s">
        <v>1225</v>
      </c>
      <c r="AR420" s="33" t="s">
        <v>1225</v>
      </c>
      <c r="AS420" s="33" t="s">
        <v>1225</v>
      </c>
      <c r="AT420" s="33" t="s">
        <v>1225</v>
      </c>
      <c r="AU420" s="33" t="s">
        <v>1225</v>
      </c>
      <c r="AV420" s="33" t="s">
        <v>1225</v>
      </c>
      <c r="AW420" s="33" t="s">
        <v>1229</v>
      </c>
      <c r="AX420" s="33">
        <v>2021</v>
      </c>
      <c r="AY420" s="33">
        <v>12</v>
      </c>
      <c r="AZ420" s="33">
        <v>6</v>
      </c>
      <c r="BA420" s="33" t="s">
        <v>1225</v>
      </c>
      <c r="BB420" s="33" t="s">
        <v>1225</v>
      </c>
      <c r="BC420" s="33" t="s">
        <v>1225</v>
      </c>
      <c r="BD420" s="33" t="s">
        <v>1225</v>
      </c>
      <c r="BE420" s="33">
        <v>5146</v>
      </c>
      <c r="BF420" s="33">
        <v>5157</v>
      </c>
      <c r="BG420" s="33" t="s">
        <v>1225</v>
      </c>
      <c r="BH420" s="33" t="s">
        <v>4121</v>
      </c>
      <c r="BI420" s="33" t="str">
        <f>HYPERLINK("http://dx.doi.org/10.1109/TSG.2021.3107896","http://dx.doi.org/10.1109/TSG.2021.3107896")</f>
        <v>http://dx.doi.org/10.1109/TSG.2021.3107896</v>
      </c>
      <c r="BJ420" s="33" t="s">
        <v>1225</v>
      </c>
      <c r="BK420" s="33" t="s">
        <v>1225</v>
      </c>
      <c r="BL420" s="33" t="s">
        <v>1225</v>
      </c>
      <c r="BM420" s="33" t="s">
        <v>1225</v>
      </c>
      <c r="BN420" s="33" t="s">
        <v>1225</v>
      </c>
      <c r="BO420" s="33" t="s">
        <v>1225</v>
      </c>
      <c r="BP420" s="33" t="s">
        <v>1225</v>
      </c>
      <c r="BQ420" s="33" t="s">
        <v>1225</v>
      </c>
      <c r="BR420" s="33" t="s">
        <v>1225</v>
      </c>
      <c r="BS420" s="33" t="s">
        <v>1225</v>
      </c>
      <c r="BT420" s="33" t="s">
        <v>1225</v>
      </c>
      <c r="BU420" s="33" t="s">
        <v>1225</v>
      </c>
      <c r="BV420" s="33" t="s">
        <v>1225</v>
      </c>
      <c r="BW420" s="33" t="str">
        <f t="shared" si="12"/>
        <v>View Full Record in Web of Science</v>
      </c>
      <c r="BX420" s="33"/>
      <c r="BY420" s="41" t="str">
        <f>IF(Deletion!J420=TRUE,"Yes","No")</f>
        <v>Yes</v>
      </c>
    </row>
    <row r="421" spans="1:77" x14ac:dyDescent="0.15">
      <c r="A421" s="32">
        <f t="shared" si="13"/>
        <v>420</v>
      </c>
      <c r="D421" s="32" t="s">
        <v>1223</v>
      </c>
      <c r="E421" s="32" t="s">
        <v>4122</v>
      </c>
      <c r="F421" s="32" t="s">
        <v>1225</v>
      </c>
      <c r="G421" s="32" t="s">
        <v>1225</v>
      </c>
      <c r="H421" s="32" t="s">
        <v>1225</v>
      </c>
      <c r="I421" s="32" t="s">
        <v>4123</v>
      </c>
      <c r="J421" s="32" t="s">
        <v>1225</v>
      </c>
      <c r="K421" s="32" t="s">
        <v>1225</v>
      </c>
      <c r="L421" s="32" t="s">
        <v>4124</v>
      </c>
      <c r="M421" s="32" t="s">
        <v>3360</v>
      </c>
      <c r="N421" s="32" t="s">
        <v>1225</v>
      </c>
      <c r="O421" s="32" t="s">
        <v>1225</v>
      </c>
      <c r="P421" s="32" t="s">
        <v>1225</v>
      </c>
      <c r="Q421" s="32" t="s">
        <v>1227</v>
      </c>
      <c r="R421" s="32" t="s">
        <v>1225</v>
      </c>
      <c r="S421" s="32" t="s">
        <v>1225</v>
      </c>
      <c r="T421" s="32" t="s">
        <v>1225</v>
      </c>
      <c r="U421" s="32" t="s">
        <v>1225</v>
      </c>
      <c r="V421" s="32" t="s">
        <v>1225</v>
      </c>
      <c r="W421" s="32" t="s">
        <v>4125</v>
      </c>
      <c r="X421" s="32" t="s">
        <v>4126</v>
      </c>
      <c r="Y421" s="32" t="s">
        <v>4127</v>
      </c>
      <c r="Z421" s="32" t="s">
        <v>1225</v>
      </c>
      <c r="AA421" s="32" t="s">
        <v>1225</v>
      </c>
      <c r="AB421" s="32" t="s">
        <v>1225</v>
      </c>
      <c r="AC421" s="32" t="s">
        <v>1225</v>
      </c>
      <c r="AD421" s="32" t="s">
        <v>1225</v>
      </c>
      <c r="AE421" s="32" t="s">
        <v>1225</v>
      </c>
      <c r="AF421" s="32" t="s">
        <v>1225</v>
      </c>
      <c r="AG421" s="32" t="s">
        <v>1225</v>
      </c>
      <c r="AH421" s="32" t="s">
        <v>1225</v>
      </c>
      <c r="AI421" s="32" t="s">
        <v>1225</v>
      </c>
      <c r="AJ421" s="32" t="s">
        <v>1225</v>
      </c>
      <c r="AK421" s="32" t="s">
        <v>1225</v>
      </c>
      <c r="AL421" s="32" t="s">
        <v>1225</v>
      </c>
      <c r="AM421" s="32" t="s">
        <v>1225</v>
      </c>
      <c r="AN421" s="32" t="s">
        <v>1225</v>
      </c>
      <c r="AO421" s="32" t="s">
        <v>1225</v>
      </c>
      <c r="AP421" s="32" t="s">
        <v>1225</v>
      </c>
      <c r="AQ421" s="32" t="s">
        <v>1225</v>
      </c>
      <c r="AR421" s="32" t="s">
        <v>1225</v>
      </c>
      <c r="AS421" s="32" t="s">
        <v>1225</v>
      </c>
      <c r="AT421" s="32" t="s">
        <v>1225</v>
      </c>
      <c r="AU421" s="32" t="s">
        <v>1225</v>
      </c>
      <c r="AV421" s="32" t="s">
        <v>1225</v>
      </c>
      <c r="AW421" s="32" t="s">
        <v>1256</v>
      </c>
      <c r="AX421" s="32">
        <v>2019</v>
      </c>
      <c r="AY421" s="32">
        <v>13</v>
      </c>
      <c r="AZ421" s="32">
        <v>4</v>
      </c>
      <c r="BA421" s="32" t="s">
        <v>1225</v>
      </c>
      <c r="BB421" s="32" t="s">
        <v>1225</v>
      </c>
      <c r="BC421" s="32" t="s">
        <v>1225</v>
      </c>
      <c r="BD421" s="32" t="s">
        <v>1225</v>
      </c>
      <c r="BE421" s="32">
        <v>4292</v>
      </c>
      <c r="BF421" s="32">
        <v>4302</v>
      </c>
      <c r="BG421" s="32" t="s">
        <v>1225</v>
      </c>
      <c r="BH421" s="32" t="s">
        <v>4128</v>
      </c>
      <c r="BI421" s="32" t="str">
        <f>HYPERLINK("http://dx.doi.org/10.1109/JSYST.2019.2903835","http://dx.doi.org/10.1109/JSYST.2019.2903835")</f>
        <v>http://dx.doi.org/10.1109/JSYST.2019.2903835</v>
      </c>
      <c r="BJ421" s="32" t="s">
        <v>1225</v>
      </c>
      <c r="BK421" s="32" t="s">
        <v>1225</v>
      </c>
      <c r="BL421" s="32" t="s">
        <v>1225</v>
      </c>
      <c r="BM421" s="32" t="s">
        <v>1225</v>
      </c>
      <c r="BN421" s="32" t="s">
        <v>1225</v>
      </c>
      <c r="BO421" s="32" t="s">
        <v>1225</v>
      </c>
      <c r="BP421" s="32" t="s">
        <v>1225</v>
      </c>
      <c r="BQ421" s="32" t="s">
        <v>1225</v>
      </c>
      <c r="BR421" s="32" t="s">
        <v>1225</v>
      </c>
      <c r="BS421" s="32" t="s">
        <v>1225</v>
      </c>
      <c r="BT421" s="32" t="s">
        <v>1225</v>
      </c>
      <c r="BU421" s="32" t="s">
        <v>1225</v>
      </c>
      <c r="BV421" s="32" t="s">
        <v>1225</v>
      </c>
      <c r="BW421" s="32" t="str">
        <f t="shared" si="12"/>
        <v>View Full Record in Web of Science</v>
      </c>
      <c r="BY421" s="41" t="str">
        <f>IF(Deletion!J421=TRUE,"Yes","No")</f>
        <v>Yes</v>
      </c>
    </row>
    <row r="422" spans="1:77" x14ac:dyDescent="0.15">
      <c r="A422" s="32">
        <f t="shared" si="13"/>
        <v>421</v>
      </c>
      <c r="D422" s="32" t="s">
        <v>1223</v>
      </c>
      <c r="E422" s="32" t="s">
        <v>4129</v>
      </c>
      <c r="F422" s="32" t="s">
        <v>1225</v>
      </c>
      <c r="G422" s="32" t="s">
        <v>1225</v>
      </c>
      <c r="H422" s="32" t="s">
        <v>1225</v>
      </c>
      <c r="I422" s="32" t="s">
        <v>4130</v>
      </c>
      <c r="J422" s="32" t="s">
        <v>1225</v>
      </c>
      <c r="K422" s="32" t="s">
        <v>1225</v>
      </c>
      <c r="L422" s="32" t="s">
        <v>4131</v>
      </c>
      <c r="M422" s="32" t="s">
        <v>124</v>
      </c>
      <c r="N422" s="32" t="s">
        <v>1225</v>
      </c>
      <c r="O422" s="32" t="s">
        <v>1225</v>
      </c>
      <c r="P422" s="32" t="s">
        <v>1225</v>
      </c>
      <c r="Q422" s="32" t="s">
        <v>1227</v>
      </c>
      <c r="R422" s="32" t="s">
        <v>1225</v>
      </c>
      <c r="S422" s="32" t="s">
        <v>1225</v>
      </c>
      <c r="T422" s="32" t="s">
        <v>1225</v>
      </c>
      <c r="U422" s="32" t="s">
        <v>1225</v>
      </c>
      <c r="V422" s="32" t="s">
        <v>1225</v>
      </c>
      <c r="W422" s="32" t="s">
        <v>4132</v>
      </c>
      <c r="X422" s="32" t="s">
        <v>1225</v>
      </c>
      <c r="Y422" s="32" t="s">
        <v>4133</v>
      </c>
      <c r="Z422" s="32" t="s">
        <v>1225</v>
      </c>
      <c r="AA422" s="32" t="s">
        <v>1225</v>
      </c>
      <c r="AB422" s="32" t="s">
        <v>1225</v>
      </c>
      <c r="AC422" s="32" t="s">
        <v>1225</v>
      </c>
      <c r="AD422" s="32" t="s">
        <v>1225</v>
      </c>
      <c r="AE422" s="32" t="s">
        <v>1225</v>
      </c>
      <c r="AF422" s="32" t="s">
        <v>1225</v>
      </c>
      <c r="AG422" s="32" t="s">
        <v>1225</v>
      </c>
      <c r="AH422" s="32" t="s">
        <v>1225</v>
      </c>
      <c r="AI422" s="32" t="s">
        <v>1225</v>
      </c>
      <c r="AJ422" s="32" t="s">
        <v>1225</v>
      </c>
      <c r="AK422" s="32" t="s">
        <v>1225</v>
      </c>
      <c r="AL422" s="32" t="s">
        <v>1225</v>
      </c>
      <c r="AM422" s="32" t="s">
        <v>1225</v>
      </c>
      <c r="AN422" s="32" t="s">
        <v>1225</v>
      </c>
      <c r="AO422" s="32" t="s">
        <v>1225</v>
      </c>
      <c r="AP422" s="32" t="s">
        <v>1225</v>
      </c>
      <c r="AQ422" s="32" t="s">
        <v>1225</v>
      </c>
      <c r="AR422" s="32" t="s">
        <v>1225</v>
      </c>
      <c r="AS422" s="32" t="s">
        <v>1225</v>
      </c>
      <c r="AT422" s="32" t="s">
        <v>1225</v>
      </c>
      <c r="AU422" s="32" t="s">
        <v>1225</v>
      </c>
      <c r="AV422" s="32" t="s">
        <v>1225</v>
      </c>
      <c r="AW422" s="32" t="s">
        <v>1272</v>
      </c>
      <c r="AX422" s="32">
        <v>2012</v>
      </c>
      <c r="AY422" s="32">
        <v>3</v>
      </c>
      <c r="AZ422" s="32">
        <v>1</v>
      </c>
      <c r="BA422" s="32" t="s">
        <v>1225</v>
      </c>
      <c r="BB422" s="32" t="s">
        <v>1225</v>
      </c>
      <c r="BC422" s="32" t="s">
        <v>1225</v>
      </c>
      <c r="BD422" s="32" t="s">
        <v>1225</v>
      </c>
      <c r="BE422" s="32">
        <v>26</v>
      </c>
      <c r="BF422" s="32">
        <v>37</v>
      </c>
      <c r="BG422" s="32" t="s">
        <v>1225</v>
      </c>
      <c r="BH422" s="32" t="s">
        <v>4134</v>
      </c>
      <c r="BI422" s="32" t="str">
        <f>HYPERLINK("http://dx.doi.org/10.1109/TSG.2011.2168431","http://dx.doi.org/10.1109/TSG.2011.2168431")</f>
        <v>http://dx.doi.org/10.1109/TSG.2011.2168431</v>
      </c>
      <c r="BJ422" s="32" t="s">
        <v>1225</v>
      </c>
      <c r="BK422" s="32" t="s">
        <v>1225</v>
      </c>
      <c r="BL422" s="32" t="s">
        <v>1225</v>
      </c>
      <c r="BM422" s="32" t="s">
        <v>1225</v>
      </c>
      <c r="BN422" s="32" t="s">
        <v>1225</v>
      </c>
      <c r="BO422" s="32" t="s">
        <v>1225</v>
      </c>
      <c r="BP422" s="32" t="s">
        <v>1225</v>
      </c>
      <c r="BQ422" s="32" t="s">
        <v>1225</v>
      </c>
      <c r="BR422" s="32" t="s">
        <v>1225</v>
      </c>
      <c r="BS422" s="32" t="s">
        <v>1225</v>
      </c>
      <c r="BT422" s="32" t="s">
        <v>1225</v>
      </c>
      <c r="BU422" s="32" t="s">
        <v>1225</v>
      </c>
      <c r="BV422" s="32" t="s">
        <v>1225</v>
      </c>
      <c r="BW422" s="32" t="str">
        <f t="shared" si="12"/>
        <v>View Full Record in Web of Science</v>
      </c>
      <c r="BY422" s="41" t="str">
        <f>IF(Deletion!J422=TRUE,"Yes","No")</f>
        <v>Yes</v>
      </c>
    </row>
    <row r="423" spans="1:77" x14ac:dyDescent="0.15">
      <c r="A423" s="34">
        <f t="shared" si="13"/>
        <v>422</v>
      </c>
      <c r="B423" s="34" t="s">
        <v>4</v>
      </c>
      <c r="C423" s="34" t="s">
        <v>4</v>
      </c>
      <c r="D423" s="34" t="s">
        <v>1223</v>
      </c>
      <c r="E423" s="34" t="s">
        <v>4135</v>
      </c>
      <c r="F423" s="32" t="s">
        <v>1225</v>
      </c>
      <c r="G423" s="32" t="s">
        <v>1225</v>
      </c>
      <c r="H423" s="32" t="s">
        <v>1225</v>
      </c>
      <c r="I423" s="34" t="s">
        <v>4136</v>
      </c>
      <c r="J423" s="32" t="s">
        <v>1225</v>
      </c>
      <c r="K423" s="32" t="s">
        <v>1225</v>
      </c>
      <c r="L423" s="34" t="s">
        <v>4137</v>
      </c>
      <c r="M423" s="34" t="s">
        <v>4138</v>
      </c>
      <c r="N423" s="32" t="s">
        <v>1225</v>
      </c>
      <c r="O423" s="32" t="s">
        <v>1225</v>
      </c>
      <c r="P423" s="32" t="s">
        <v>1225</v>
      </c>
      <c r="Q423" s="34" t="s">
        <v>1688</v>
      </c>
      <c r="R423" s="32" t="s">
        <v>1225</v>
      </c>
      <c r="S423" s="32" t="s">
        <v>1225</v>
      </c>
      <c r="T423" s="32" t="s">
        <v>1225</v>
      </c>
      <c r="U423" s="32" t="s">
        <v>1225</v>
      </c>
      <c r="V423" s="32" t="s">
        <v>1225</v>
      </c>
      <c r="W423" s="34" t="s">
        <v>4139</v>
      </c>
      <c r="X423" s="34" t="s">
        <v>4140</v>
      </c>
      <c r="Y423" s="34" t="s">
        <v>4141</v>
      </c>
      <c r="Z423" s="32" t="s">
        <v>1225</v>
      </c>
      <c r="AA423" s="32" t="s">
        <v>1225</v>
      </c>
      <c r="AB423" s="32" t="s">
        <v>1225</v>
      </c>
      <c r="AC423" s="32" t="s">
        <v>1225</v>
      </c>
      <c r="AD423" s="32" t="s">
        <v>1225</v>
      </c>
      <c r="AE423" s="32" t="s">
        <v>1225</v>
      </c>
      <c r="AF423" s="32" t="s">
        <v>1225</v>
      </c>
      <c r="AG423" s="32" t="s">
        <v>1225</v>
      </c>
      <c r="AH423" s="32" t="s">
        <v>1225</v>
      </c>
      <c r="AI423" s="32" t="s">
        <v>1225</v>
      </c>
      <c r="AJ423" s="32" t="s">
        <v>1225</v>
      </c>
      <c r="AK423" s="32" t="s">
        <v>1225</v>
      </c>
      <c r="AL423" s="32" t="s">
        <v>1225</v>
      </c>
      <c r="AM423" s="32" t="s">
        <v>1225</v>
      </c>
      <c r="AN423" s="32" t="s">
        <v>1225</v>
      </c>
      <c r="AO423" s="32" t="s">
        <v>1225</v>
      </c>
      <c r="AP423" s="32" t="s">
        <v>1225</v>
      </c>
      <c r="AQ423" s="32" t="s">
        <v>1225</v>
      </c>
      <c r="AR423" s="32" t="s">
        <v>1225</v>
      </c>
      <c r="AS423" s="32" t="s">
        <v>1225</v>
      </c>
      <c r="AT423" s="32" t="s">
        <v>1225</v>
      </c>
      <c r="AU423" s="32" t="s">
        <v>1225</v>
      </c>
      <c r="AV423" s="32" t="s">
        <v>1225</v>
      </c>
      <c r="AW423" s="34" t="s">
        <v>1225</v>
      </c>
      <c r="AX423" s="34" t="s">
        <v>1225</v>
      </c>
      <c r="AY423" s="32" t="s">
        <v>1225</v>
      </c>
      <c r="AZ423" s="32" t="s">
        <v>1225</v>
      </c>
      <c r="BA423" s="32" t="s">
        <v>1225</v>
      </c>
      <c r="BB423" s="32" t="s">
        <v>1225</v>
      </c>
      <c r="BC423" s="32" t="s">
        <v>1225</v>
      </c>
      <c r="BD423" s="32" t="s">
        <v>1225</v>
      </c>
      <c r="BE423" s="32" t="s">
        <v>1225</v>
      </c>
      <c r="BF423" s="32" t="s">
        <v>1225</v>
      </c>
      <c r="BG423" s="32" t="s">
        <v>1225</v>
      </c>
      <c r="BH423" s="34" t="s">
        <v>4142</v>
      </c>
      <c r="BI423" s="34" t="str">
        <f>HYPERLINK("http://dx.doi.org/10.1080/14786451.2021.2016761","http://dx.doi.org/10.1080/14786451.2021.2016761")</f>
        <v>http://dx.doi.org/10.1080/14786451.2021.2016761</v>
      </c>
      <c r="BJ423" s="32" t="s">
        <v>1225</v>
      </c>
      <c r="BK423" s="32" t="s">
        <v>4143</v>
      </c>
      <c r="BL423" s="32" t="s">
        <v>1225</v>
      </c>
      <c r="BM423" s="32" t="s">
        <v>1225</v>
      </c>
      <c r="BN423" s="32" t="s">
        <v>1225</v>
      </c>
      <c r="BO423" s="32" t="s">
        <v>1225</v>
      </c>
      <c r="BP423" s="32" t="s">
        <v>1225</v>
      </c>
      <c r="BQ423" s="32" t="s">
        <v>1225</v>
      </c>
      <c r="BR423" s="32" t="s">
        <v>1225</v>
      </c>
      <c r="BS423" s="32" t="s">
        <v>1225</v>
      </c>
      <c r="BT423" s="32" t="s">
        <v>1225</v>
      </c>
      <c r="BU423" s="32" t="s">
        <v>1225</v>
      </c>
      <c r="BV423" s="32" t="s">
        <v>1225</v>
      </c>
      <c r="BW423" s="32" t="str">
        <f t="shared" si="12"/>
        <v>View Full Record in Web of Science</v>
      </c>
      <c r="BY423" s="41" t="str">
        <f>IF(Deletion!J423=TRUE,"Yes","No")</f>
        <v>No</v>
      </c>
    </row>
    <row r="424" spans="1:77" x14ac:dyDescent="0.15">
      <c r="A424" s="32">
        <f t="shared" si="13"/>
        <v>423</v>
      </c>
      <c r="D424" s="32" t="s">
        <v>1223</v>
      </c>
      <c r="E424" s="32" t="s">
        <v>4144</v>
      </c>
      <c r="F424" s="32" t="s">
        <v>1225</v>
      </c>
      <c r="G424" s="32" t="s">
        <v>1225</v>
      </c>
      <c r="H424" s="32" t="s">
        <v>1225</v>
      </c>
      <c r="I424" s="32" t="s">
        <v>4145</v>
      </c>
      <c r="J424" s="32" t="s">
        <v>1225</v>
      </c>
      <c r="K424" s="32" t="s">
        <v>1225</v>
      </c>
      <c r="L424" s="32" t="s">
        <v>4146</v>
      </c>
      <c r="M424" s="32" t="s">
        <v>1771</v>
      </c>
      <c r="N424" s="32" t="s">
        <v>1225</v>
      </c>
      <c r="O424" s="32" t="s">
        <v>1225</v>
      </c>
      <c r="P424" s="32" t="s">
        <v>1225</v>
      </c>
      <c r="Q424" s="32" t="s">
        <v>1227</v>
      </c>
      <c r="R424" s="32" t="s">
        <v>1225</v>
      </c>
      <c r="S424" s="32" t="s">
        <v>1225</v>
      </c>
      <c r="T424" s="32" t="s">
        <v>1225</v>
      </c>
      <c r="U424" s="32" t="s">
        <v>1225</v>
      </c>
      <c r="V424" s="32" t="s">
        <v>1225</v>
      </c>
      <c r="W424" s="32" t="s">
        <v>4147</v>
      </c>
      <c r="X424" s="32" t="s">
        <v>4148</v>
      </c>
      <c r="Y424" s="32" t="s">
        <v>4149</v>
      </c>
      <c r="Z424" s="32" t="s">
        <v>1225</v>
      </c>
      <c r="AA424" s="32" t="s">
        <v>1225</v>
      </c>
      <c r="AB424" s="32" t="s">
        <v>1225</v>
      </c>
      <c r="AC424" s="32" t="s">
        <v>1225</v>
      </c>
      <c r="AD424" s="32" t="s">
        <v>1225</v>
      </c>
      <c r="AE424" s="32" t="s">
        <v>1225</v>
      </c>
      <c r="AF424" s="32" t="s">
        <v>1225</v>
      </c>
      <c r="AG424" s="32" t="s">
        <v>1225</v>
      </c>
      <c r="AH424" s="32" t="s">
        <v>1225</v>
      </c>
      <c r="AI424" s="32" t="s">
        <v>1225</v>
      </c>
      <c r="AJ424" s="32" t="s">
        <v>1225</v>
      </c>
      <c r="AK424" s="32" t="s">
        <v>1225</v>
      </c>
      <c r="AL424" s="32" t="s">
        <v>1225</v>
      </c>
      <c r="AM424" s="32" t="s">
        <v>1225</v>
      </c>
      <c r="AN424" s="32" t="s">
        <v>1225</v>
      </c>
      <c r="AO424" s="32" t="s">
        <v>1225</v>
      </c>
      <c r="AP424" s="32" t="s">
        <v>1225</v>
      </c>
      <c r="AQ424" s="32" t="s">
        <v>1225</v>
      </c>
      <c r="AR424" s="32" t="s">
        <v>1225</v>
      </c>
      <c r="AS424" s="32" t="s">
        <v>1225</v>
      </c>
      <c r="AT424" s="32" t="s">
        <v>1225</v>
      </c>
      <c r="AU424" s="32" t="s">
        <v>1225</v>
      </c>
      <c r="AV424" s="32" t="s">
        <v>1225</v>
      </c>
      <c r="AW424" s="32" t="s">
        <v>1393</v>
      </c>
      <c r="AX424" s="32">
        <v>2021</v>
      </c>
      <c r="AY424" s="32">
        <v>26</v>
      </c>
      <c r="AZ424" s="32" t="s">
        <v>1225</v>
      </c>
      <c r="BA424" s="32" t="s">
        <v>1225</v>
      </c>
      <c r="BB424" s="32" t="s">
        <v>1225</v>
      </c>
      <c r="BC424" s="32" t="s">
        <v>1225</v>
      </c>
      <c r="BD424" s="32" t="s">
        <v>1225</v>
      </c>
      <c r="BE424" s="32" t="s">
        <v>1225</v>
      </c>
      <c r="BF424" s="32" t="s">
        <v>1225</v>
      </c>
      <c r="BG424" s="32">
        <v>100468</v>
      </c>
      <c r="BH424" s="32" t="s">
        <v>4150</v>
      </c>
      <c r="BI424" s="32" t="str">
        <f>HYPERLINK("http://dx.doi.org/10.1016/j.segan.2021.100468","http://dx.doi.org/10.1016/j.segan.2021.100468")</f>
        <v>http://dx.doi.org/10.1016/j.segan.2021.100468</v>
      </c>
      <c r="BJ424" s="32" t="s">
        <v>1225</v>
      </c>
      <c r="BK424" s="32" t="s">
        <v>1395</v>
      </c>
      <c r="BL424" s="32" t="s">
        <v>1225</v>
      </c>
      <c r="BM424" s="32" t="s">
        <v>1225</v>
      </c>
      <c r="BN424" s="32" t="s">
        <v>1225</v>
      </c>
      <c r="BO424" s="32" t="s">
        <v>1225</v>
      </c>
      <c r="BP424" s="32" t="s">
        <v>1225</v>
      </c>
      <c r="BQ424" s="32" t="s">
        <v>1225</v>
      </c>
      <c r="BR424" s="32" t="s">
        <v>1225</v>
      </c>
      <c r="BS424" s="32" t="s">
        <v>1225</v>
      </c>
      <c r="BT424" s="32" t="s">
        <v>1225</v>
      </c>
      <c r="BU424" s="32" t="s">
        <v>1225</v>
      </c>
      <c r="BV424" s="32" t="s">
        <v>1225</v>
      </c>
      <c r="BW424" s="32" t="str">
        <f t="shared" si="12"/>
        <v>View Full Record in Web of Science</v>
      </c>
      <c r="BY424" s="41" t="str">
        <f>IF(Deletion!J424=TRUE,"Yes","No")</f>
        <v>Yes</v>
      </c>
    </row>
    <row r="425" spans="1:77" x14ac:dyDescent="0.15">
      <c r="A425" s="32">
        <f t="shared" si="13"/>
        <v>424</v>
      </c>
      <c r="D425" s="32" t="s">
        <v>1223</v>
      </c>
      <c r="E425" s="32" t="s">
        <v>4151</v>
      </c>
      <c r="F425" s="32" t="s">
        <v>1225</v>
      </c>
      <c r="G425" s="32" t="s">
        <v>1225</v>
      </c>
      <c r="H425" s="32" t="s">
        <v>1225</v>
      </c>
      <c r="I425" s="32" t="s">
        <v>4152</v>
      </c>
      <c r="J425" s="32" t="s">
        <v>1225</v>
      </c>
      <c r="K425" s="32" t="s">
        <v>1225</v>
      </c>
      <c r="L425" s="32" t="s">
        <v>4153</v>
      </c>
      <c r="M425" s="32" t="s">
        <v>2044</v>
      </c>
      <c r="N425" s="32" t="s">
        <v>1225</v>
      </c>
      <c r="O425" s="32" t="s">
        <v>1225</v>
      </c>
      <c r="P425" s="32" t="s">
        <v>1225</v>
      </c>
      <c r="Q425" s="32" t="s">
        <v>1227</v>
      </c>
      <c r="R425" s="32" t="s">
        <v>1225</v>
      </c>
      <c r="S425" s="32" t="s">
        <v>1225</v>
      </c>
      <c r="T425" s="32" t="s">
        <v>1225</v>
      </c>
      <c r="U425" s="32" t="s">
        <v>1225</v>
      </c>
      <c r="V425" s="32" t="s">
        <v>1225</v>
      </c>
      <c r="W425" s="32" t="s">
        <v>4154</v>
      </c>
      <c r="X425" s="32" t="s">
        <v>4155</v>
      </c>
      <c r="Y425" s="32" t="s">
        <v>4156</v>
      </c>
      <c r="Z425" s="32" t="s">
        <v>1225</v>
      </c>
      <c r="AA425" s="32" t="s">
        <v>1225</v>
      </c>
      <c r="AB425" s="32" t="s">
        <v>1225</v>
      </c>
      <c r="AC425" s="32" t="s">
        <v>1225</v>
      </c>
      <c r="AD425" s="32" t="s">
        <v>1225</v>
      </c>
      <c r="AE425" s="32" t="s">
        <v>1225</v>
      </c>
      <c r="AF425" s="32" t="s">
        <v>1225</v>
      </c>
      <c r="AG425" s="32" t="s">
        <v>1225</v>
      </c>
      <c r="AH425" s="32" t="s">
        <v>1225</v>
      </c>
      <c r="AI425" s="32" t="s">
        <v>1225</v>
      </c>
      <c r="AJ425" s="32" t="s">
        <v>1225</v>
      </c>
      <c r="AK425" s="32" t="s">
        <v>1225</v>
      </c>
      <c r="AL425" s="32" t="s">
        <v>1225</v>
      </c>
      <c r="AM425" s="32" t="s">
        <v>1225</v>
      </c>
      <c r="AN425" s="32" t="s">
        <v>1225</v>
      </c>
      <c r="AO425" s="32" t="s">
        <v>1225</v>
      </c>
      <c r="AP425" s="32" t="s">
        <v>1225</v>
      </c>
      <c r="AQ425" s="32" t="s">
        <v>1225</v>
      </c>
      <c r="AR425" s="32" t="s">
        <v>1225</v>
      </c>
      <c r="AS425" s="32" t="s">
        <v>1225</v>
      </c>
      <c r="AT425" s="32" t="s">
        <v>1225</v>
      </c>
      <c r="AU425" s="32" t="s">
        <v>1225</v>
      </c>
      <c r="AV425" s="32" t="s">
        <v>1225</v>
      </c>
      <c r="AW425" s="32" t="s">
        <v>1393</v>
      </c>
      <c r="AX425" s="32">
        <v>2016</v>
      </c>
      <c r="AY425" s="32">
        <v>65</v>
      </c>
      <c r="AZ425" s="32">
        <v>6</v>
      </c>
      <c r="BA425" s="32" t="s">
        <v>1225</v>
      </c>
      <c r="BB425" s="32" t="s">
        <v>1225</v>
      </c>
      <c r="BC425" s="32" t="s">
        <v>1225</v>
      </c>
      <c r="BD425" s="32" t="s">
        <v>1225</v>
      </c>
      <c r="BE425" s="32">
        <v>4159</v>
      </c>
      <c r="BF425" s="32">
        <v>4171</v>
      </c>
      <c r="BG425" s="32" t="s">
        <v>1225</v>
      </c>
      <c r="BH425" s="32" t="s">
        <v>4157</v>
      </c>
      <c r="BI425" s="32" t="str">
        <f>HYPERLINK("http://dx.doi.org/10.1109/TVT.2016.2523256","http://dx.doi.org/10.1109/TVT.2016.2523256")</f>
        <v>http://dx.doi.org/10.1109/TVT.2016.2523256</v>
      </c>
      <c r="BJ425" s="32" t="s">
        <v>1225</v>
      </c>
      <c r="BK425" s="32" t="s">
        <v>1225</v>
      </c>
      <c r="BL425" s="32" t="s">
        <v>1225</v>
      </c>
      <c r="BM425" s="32" t="s">
        <v>1225</v>
      </c>
      <c r="BN425" s="32" t="s">
        <v>1225</v>
      </c>
      <c r="BO425" s="32" t="s">
        <v>1225</v>
      </c>
      <c r="BP425" s="32" t="s">
        <v>1225</v>
      </c>
      <c r="BQ425" s="32" t="s">
        <v>1225</v>
      </c>
      <c r="BR425" s="32" t="s">
        <v>1225</v>
      </c>
      <c r="BS425" s="32" t="s">
        <v>1225</v>
      </c>
      <c r="BT425" s="32" t="s">
        <v>1225</v>
      </c>
      <c r="BU425" s="32" t="s">
        <v>1225</v>
      </c>
      <c r="BV425" s="32" t="s">
        <v>1225</v>
      </c>
      <c r="BW425" s="32" t="str">
        <f t="shared" si="12"/>
        <v>View Full Record in Web of Science</v>
      </c>
      <c r="BY425" s="41" t="str">
        <f>IF(Deletion!J425=TRUE,"Yes","No")</f>
        <v>Yes</v>
      </c>
    </row>
    <row r="426" spans="1:77" x14ac:dyDescent="0.15">
      <c r="A426" s="34">
        <f t="shared" si="13"/>
        <v>425</v>
      </c>
      <c r="B426" s="34" t="s">
        <v>4</v>
      </c>
      <c r="C426" s="34" t="s">
        <v>4</v>
      </c>
      <c r="D426" s="34" t="s">
        <v>1223</v>
      </c>
      <c r="E426" s="34" t="s">
        <v>4158</v>
      </c>
      <c r="F426" s="32" t="s">
        <v>1225</v>
      </c>
      <c r="G426" s="32" t="s">
        <v>1225</v>
      </c>
      <c r="H426" s="32" t="s">
        <v>1225</v>
      </c>
      <c r="I426" s="34" t="s">
        <v>4159</v>
      </c>
      <c r="J426" s="32" t="s">
        <v>1225</v>
      </c>
      <c r="K426" s="32" t="s">
        <v>1225</v>
      </c>
      <c r="L426" s="34" t="s">
        <v>4160</v>
      </c>
      <c r="M426" s="34" t="s">
        <v>4161</v>
      </c>
      <c r="N426" s="32" t="s">
        <v>1225</v>
      </c>
      <c r="O426" s="32" t="s">
        <v>1225</v>
      </c>
      <c r="P426" s="32" t="s">
        <v>1225</v>
      </c>
      <c r="Q426" s="34" t="s">
        <v>1227</v>
      </c>
      <c r="R426" s="32" t="s">
        <v>1225</v>
      </c>
      <c r="S426" s="32" t="s">
        <v>1225</v>
      </c>
      <c r="T426" s="32" t="s">
        <v>1225</v>
      </c>
      <c r="U426" s="32" t="s">
        <v>1225</v>
      </c>
      <c r="V426" s="32" t="s">
        <v>1225</v>
      </c>
      <c r="W426" s="34" t="s">
        <v>4162</v>
      </c>
      <c r="X426" s="34" t="s">
        <v>4163</v>
      </c>
      <c r="Y426" s="34" t="s">
        <v>4164</v>
      </c>
      <c r="Z426" s="32" t="s">
        <v>1225</v>
      </c>
      <c r="AA426" s="32" t="s">
        <v>1225</v>
      </c>
      <c r="AB426" s="32" t="s">
        <v>1225</v>
      </c>
      <c r="AC426" s="32" t="s">
        <v>1225</v>
      </c>
      <c r="AD426" s="32" t="s">
        <v>1225</v>
      </c>
      <c r="AE426" s="32" t="s">
        <v>1225</v>
      </c>
      <c r="AF426" s="32" t="s">
        <v>1225</v>
      </c>
      <c r="AG426" s="32" t="s">
        <v>1225</v>
      </c>
      <c r="AH426" s="32" t="s">
        <v>1225</v>
      </c>
      <c r="AI426" s="32" t="s">
        <v>1225</v>
      </c>
      <c r="AJ426" s="32" t="s">
        <v>1225</v>
      </c>
      <c r="AK426" s="32" t="s">
        <v>1225</v>
      </c>
      <c r="AL426" s="32" t="s">
        <v>1225</v>
      </c>
      <c r="AM426" s="32" t="s">
        <v>1225</v>
      </c>
      <c r="AN426" s="32" t="s">
        <v>1225</v>
      </c>
      <c r="AO426" s="32" t="s">
        <v>1225</v>
      </c>
      <c r="AP426" s="32" t="s">
        <v>1225</v>
      </c>
      <c r="AQ426" s="32" t="s">
        <v>1225</v>
      </c>
      <c r="AR426" s="32" t="s">
        <v>1225</v>
      </c>
      <c r="AS426" s="32" t="s">
        <v>1225</v>
      </c>
      <c r="AT426" s="32" t="s">
        <v>1225</v>
      </c>
      <c r="AU426" s="32" t="s">
        <v>1225</v>
      </c>
      <c r="AV426" s="32" t="s">
        <v>1225</v>
      </c>
      <c r="AW426" s="34" t="s">
        <v>2434</v>
      </c>
      <c r="AX426" s="34">
        <v>2020</v>
      </c>
      <c r="AY426" s="32">
        <v>36</v>
      </c>
      <c r="AZ426" s="32">
        <v>2</v>
      </c>
      <c r="BA426" s="32" t="s">
        <v>1225</v>
      </c>
      <c r="BB426" s="32" t="s">
        <v>1225</v>
      </c>
      <c r="BC426" s="32" t="s">
        <v>1225</v>
      </c>
      <c r="BD426" s="32" t="s">
        <v>1225</v>
      </c>
      <c r="BE426" s="32" t="s">
        <v>1225</v>
      </c>
      <c r="BF426" s="32" t="s">
        <v>1225</v>
      </c>
      <c r="BG426" s="32">
        <v>4019048</v>
      </c>
      <c r="BH426" s="34" t="s">
        <v>4165</v>
      </c>
      <c r="BI426" s="34" t="str">
        <f>HYPERLINK("http://dx.doi.org/10.1061/(ASCE)ME.1943-5479.0000742","http://dx.doi.org/10.1061/(ASCE)ME.1943-5479.0000742")</f>
        <v>http://dx.doi.org/10.1061/(ASCE)ME.1943-5479.0000742</v>
      </c>
      <c r="BJ426" s="32" t="s">
        <v>1225</v>
      </c>
      <c r="BK426" s="32" t="s">
        <v>1225</v>
      </c>
      <c r="BL426" s="32" t="s">
        <v>1225</v>
      </c>
      <c r="BM426" s="32" t="s">
        <v>1225</v>
      </c>
      <c r="BN426" s="32" t="s">
        <v>1225</v>
      </c>
      <c r="BO426" s="32" t="s">
        <v>1225</v>
      </c>
      <c r="BP426" s="32" t="s">
        <v>1225</v>
      </c>
      <c r="BQ426" s="32" t="s">
        <v>1225</v>
      </c>
      <c r="BR426" s="32" t="s">
        <v>1225</v>
      </c>
      <c r="BS426" s="32" t="s">
        <v>1225</v>
      </c>
      <c r="BT426" s="32" t="s">
        <v>1225</v>
      </c>
      <c r="BU426" s="32" t="s">
        <v>1225</v>
      </c>
      <c r="BV426" s="32" t="s">
        <v>1225</v>
      </c>
      <c r="BW426" s="32" t="str">
        <f t="shared" si="12"/>
        <v>View Full Record in Web of Science</v>
      </c>
      <c r="BY426" s="41" t="str">
        <f>IF(Deletion!J426=TRUE,"Yes","No")</f>
        <v>No</v>
      </c>
    </row>
    <row r="427" spans="1:77" x14ac:dyDescent="0.15">
      <c r="A427" s="32">
        <f t="shared" si="13"/>
        <v>426</v>
      </c>
      <c r="D427" s="32" t="s">
        <v>1223</v>
      </c>
      <c r="E427" s="32" t="s">
        <v>4166</v>
      </c>
      <c r="F427" s="32" t="s">
        <v>1225</v>
      </c>
      <c r="G427" s="32" t="s">
        <v>1225</v>
      </c>
      <c r="H427" s="32" t="s">
        <v>1225</v>
      </c>
      <c r="I427" s="32" t="s">
        <v>4167</v>
      </c>
      <c r="J427" s="32" t="s">
        <v>1225</v>
      </c>
      <c r="K427" s="32" t="s">
        <v>1225</v>
      </c>
      <c r="L427" s="32" t="s">
        <v>4168</v>
      </c>
      <c r="M427" s="32" t="s">
        <v>2324</v>
      </c>
      <c r="N427" s="32" t="s">
        <v>1225</v>
      </c>
      <c r="O427" s="32" t="s">
        <v>1225</v>
      </c>
      <c r="P427" s="32" t="s">
        <v>1225</v>
      </c>
      <c r="Q427" s="32" t="s">
        <v>1227</v>
      </c>
      <c r="R427" s="32" t="s">
        <v>1225</v>
      </c>
      <c r="S427" s="32" t="s">
        <v>1225</v>
      </c>
      <c r="T427" s="32" t="s">
        <v>1225</v>
      </c>
      <c r="U427" s="32" t="s">
        <v>1225</v>
      </c>
      <c r="V427" s="32" t="s">
        <v>1225</v>
      </c>
      <c r="W427" s="32" t="s">
        <v>4169</v>
      </c>
      <c r="X427" s="32" t="s">
        <v>4170</v>
      </c>
      <c r="Y427" s="32" t="s">
        <v>4171</v>
      </c>
      <c r="Z427" s="32" t="s">
        <v>1225</v>
      </c>
      <c r="AA427" s="32" t="s">
        <v>1225</v>
      </c>
      <c r="AB427" s="32" t="s">
        <v>1225</v>
      </c>
      <c r="AC427" s="32" t="s">
        <v>1225</v>
      </c>
      <c r="AD427" s="32" t="s">
        <v>1225</v>
      </c>
      <c r="AE427" s="32" t="s">
        <v>1225</v>
      </c>
      <c r="AF427" s="32" t="s">
        <v>1225</v>
      </c>
      <c r="AG427" s="32" t="s">
        <v>1225</v>
      </c>
      <c r="AH427" s="32" t="s">
        <v>1225</v>
      </c>
      <c r="AI427" s="32" t="s">
        <v>1225</v>
      </c>
      <c r="AJ427" s="32" t="s">
        <v>1225</v>
      </c>
      <c r="AK427" s="32" t="s">
        <v>1225</v>
      </c>
      <c r="AL427" s="32" t="s">
        <v>1225</v>
      </c>
      <c r="AM427" s="32" t="s">
        <v>1225</v>
      </c>
      <c r="AN427" s="32" t="s">
        <v>1225</v>
      </c>
      <c r="AO427" s="32" t="s">
        <v>1225</v>
      </c>
      <c r="AP427" s="32" t="s">
        <v>1225</v>
      </c>
      <c r="AQ427" s="32" t="s">
        <v>1225</v>
      </c>
      <c r="AR427" s="32" t="s">
        <v>1225</v>
      </c>
      <c r="AS427" s="32" t="s">
        <v>1225</v>
      </c>
      <c r="AT427" s="32" t="s">
        <v>1225</v>
      </c>
      <c r="AU427" s="32" t="s">
        <v>1225</v>
      </c>
      <c r="AV427" s="32" t="s">
        <v>1225</v>
      </c>
      <c r="AW427" s="32" t="s">
        <v>1317</v>
      </c>
      <c r="AX427" s="32">
        <v>2017</v>
      </c>
      <c r="AY427" s="32">
        <v>66</v>
      </c>
      <c r="AZ427" s="32" t="s">
        <v>1225</v>
      </c>
      <c r="BA427" s="32" t="s">
        <v>2643</v>
      </c>
      <c r="BB427" s="32" t="s">
        <v>1225</v>
      </c>
      <c r="BC427" s="32" t="s">
        <v>1511</v>
      </c>
      <c r="BD427" s="32" t="s">
        <v>1225</v>
      </c>
      <c r="BE427" s="32">
        <v>278</v>
      </c>
      <c r="BF427" s="32">
        <v>289</v>
      </c>
      <c r="BG427" s="32" t="s">
        <v>1225</v>
      </c>
      <c r="BH427" s="32" t="s">
        <v>4172</v>
      </c>
      <c r="BI427" s="32" t="str">
        <f>HYPERLINK("http://dx.doi.org/10.1016/j.omega.2015.11.010","http://dx.doi.org/10.1016/j.omega.2015.11.010")</f>
        <v>http://dx.doi.org/10.1016/j.omega.2015.11.010</v>
      </c>
      <c r="BJ427" s="32" t="s">
        <v>1225</v>
      </c>
      <c r="BK427" s="32" t="s">
        <v>1225</v>
      </c>
      <c r="BL427" s="32" t="s">
        <v>1225</v>
      </c>
      <c r="BM427" s="32" t="s">
        <v>1225</v>
      </c>
      <c r="BN427" s="32" t="s">
        <v>1225</v>
      </c>
      <c r="BO427" s="32" t="s">
        <v>1225</v>
      </c>
      <c r="BP427" s="32" t="s">
        <v>1225</v>
      </c>
      <c r="BQ427" s="32" t="s">
        <v>1225</v>
      </c>
      <c r="BR427" s="32" t="s">
        <v>1225</v>
      </c>
      <c r="BS427" s="32" t="s">
        <v>1225</v>
      </c>
      <c r="BT427" s="32" t="s">
        <v>1225</v>
      </c>
      <c r="BU427" s="32" t="s">
        <v>1225</v>
      </c>
      <c r="BV427" s="32" t="s">
        <v>1225</v>
      </c>
      <c r="BW427" s="32" t="str">
        <f t="shared" si="12"/>
        <v>View Full Record in Web of Science</v>
      </c>
      <c r="BY427" s="41" t="str">
        <f>IF(Deletion!J427=TRUE,"Yes","No")</f>
        <v>Yes</v>
      </c>
    </row>
    <row r="428" spans="1:77" x14ac:dyDescent="0.15">
      <c r="A428" s="32">
        <f t="shared" si="13"/>
        <v>427</v>
      </c>
      <c r="D428" s="32" t="s">
        <v>1223</v>
      </c>
      <c r="E428" s="32" t="s">
        <v>4173</v>
      </c>
      <c r="F428" s="32" t="s">
        <v>1225</v>
      </c>
      <c r="G428" s="32" t="s">
        <v>1225</v>
      </c>
      <c r="H428" s="32" t="s">
        <v>1225</v>
      </c>
      <c r="I428" s="32" t="s">
        <v>4174</v>
      </c>
      <c r="J428" s="32" t="s">
        <v>1225</v>
      </c>
      <c r="K428" s="32" t="s">
        <v>1225</v>
      </c>
      <c r="L428" s="32" t="s">
        <v>4175</v>
      </c>
      <c r="M428" s="32" t="s">
        <v>422</v>
      </c>
      <c r="N428" s="32" t="s">
        <v>1225</v>
      </c>
      <c r="O428" s="32" t="s">
        <v>1225</v>
      </c>
      <c r="P428" s="32" t="s">
        <v>1225</v>
      </c>
      <c r="Q428" s="32" t="s">
        <v>1227</v>
      </c>
      <c r="R428" s="32" t="s">
        <v>1225</v>
      </c>
      <c r="S428" s="32" t="s">
        <v>1225</v>
      </c>
      <c r="T428" s="32" t="s">
        <v>1225</v>
      </c>
      <c r="U428" s="32" t="s">
        <v>1225</v>
      </c>
      <c r="V428" s="32" t="s">
        <v>1225</v>
      </c>
      <c r="W428" s="32" t="s">
        <v>4176</v>
      </c>
      <c r="X428" s="32" t="s">
        <v>1225</v>
      </c>
      <c r="Y428" s="32" t="s">
        <v>4177</v>
      </c>
      <c r="Z428" s="32" t="s">
        <v>1225</v>
      </c>
      <c r="AA428" s="32" t="s">
        <v>1225</v>
      </c>
      <c r="AB428" s="32" t="s">
        <v>1225</v>
      </c>
      <c r="AC428" s="32" t="s">
        <v>1225</v>
      </c>
      <c r="AD428" s="32" t="s">
        <v>1225</v>
      </c>
      <c r="AE428" s="32" t="s">
        <v>1225</v>
      </c>
      <c r="AF428" s="32" t="s">
        <v>1225</v>
      </c>
      <c r="AG428" s="32" t="s">
        <v>1225</v>
      </c>
      <c r="AH428" s="32" t="s">
        <v>1225</v>
      </c>
      <c r="AI428" s="32" t="s">
        <v>1225</v>
      </c>
      <c r="AJ428" s="32" t="s">
        <v>1225</v>
      </c>
      <c r="AK428" s="32" t="s">
        <v>1225</v>
      </c>
      <c r="AL428" s="32" t="s">
        <v>1225</v>
      </c>
      <c r="AM428" s="32" t="s">
        <v>1225</v>
      </c>
      <c r="AN428" s="32" t="s">
        <v>1225</v>
      </c>
      <c r="AO428" s="32" t="s">
        <v>1225</v>
      </c>
      <c r="AP428" s="32" t="s">
        <v>1225</v>
      </c>
      <c r="AQ428" s="32" t="s">
        <v>1225</v>
      </c>
      <c r="AR428" s="32" t="s">
        <v>1225</v>
      </c>
      <c r="AS428" s="32" t="s">
        <v>1225</v>
      </c>
      <c r="AT428" s="32" t="s">
        <v>1225</v>
      </c>
      <c r="AU428" s="32" t="s">
        <v>1225</v>
      </c>
      <c r="AV428" s="32" t="s">
        <v>1225</v>
      </c>
      <c r="AW428" s="32" t="s">
        <v>1229</v>
      </c>
      <c r="AX428" s="32">
        <v>2012</v>
      </c>
      <c r="AY428" s="32">
        <v>5</v>
      </c>
      <c r="AZ428" s="32">
        <v>11</v>
      </c>
      <c r="BA428" s="32" t="s">
        <v>1225</v>
      </c>
      <c r="BB428" s="32" t="s">
        <v>1225</v>
      </c>
      <c r="BC428" s="32" t="s">
        <v>1225</v>
      </c>
      <c r="BD428" s="32" t="s">
        <v>1225</v>
      </c>
      <c r="BE428" s="32">
        <v>4665</v>
      </c>
      <c r="BF428" s="32">
        <v>4682</v>
      </c>
      <c r="BG428" s="32" t="s">
        <v>1225</v>
      </c>
      <c r="BH428" s="32" t="s">
        <v>4178</v>
      </c>
      <c r="BI428" s="32" t="str">
        <f>HYPERLINK("http://dx.doi.org/10.3390/en5114665","http://dx.doi.org/10.3390/en5114665")</f>
        <v>http://dx.doi.org/10.3390/en5114665</v>
      </c>
      <c r="BJ428" s="32" t="s">
        <v>1225</v>
      </c>
      <c r="BK428" s="32" t="s">
        <v>1225</v>
      </c>
      <c r="BL428" s="32" t="s">
        <v>1225</v>
      </c>
      <c r="BM428" s="32" t="s">
        <v>1225</v>
      </c>
      <c r="BN428" s="32" t="s">
        <v>1225</v>
      </c>
      <c r="BO428" s="32" t="s">
        <v>1225</v>
      </c>
      <c r="BP428" s="32" t="s">
        <v>1225</v>
      </c>
      <c r="BQ428" s="32" t="s">
        <v>1225</v>
      </c>
      <c r="BR428" s="32" t="s">
        <v>1225</v>
      </c>
      <c r="BS428" s="32" t="s">
        <v>1225</v>
      </c>
      <c r="BT428" s="32" t="s">
        <v>1225</v>
      </c>
      <c r="BU428" s="32" t="s">
        <v>1225</v>
      </c>
      <c r="BV428" s="32" t="s">
        <v>1225</v>
      </c>
      <c r="BW428" s="32" t="str">
        <f t="shared" si="12"/>
        <v>View Full Record in Web of Science</v>
      </c>
      <c r="BY428" s="41" t="str">
        <f>IF(Deletion!J428=TRUE,"Yes","No")</f>
        <v>Yes</v>
      </c>
    </row>
    <row r="429" spans="1:77" x14ac:dyDescent="0.15">
      <c r="A429" s="34">
        <f t="shared" si="13"/>
        <v>428</v>
      </c>
      <c r="B429" s="34" t="s">
        <v>4</v>
      </c>
      <c r="C429" s="34" t="s">
        <v>4</v>
      </c>
      <c r="D429" s="34" t="s">
        <v>1223</v>
      </c>
      <c r="E429" s="34" t="s">
        <v>4179</v>
      </c>
      <c r="F429" s="32" t="s">
        <v>1225</v>
      </c>
      <c r="G429" s="32" t="s">
        <v>1225</v>
      </c>
      <c r="H429" s="32" t="s">
        <v>1225</v>
      </c>
      <c r="I429" s="34" t="s">
        <v>4180</v>
      </c>
      <c r="J429" s="32" t="s">
        <v>1225</v>
      </c>
      <c r="K429" s="32" t="s">
        <v>1225</v>
      </c>
      <c r="L429" s="34" t="s">
        <v>4181</v>
      </c>
      <c r="M429" s="34" t="s">
        <v>4182</v>
      </c>
      <c r="N429" s="32" t="s">
        <v>1225</v>
      </c>
      <c r="O429" s="32" t="s">
        <v>1225</v>
      </c>
      <c r="P429" s="32" t="s">
        <v>1225</v>
      </c>
      <c r="Q429" s="34" t="s">
        <v>1227</v>
      </c>
      <c r="R429" s="32" t="s">
        <v>1225</v>
      </c>
      <c r="S429" s="32" t="s">
        <v>1225</v>
      </c>
      <c r="T429" s="32" t="s">
        <v>1225</v>
      </c>
      <c r="U429" s="32" t="s">
        <v>1225</v>
      </c>
      <c r="V429" s="32" t="s">
        <v>1225</v>
      </c>
      <c r="W429" s="34" t="s">
        <v>4183</v>
      </c>
      <c r="X429" s="34" t="s">
        <v>4184</v>
      </c>
      <c r="Y429" s="34" t="s">
        <v>4185</v>
      </c>
      <c r="Z429" s="32" t="s">
        <v>1225</v>
      </c>
      <c r="AA429" s="32" t="s">
        <v>1225</v>
      </c>
      <c r="AB429" s="32" t="s">
        <v>1225</v>
      </c>
      <c r="AC429" s="32" t="s">
        <v>1225</v>
      </c>
      <c r="AD429" s="32" t="s">
        <v>1225</v>
      </c>
      <c r="AE429" s="32" t="s">
        <v>1225</v>
      </c>
      <c r="AF429" s="32" t="s">
        <v>1225</v>
      </c>
      <c r="AG429" s="32" t="s">
        <v>1225</v>
      </c>
      <c r="AH429" s="32" t="s">
        <v>1225</v>
      </c>
      <c r="AI429" s="32" t="s">
        <v>1225</v>
      </c>
      <c r="AJ429" s="32" t="s">
        <v>1225</v>
      </c>
      <c r="AK429" s="32" t="s">
        <v>1225</v>
      </c>
      <c r="AL429" s="32" t="s">
        <v>1225</v>
      </c>
      <c r="AM429" s="32" t="s">
        <v>1225</v>
      </c>
      <c r="AN429" s="32" t="s">
        <v>1225</v>
      </c>
      <c r="AO429" s="32" t="s">
        <v>1225</v>
      </c>
      <c r="AP429" s="32" t="s">
        <v>1225</v>
      </c>
      <c r="AQ429" s="32" t="s">
        <v>1225</v>
      </c>
      <c r="AR429" s="32" t="s">
        <v>1225</v>
      </c>
      <c r="AS429" s="32" t="s">
        <v>1225</v>
      </c>
      <c r="AT429" s="32" t="s">
        <v>1225</v>
      </c>
      <c r="AU429" s="32" t="s">
        <v>1225</v>
      </c>
      <c r="AV429" s="32" t="s">
        <v>1225</v>
      </c>
      <c r="AW429" s="34" t="s">
        <v>1285</v>
      </c>
      <c r="AX429" s="34">
        <v>2013</v>
      </c>
      <c r="AY429" s="32">
        <v>59</v>
      </c>
      <c r="AZ429" s="32">
        <v>2</v>
      </c>
      <c r="BA429" s="32" t="s">
        <v>1225</v>
      </c>
      <c r="BB429" s="32" t="s">
        <v>1225</v>
      </c>
      <c r="BC429" s="32" t="s">
        <v>1225</v>
      </c>
      <c r="BD429" s="32" t="s">
        <v>1225</v>
      </c>
      <c r="BE429" s="32">
        <v>323</v>
      </c>
      <c r="BF429" s="32">
        <v>328</v>
      </c>
      <c r="BG429" s="32" t="s">
        <v>1225</v>
      </c>
      <c r="BH429" s="34" t="s">
        <v>4186</v>
      </c>
      <c r="BI429" s="34" t="str">
        <f>HYPERLINK("http://dx.doi.org/10.1109/TCE.2013.6531113","http://dx.doi.org/10.1109/TCE.2013.6531113")</f>
        <v>http://dx.doi.org/10.1109/TCE.2013.6531113</v>
      </c>
      <c r="BJ429" s="32" t="s">
        <v>1225</v>
      </c>
      <c r="BK429" s="32" t="s">
        <v>1225</v>
      </c>
      <c r="BL429" s="32" t="s">
        <v>1225</v>
      </c>
      <c r="BM429" s="32" t="s">
        <v>1225</v>
      </c>
      <c r="BN429" s="32" t="s">
        <v>1225</v>
      </c>
      <c r="BO429" s="32" t="s">
        <v>1225</v>
      </c>
      <c r="BP429" s="32" t="s">
        <v>1225</v>
      </c>
      <c r="BQ429" s="32" t="s">
        <v>1225</v>
      </c>
      <c r="BR429" s="32" t="s">
        <v>1225</v>
      </c>
      <c r="BS429" s="32" t="s">
        <v>1225</v>
      </c>
      <c r="BT429" s="32" t="s">
        <v>1225</v>
      </c>
      <c r="BU429" s="32" t="s">
        <v>1225</v>
      </c>
      <c r="BV429" s="32" t="s">
        <v>1225</v>
      </c>
      <c r="BW429" s="32" t="str">
        <f t="shared" si="12"/>
        <v>View Full Record in Web of Science</v>
      </c>
      <c r="BY429" s="41" t="str">
        <f>IF(Deletion!J429=TRUE,"Yes","No")</f>
        <v>No</v>
      </c>
    </row>
    <row r="430" spans="1:77" x14ac:dyDescent="0.15">
      <c r="A430" s="32">
        <f t="shared" si="13"/>
        <v>429</v>
      </c>
      <c r="D430" s="32" t="s">
        <v>1223</v>
      </c>
      <c r="E430" s="32" t="s">
        <v>4187</v>
      </c>
      <c r="F430" s="32" t="s">
        <v>1225</v>
      </c>
      <c r="G430" s="32" t="s">
        <v>1225</v>
      </c>
      <c r="H430" s="32" t="s">
        <v>1225</v>
      </c>
      <c r="I430" s="32" t="s">
        <v>4188</v>
      </c>
      <c r="J430" s="32" t="s">
        <v>1225</v>
      </c>
      <c r="K430" s="32" t="s">
        <v>1225</v>
      </c>
      <c r="L430" s="32" t="s">
        <v>4189</v>
      </c>
      <c r="M430" s="32" t="s">
        <v>313</v>
      </c>
      <c r="N430" s="32" t="s">
        <v>1225</v>
      </c>
      <c r="O430" s="32" t="s">
        <v>1225</v>
      </c>
      <c r="P430" s="32" t="s">
        <v>1225</v>
      </c>
      <c r="Q430" s="32" t="s">
        <v>1227</v>
      </c>
      <c r="R430" s="32" t="s">
        <v>1225</v>
      </c>
      <c r="S430" s="32" t="s">
        <v>1225</v>
      </c>
      <c r="T430" s="32" t="s">
        <v>1225</v>
      </c>
      <c r="U430" s="32" t="s">
        <v>1225</v>
      </c>
      <c r="V430" s="32" t="s">
        <v>1225</v>
      </c>
      <c r="W430" s="32" t="s">
        <v>4190</v>
      </c>
      <c r="X430" s="32" t="s">
        <v>4191</v>
      </c>
      <c r="Y430" s="32" t="s">
        <v>4192</v>
      </c>
      <c r="Z430" s="32" t="s">
        <v>1225</v>
      </c>
      <c r="AA430" s="32" t="s">
        <v>1225</v>
      </c>
      <c r="AB430" s="32" t="s">
        <v>1225</v>
      </c>
      <c r="AC430" s="32" t="s">
        <v>1225</v>
      </c>
      <c r="AD430" s="32" t="s">
        <v>1225</v>
      </c>
      <c r="AE430" s="32" t="s">
        <v>1225</v>
      </c>
      <c r="AF430" s="32" t="s">
        <v>1225</v>
      </c>
      <c r="AG430" s="32" t="s">
        <v>1225</v>
      </c>
      <c r="AH430" s="32" t="s">
        <v>1225</v>
      </c>
      <c r="AI430" s="32" t="s">
        <v>1225</v>
      </c>
      <c r="AJ430" s="32" t="s">
        <v>1225</v>
      </c>
      <c r="AK430" s="32" t="s">
        <v>1225</v>
      </c>
      <c r="AL430" s="32" t="s">
        <v>1225</v>
      </c>
      <c r="AM430" s="32" t="s">
        <v>1225</v>
      </c>
      <c r="AN430" s="32" t="s">
        <v>1225</v>
      </c>
      <c r="AO430" s="32" t="s">
        <v>1225</v>
      </c>
      <c r="AP430" s="32" t="s">
        <v>1225</v>
      </c>
      <c r="AQ430" s="32" t="s">
        <v>1225</v>
      </c>
      <c r="AR430" s="32" t="s">
        <v>1225</v>
      </c>
      <c r="AS430" s="32" t="s">
        <v>1225</v>
      </c>
      <c r="AT430" s="32" t="s">
        <v>1225</v>
      </c>
      <c r="AU430" s="32" t="s">
        <v>1225</v>
      </c>
      <c r="AV430" s="32" t="s">
        <v>1225</v>
      </c>
      <c r="AW430" s="32" t="s">
        <v>1276</v>
      </c>
      <c r="AX430" s="32">
        <v>2021</v>
      </c>
      <c r="AY430" s="32">
        <v>131</v>
      </c>
      <c r="AZ430" s="32" t="s">
        <v>1225</v>
      </c>
      <c r="BA430" s="32" t="s">
        <v>1225</v>
      </c>
      <c r="BB430" s="32" t="s">
        <v>1225</v>
      </c>
      <c r="BC430" s="32" t="s">
        <v>1225</v>
      </c>
      <c r="BD430" s="32" t="s">
        <v>1225</v>
      </c>
      <c r="BE430" s="32" t="s">
        <v>1225</v>
      </c>
      <c r="BF430" s="32" t="s">
        <v>1225</v>
      </c>
      <c r="BG430" s="32">
        <v>106912</v>
      </c>
      <c r="BH430" s="32" t="s">
        <v>4193</v>
      </c>
      <c r="BI430" s="32" t="str">
        <f>HYPERLINK("http://dx.doi.org/10.1016/j.ijepes.2021.106912","http://dx.doi.org/10.1016/j.ijepes.2021.106912")</f>
        <v>http://dx.doi.org/10.1016/j.ijepes.2021.106912</v>
      </c>
      <c r="BJ430" s="32" t="s">
        <v>1225</v>
      </c>
      <c r="BK430" s="32" t="s">
        <v>1395</v>
      </c>
      <c r="BL430" s="32" t="s">
        <v>1225</v>
      </c>
      <c r="BM430" s="32" t="s">
        <v>1225</v>
      </c>
      <c r="BN430" s="32" t="s">
        <v>1225</v>
      </c>
      <c r="BO430" s="32" t="s">
        <v>1225</v>
      </c>
      <c r="BP430" s="32" t="s">
        <v>1225</v>
      </c>
      <c r="BQ430" s="32" t="s">
        <v>1225</v>
      </c>
      <c r="BR430" s="32" t="s">
        <v>1225</v>
      </c>
      <c r="BS430" s="32" t="s">
        <v>1225</v>
      </c>
      <c r="BT430" s="32" t="s">
        <v>1225</v>
      </c>
      <c r="BU430" s="32" t="s">
        <v>1225</v>
      </c>
      <c r="BV430" s="32" t="s">
        <v>1225</v>
      </c>
      <c r="BW430" s="32" t="str">
        <f t="shared" si="12"/>
        <v>View Full Record in Web of Science</v>
      </c>
      <c r="BY430" s="41" t="str">
        <f>IF(Deletion!J430=TRUE,"Yes","No")</f>
        <v>Yes</v>
      </c>
    </row>
    <row r="431" spans="1:77" x14ac:dyDescent="0.15">
      <c r="A431" s="38">
        <f t="shared" si="13"/>
        <v>430</v>
      </c>
      <c r="B431" s="38" t="s">
        <v>1413</v>
      </c>
      <c r="C431" s="38" t="s">
        <v>1413</v>
      </c>
      <c r="D431" s="38" t="s">
        <v>1223</v>
      </c>
      <c r="E431" s="38" t="s">
        <v>4194</v>
      </c>
      <c r="F431" s="32" t="s">
        <v>1225</v>
      </c>
      <c r="G431" s="32" t="s">
        <v>1225</v>
      </c>
      <c r="H431" s="32" t="s">
        <v>1225</v>
      </c>
      <c r="I431" s="38" t="s">
        <v>4195</v>
      </c>
      <c r="J431" s="32" t="s">
        <v>1225</v>
      </c>
      <c r="K431" s="32" t="s">
        <v>1225</v>
      </c>
      <c r="L431" s="38" t="s">
        <v>4196</v>
      </c>
      <c r="M431" s="38" t="s">
        <v>1451</v>
      </c>
      <c r="N431" s="32" t="s">
        <v>1225</v>
      </c>
      <c r="O431" s="32" t="s">
        <v>1225</v>
      </c>
      <c r="P431" s="32" t="s">
        <v>1225</v>
      </c>
      <c r="Q431" s="38" t="s">
        <v>1227</v>
      </c>
      <c r="R431" s="32" t="s">
        <v>1225</v>
      </c>
      <c r="S431" s="32" t="s">
        <v>1225</v>
      </c>
      <c r="T431" s="32" t="s">
        <v>1225</v>
      </c>
      <c r="U431" s="32" t="s">
        <v>1225</v>
      </c>
      <c r="V431" s="32" t="s">
        <v>1225</v>
      </c>
      <c r="W431" s="38" t="s">
        <v>4197</v>
      </c>
      <c r="X431" s="38" t="s">
        <v>4198</v>
      </c>
      <c r="Y431" s="38" t="s">
        <v>4199</v>
      </c>
      <c r="Z431" s="32" t="s">
        <v>1225</v>
      </c>
      <c r="AA431" s="32" t="s">
        <v>1225</v>
      </c>
      <c r="AB431" s="32" t="s">
        <v>1225</v>
      </c>
      <c r="AC431" s="32" t="s">
        <v>1225</v>
      </c>
      <c r="AD431" s="32" t="s">
        <v>1225</v>
      </c>
      <c r="AE431" s="32" t="s">
        <v>1225</v>
      </c>
      <c r="AF431" s="32" t="s">
        <v>1225</v>
      </c>
      <c r="AG431" s="32" t="s">
        <v>1225</v>
      </c>
      <c r="AH431" s="32" t="s">
        <v>1225</v>
      </c>
      <c r="AI431" s="32" t="s">
        <v>1225</v>
      </c>
      <c r="AJ431" s="32" t="s">
        <v>1225</v>
      </c>
      <c r="AK431" s="32" t="s">
        <v>1225</v>
      </c>
      <c r="AL431" s="32" t="s">
        <v>1225</v>
      </c>
      <c r="AM431" s="32" t="s">
        <v>1225</v>
      </c>
      <c r="AN431" s="32" t="s">
        <v>1225</v>
      </c>
      <c r="AO431" s="32" t="s">
        <v>1225</v>
      </c>
      <c r="AP431" s="32" t="s">
        <v>1225</v>
      </c>
      <c r="AQ431" s="32" t="s">
        <v>1225</v>
      </c>
      <c r="AR431" s="32" t="s">
        <v>1225</v>
      </c>
      <c r="AS431" s="32" t="s">
        <v>1225</v>
      </c>
      <c r="AT431" s="32" t="s">
        <v>1225</v>
      </c>
      <c r="AU431" s="32" t="s">
        <v>1225</v>
      </c>
      <c r="AV431" s="32" t="s">
        <v>1225</v>
      </c>
      <c r="AW431" s="38" t="s">
        <v>1239</v>
      </c>
      <c r="AX431" s="38">
        <v>2022</v>
      </c>
      <c r="AY431" s="32">
        <v>162</v>
      </c>
      <c r="AZ431" s="32" t="s">
        <v>1225</v>
      </c>
      <c r="BA431" s="32" t="s">
        <v>1225</v>
      </c>
      <c r="BB431" s="32" t="s">
        <v>1225</v>
      </c>
      <c r="BC431" s="32" t="s">
        <v>1225</v>
      </c>
      <c r="BD431" s="32" t="s">
        <v>1225</v>
      </c>
      <c r="BE431" s="32" t="s">
        <v>1225</v>
      </c>
      <c r="BF431" s="32" t="s">
        <v>1225</v>
      </c>
      <c r="BG431" s="32">
        <v>112386</v>
      </c>
      <c r="BH431" s="38" t="s">
        <v>4200</v>
      </c>
      <c r="BI431" s="38" t="str">
        <f>HYPERLINK("http://dx.doi.org/10.1016/j.rser.2022.112386","http://dx.doi.org/10.1016/j.rser.2022.112386")</f>
        <v>http://dx.doi.org/10.1016/j.rser.2022.112386</v>
      </c>
      <c r="BJ431" s="32" t="s">
        <v>1225</v>
      </c>
      <c r="BK431" s="32" t="s">
        <v>1225</v>
      </c>
      <c r="BL431" s="32" t="s">
        <v>1225</v>
      </c>
      <c r="BM431" s="32" t="s">
        <v>1225</v>
      </c>
      <c r="BN431" s="32" t="s">
        <v>1225</v>
      </c>
      <c r="BO431" s="32" t="s">
        <v>1225</v>
      </c>
      <c r="BP431" s="32" t="s">
        <v>1225</v>
      </c>
      <c r="BQ431" s="32" t="s">
        <v>1225</v>
      </c>
      <c r="BR431" s="32" t="s">
        <v>1225</v>
      </c>
      <c r="BS431" s="32" t="s">
        <v>1225</v>
      </c>
      <c r="BT431" s="32" t="s">
        <v>1225</v>
      </c>
      <c r="BU431" s="32" t="s">
        <v>1225</v>
      </c>
      <c r="BV431" s="32" t="s">
        <v>1225</v>
      </c>
      <c r="BW431" s="32" t="str">
        <f t="shared" si="12"/>
        <v>View Full Record in Web of Science</v>
      </c>
      <c r="BY431" s="41" t="str">
        <f>IF(Deletion!J431=TRUE,"Yes","No")</f>
        <v>No</v>
      </c>
    </row>
    <row r="432" spans="1:77" x14ac:dyDescent="0.15">
      <c r="A432" s="32">
        <f t="shared" si="13"/>
        <v>431</v>
      </c>
      <c r="D432" s="32" t="s">
        <v>1223</v>
      </c>
      <c r="E432" s="32" t="s">
        <v>4201</v>
      </c>
      <c r="F432" s="32" t="s">
        <v>1225</v>
      </c>
      <c r="G432" s="32" t="s">
        <v>1225</v>
      </c>
      <c r="H432" s="32" t="s">
        <v>1225</v>
      </c>
      <c r="I432" s="32" t="s">
        <v>4202</v>
      </c>
      <c r="J432" s="32" t="s">
        <v>1225</v>
      </c>
      <c r="K432" s="32" t="s">
        <v>1225</v>
      </c>
      <c r="L432" s="32" t="s">
        <v>4203</v>
      </c>
      <c r="M432" s="32" t="s">
        <v>124</v>
      </c>
      <c r="N432" s="32" t="s">
        <v>1225</v>
      </c>
      <c r="O432" s="32" t="s">
        <v>1225</v>
      </c>
      <c r="P432" s="32" t="s">
        <v>1225</v>
      </c>
      <c r="Q432" s="32" t="s">
        <v>1227</v>
      </c>
      <c r="R432" s="32" t="s">
        <v>1225</v>
      </c>
      <c r="S432" s="32" t="s">
        <v>1225</v>
      </c>
      <c r="T432" s="32" t="s">
        <v>1225</v>
      </c>
      <c r="U432" s="32" t="s">
        <v>1225</v>
      </c>
      <c r="V432" s="32" t="s">
        <v>1225</v>
      </c>
      <c r="W432" s="32" t="s">
        <v>4204</v>
      </c>
      <c r="X432" s="32" t="s">
        <v>4205</v>
      </c>
      <c r="Y432" s="32" t="s">
        <v>4206</v>
      </c>
      <c r="Z432" s="32" t="s">
        <v>1225</v>
      </c>
      <c r="AA432" s="32" t="s">
        <v>1225</v>
      </c>
      <c r="AB432" s="32" t="s">
        <v>1225</v>
      </c>
      <c r="AC432" s="32" t="s">
        <v>1225</v>
      </c>
      <c r="AD432" s="32" t="s">
        <v>1225</v>
      </c>
      <c r="AE432" s="32" t="s">
        <v>1225</v>
      </c>
      <c r="AF432" s="32" t="s">
        <v>1225</v>
      </c>
      <c r="AG432" s="32" t="s">
        <v>1225</v>
      </c>
      <c r="AH432" s="32" t="s">
        <v>1225</v>
      </c>
      <c r="AI432" s="32" t="s">
        <v>1225</v>
      </c>
      <c r="AJ432" s="32" t="s">
        <v>1225</v>
      </c>
      <c r="AK432" s="32" t="s">
        <v>1225</v>
      </c>
      <c r="AL432" s="32" t="s">
        <v>1225</v>
      </c>
      <c r="AM432" s="32" t="s">
        <v>1225</v>
      </c>
      <c r="AN432" s="32" t="s">
        <v>1225</v>
      </c>
      <c r="AO432" s="32" t="s">
        <v>1225</v>
      </c>
      <c r="AP432" s="32" t="s">
        <v>1225</v>
      </c>
      <c r="AQ432" s="32" t="s">
        <v>1225</v>
      </c>
      <c r="AR432" s="32" t="s">
        <v>1225</v>
      </c>
      <c r="AS432" s="32" t="s">
        <v>1225</v>
      </c>
      <c r="AT432" s="32" t="s">
        <v>1225</v>
      </c>
      <c r="AU432" s="32" t="s">
        <v>1225</v>
      </c>
      <c r="AV432" s="32" t="s">
        <v>1225</v>
      </c>
      <c r="AW432" s="32" t="s">
        <v>1272</v>
      </c>
      <c r="AX432" s="32">
        <v>2012</v>
      </c>
      <c r="AY432" s="32">
        <v>3</v>
      </c>
      <c r="AZ432" s="32">
        <v>1</v>
      </c>
      <c r="BA432" s="32" t="s">
        <v>1225</v>
      </c>
      <c r="BB432" s="32" t="s">
        <v>1225</v>
      </c>
      <c r="BC432" s="32" t="s">
        <v>1225</v>
      </c>
      <c r="BD432" s="32" t="s">
        <v>1225</v>
      </c>
      <c r="BE432" s="32">
        <v>565</v>
      </c>
      <c r="BF432" s="32">
        <v>577</v>
      </c>
      <c r="BG432" s="32" t="s">
        <v>1225</v>
      </c>
      <c r="BH432" s="32" t="s">
        <v>4207</v>
      </c>
      <c r="BI432" s="32" t="str">
        <f>HYPERLINK("http://dx.doi.org/10.1109/TSG.2011.2172697","http://dx.doi.org/10.1109/TSG.2011.2172697")</f>
        <v>http://dx.doi.org/10.1109/TSG.2011.2172697</v>
      </c>
      <c r="BJ432" s="32" t="s">
        <v>1225</v>
      </c>
      <c r="BK432" s="32" t="s">
        <v>1225</v>
      </c>
      <c r="BL432" s="32" t="s">
        <v>1225</v>
      </c>
      <c r="BM432" s="32" t="s">
        <v>1225</v>
      </c>
      <c r="BN432" s="32" t="s">
        <v>1225</v>
      </c>
      <c r="BO432" s="32" t="s">
        <v>1225</v>
      </c>
      <c r="BP432" s="32" t="s">
        <v>1225</v>
      </c>
      <c r="BQ432" s="32" t="s">
        <v>1225</v>
      </c>
      <c r="BR432" s="32" t="s">
        <v>1225</v>
      </c>
      <c r="BS432" s="32" t="s">
        <v>1225</v>
      </c>
      <c r="BT432" s="32" t="s">
        <v>1225</v>
      </c>
      <c r="BU432" s="32" t="s">
        <v>1225</v>
      </c>
      <c r="BV432" s="32" t="s">
        <v>1225</v>
      </c>
      <c r="BW432" s="32" t="str">
        <f t="shared" si="12"/>
        <v>View Full Record in Web of Science</v>
      </c>
      <c r="BY432" s="41" t="str">
        <f>IF(Deletion!J432=TRUE,"Yes","No")</f>
        <v>Yes</v>
      </c>
    </row>
    <row r="433" spans="1:77" x14ac:dyDescent="0.15">
      <c r="A433" s="32">
        <f t="shared" si="13"/>
        <v>432</v>
      </c>
      <c r="D433" s="32" t="s">
        <v>1223</v>
      </c>
      <c r="E433" s="32" t="s">
        <v>4208</v>
      </c>
      <c r="F433" s="32" t="s">
        <v>1225</v>
      </c>
      <c r="G433" s="32" t="s">
        <v>1225</v>
      </c>
      <c r="H433" s="32" t="s">
        <v>1225</v>
      </c>
      <c r="I433" s="32" t="s">
        <v>4209</v>
      </c>
      <c r="J433" s="32" t="s">
        <v>1225</v>
      </c>
      <c r="K433" s="32" t="s">
        <v>1225</v>
      </c>
      <c r="L433" s="32" t="s">
        <v>4210</v>
      </c>
      <c r="M433" s="32" t="s">
        <v>68</v>
      </c>
      <c r="N433" s="32" t="s">
        <v>1225</v>
      </c>
      <c r="O433" s="32" t="s">
        <v>1225</v>
      </c>
      <c r="P433" s="32" t="s">
        <v>1225</v>
      </c>
      <c r="Q433" s="32" t="s">
        <v>1227</v>
      </c>
      <c r="R433" s="32" t="s">
        <v>1225</v>
      </c>
      <c r="S433" s="32" t="s">
        <v>1225</v>
      </c>
      <c r="T433" s="32" t="s">
        <v>1225</v>
      </c>
      <c r="U433" s="32" t="s">
        <v>1225</v>
      </c>
      <c r="V433" s="32" t="s">
        <v>1225</v>
      </c>
      <c r="W433" s="32" t="s">
        <v>4211</v>
      </c>
      <c r="X433" s="32" t="s">
        <v>1225</v>
      </c>
      <c r="Y433" s="32" t="s">
        <v>4212</v>
      </c>
      <c r="Z433" s="32" t="s">
        <v>1225</v>
      </c>
      <c r="AA433" s="32" t="s">
        <v>1225</v>
      </c>
      <c r="AB433" s="32" t="s">
        <v>1225</v>
      </c>
      <c r="AC433" s="32" t="s">
        <v>1225</v>
      </c>
      <c r="AD433" s="32" t="s">
        <v>1225</v>
      </c>
      <c r="AE433" s="32" t="s">
        <v>1225</v>
      </c>
      <c r="AF433" s="32" t="s">
        <v>1225</v>
      </c>
      <c r="AG433" s="32" t="s">
        <v>1225</v>
      </c>
      <c r="AH433" s="32" t="s">
        <v>1225</v>
      </c>
      <c r="AI433" s="32" t="s">
        <v>1225</v>
      </c>
      <c r="AJ433" s="32" t="s">
        <v>1225</v>
      </c>
      <c r="AK433" s="32" t="s">
        <v>1225</v>
      </c>
      <c r="AL433" s="32" t="s">
        <v>1225</v>
      </c>
      <c r="AM433" s="32" t="s">
        <v>1225</v>
      </c>
      <c r="AN433" s="32" t="s">
        <v>1225</v>
      </c>
      <c r="AO433" s="32" t="s">
        <v>1225</v>
      </c>
      <c r="AP433" s="32" t="s">
        <v>1225</v>
      </c>
      <c r="AQ433" s="32" t="s">
        <v>1225</v>
      </c>
      <c r="AR433" s="32" t="s">
        <v>1225</v>
      </c>
      <c r="AS433" s="32" t="s">
        <v>1225</v>
      </c>
      <c r="AT433" s="32" t="s">
        <v>1225</v>
      </c>
      <c r="AU433" s="32" t="s">
        <v>1225</v>
      </c>
      <c r="AV433" s="32" t="s">
        <v>1225</v>
      </c>
      <c r="AW433" s="32" t="s">
        <v>1225</v>
      </c>
      <c r="AX433" s="32">
        <v>2019</v>
      </c>
      <c r="AY433" s="32">
        <v>7</v>
      </c>
      <c r="AZ433" s="32" t="s">
        <v>1225</v>
      </c>
      <c r="BA433" s="32" t="s">
        <v>1225</v>
      </c>
      <c r="BB433" s="32" t="s">
        <v>1225</v>
      </c>
      <c r="BC433" s="32" t="s">
        <v>1225</v>
      </c>
      <c r="BD433" s="32" t="s">
        <v>1225</v>
      </c>
      <c r="BE433" s="32">
        <v>178528</v>
      </c>
      <c r="BF433" s="32">
        <v>178538</v>
      </c>
      <c r="BG433" s="32" t="s">
        <v>1225</v>
      </c>
      <c r="BH433" s="32" t="s">
        <v>4213</v>
      </c>
      <c r="BI433" s="32" t="str">
        <f>HYPERLINK("http://dx.doi.org/10.1109/ACCESS.2019.2958664","http://dx.doi.org/10.1109/ACCESS.2019.2958664")</f>
        <v>http://dx.doi.org/10.1109/ACCESS.2019.2958664</v>
      </c>
      <c r="BJ433" s="32" t="s">
        <v>1225</v>
      </c>
      <c r="BK433" s="32" t="s">
        <v>1225</v>
      </c>
      <c r="BL433" s="32" t="s">
        <v>1225</v>
      </c>
      <c r="BM433" s="32" t="s">
        <v>1225</v>
      </c>
      <c r="BN433" s="32" t="s">
        <v>1225</v>
      </c>
      <c r="BO433" s="32" t="s">
        <v>1225</v>
      </c>
      <c r="BP433" s="32" t="s">
        <v>1225</v>
      </c>
      <c r="BQ433" s="32" t="s">
        <v>1225</v>
      </c>
      <c r="BR433" s="32" t="s">
        <v>1225</v>
      </c>
      <c r="BS433" s="32" t="s">
        <v>1225</v>
      </c>
      <c r="BT433" s="32" t="s">
        <v>1225</v>
      </c>
      <c r="BU433" s="32" t="s">
        <v>1225</v>
      </c>
      <c r="BV433" s="32" t="s">
        <v>1225</v>
      </c>
      <c r="BW433" s="32" t="str">
        <f t="shared" si="12"/>
        <v>View Full Record in Web of Science</v>
      </c>
      <c r="BY433" s="41" t="str">
        <f>IF(Deletion!J433=TRUE,"Yes","No")</f>
        <v>Yes</v>
      </c>
    </row>
    <row r="434" spans="1:77" x14ac:dyDescent="0.15">
      <c r="A434" s="32">
        <f t="shared" si="13"/>
        <v>433</v>
      </c>
      <c r="D434" s="32" t="s">
        <v>1223</v>
      </c>
      <c r="E434" s="32" t="s">
        <v>4214</v>
      </c>
      <c r="F434" s="32" t="s">
        <v>1225</v>
      </c>
      <c r="G434" s="32" t="s">
        <v>1225</v>
      </c>
      <c r="H434" s="32" t="s">
        <v>1225</v>
      </c>
      <c r="I434" s="32" t="s">
        <v>4215</v>
      </c>
      <c r="J434" s="32" t="s">
        <v>1225</v>
      </c>
      <c r="K434" s="32" t="s">
        <v>1225</v>
      </c>
      <c r="L434" s="32" t="s">
        <v>4216</v>
      </c>
      <c r="M434" s="32" t="s">
        <v>2044</v>
      </c>
      <c r="N434" s="32" t="s">
        <v>1225</v>
      </c>
      <c r="O434" s="32" t="s">
        <v>1225</v>
      </c>
      <c r="P434" s="32" t="s">
        <v>1225</v>
      </c>
      <c r="Q434" s="32" t="s">
        <v>1227</v>
      </c>
      <c r="R434" s="32" t="s">
        <v>1225</v>
      </c>
      <c r="S434" s="32" t="s">
        <v>1225</v>
      </c>
      <c r="T434" s="32" t="s">
        <v>1225</v>
      </c>
      <c r="U434" s="32" t="s">
        <v>1225</v>
      </c>
      <c r="V434" s="32" t="s">
        <v>1225</v>
      </c>
      <c r="W434" s="32" t="s">
        <v>4217</v>
      </c>
      <c r="X434" s="32" t="s">
        <v>4218</v>
      </c>
      <c r="Y434" s="32" t="s">
        <v>4219</v>
      </c>
      <c r="Z434" s="32" t="s">
        <v>1225</v>
      </c>
      <c r="AA434" s="32" t="s">
        <v>1225</v>
      </c>
      <c r="AB434" s="32" t="s">
        <v>1225</v>
      </c>
      <c r="AC434" s="32" t="s">
        <v>1225</v>
      </c>
      <c r="AD434" s="32" t="s">
        <v>1225</v>
      </c>
      <c r="AE434" s="32" t="s">
        <v>1225</v>
      </c>
      <c r="AF434" s="32" t="s">
        <v>1225</v>
      </c>
      <c r="AG434" s="32" t="s">
        <v>1225</v>
      </c>
      <c r="AH434" s="32" t="s">
        <v>1225</v>
      </c>
      <c r="AI434" s="32" t="s">
        <v>1225</v>
      </c>
      <c r="AJ434" s="32" t="s">
        <v>1225</v>
      </c>
      <c r="AK434" s="32" t="s">
        <v>1225</v>
      </c>
      <c r="AL434" s="32" t="s">
        <v>1225</v>
      </c>
      <c r="AM434" s="32" t="s">
        <v>1225</v>
      </c>
      <c r="AN434" s="32" t="s">
        <v>1225</v>
      </c>
      <c r="AO434" s="32" t="s">
        <v>1225</v>
      </c>
      <c r="AP434" s="32" t="s">
        <v>1225</v>
      </c>
      <c r="AQ434" s="32" t="s">
        <v>1225</v>
      </c>
      <c r="AR434" s="32" t="s">
        <v>1225</v>
      </c>
      <c r="AS434" s="32" t="s">
        <v>1225</v>
      </c>
      <c r="AT434" s="32" t="s">
        <v>1225</v>
      </c>
      <c r="AU434" s="32" t="s">
        <v>1225</v>
      </c>
      <c r="AV434" s="32" t="s">
        <v>1225</v>
      </c>
      <c r="AW434" s="32" t="s">
        <v>1229</v>
      </c>
      <c r="AX434" s="32">
        <v>2018</v>
      </c>
      <c r="AY434" s="32">
        <v>67</v>
      </c>
      <c r="AZ434" s="32">
        <v>11</v>
      </c>
      <c r="BA434" s="32" t="s">
        <v>1225</v>
      </c>
      <c r="BB434" s="32" t="s">
        <v>1225</v>
      </c>
      <c r="BC434" s="32" t="s">
        <v>1225</v>
      </c>
      <c r="BD434" s="32" t="s">
        <v>1225</v>
      </c>
      <c r="BE434" s="32">
        <v>10281</v>
      </c>
      <c r="BF434" s="32">
        <v>10292</v>
      </c>
      <c r="BG434" s="32" t="s">
        <v>1225</v>
      </c>
      <c r="BH434" s="32" t="s">
        <v>4220</v>
      </c>
      <c r="BI434" s="32" t="str">
        <f>HYPERLINK("http://dx.doi.org/10.1109/TVT.2018.2867428","http://dx.doi.org/10.1109/TVT.2018.2867428")</f>
        <v>http://dx.doi.org/10.1109/TVT.2018.2867428</v>
      </c>
      <c r="BJ434" s="32" t="s">
        <v>1225</v>
      </c>
      <c r="BK434" s="32" t="s">
        <v>1225</v>
      </c>
      <c r="BL434" s="32" t="s">
        <v>1225</v>
      </c>
      <c r="BM434" s="32" t="s">
        <v>1225</v>
      </c>
      <c r="BN434" s="32" t="s">
        <v>1225</v>
      </c>
      <c r="BO434" s="32" t="s">
        <v>1225</v>
      </c>
      <c r="BP434" s="32" t="s">
        <v>1225</v>
      </c>
      <c r="BQ434" s="32" t="s">
        <v>1225</v>
      </c>
      <c r="BR434" s="32" t="s">
        <v>1225</v>
      </c>
      <c r="BS434" s="32" t="s">
        <v>1225</v>
      </c>
      <c r="BT434" s="32" t="s">
        <v>1225</v>
      </c>
      <c r="BU434" s="32" t="s">
        <v>1225</v>
      </c>
      <c r="BV434" s="32" t="s">
        <v>1225</v>
      </c>
      <c r="BW434" s="32" t="str">
        <f t="shared" si="12"/>
        <v>View Full Record in Web of Science</v>
      </c>
      <c r="BY434" s="41" t="str">
        <f>IF(Deletion!J434=TRUE,"Yes","No")</f>
        <v>Yes</v>
      </c>
    </row>
    <row r="435" spans="1:77" x14ac:dyDescent="0.15">
      <c r="A435" s="32">
        <f t="shared" si="13"/>
        <v>434</v>
      </c>
      <c r="D435" s="32" t="s">
        <v>1223</v>
      </c>
      <c r="E435" s="32" t="s">
        <v>4221</v>
      </c>
      <c r="F435" s="32" t="s">
        <v>1225</v>
      </c>
      <c r="G435" s="32" t="s">
        <v>1225</v>
      </c>
      <c r="H435" s="32" t="s">
        <v>1225</v>
      </c>
      <c r="I435" s="32" t="s">
        <v>4222</v>
      </c>
      <c r="J435" s="32" t="s">
        <v>1225</v>
      </c>
      <c r="K435" s="32" t="s">
        <v>1225</v>
      </c>
      <c r="L435" s="32" t="s">
        <v>4223</v>
      </c>
      <c r="M435" s="32" t="s">
        <v>2051</v>
      </c>
      <c r="N435" s="32" t="s">
        <v>1225</v>
      </c>
      <c r="O435" s="32" t="s">
        <v>1225</v>
      </c>
      <c r="P435" s="32" t="s">
        <v>1225</v>
      </c>
      <c r="Q435" s="32" t="s">
        <v>1227</v>
      </c>
      <c r="R435" s="32" t="s">
        <v>1225</v>
      </c>
      <c r="S435" s="32" t="s">
        <v>1225</v>
      </c>
      <c r="T435" s="32" t="s">
        <v>1225</v>
      </c>
      <c r="U435" s="32" t="s">
        <v>1225</v>
      </c>
      <c r="V435" s="32" t="s">
        <v>1225</v>
      </c>
      <c r="W435" s="32" t="s">
        <v>4224</v>
      </c>
      <c r="X435" s="32" t="s">
        <v>4225</v>
      </c>
      <c r="Y435" s="32" t="s">
        <v>4226</v>
      </c>
      <c r="Z435" s="32" t="s">
        <v>1225</v>
      </c>
      <c r="AA435" s="32" t="s">
        <v>1225</v>
      </c>
      <c r="AB435" s="32" t="s">
        <v>1225</v>
      </c>
      <c r="AC435" s="32" t="s">
        <v>1225</v>
      </c>
      <c r="AD435" s="32" t="s">
        <v>1225</v>
      </c>
      <c r="AE435" s="32" t="s">
        <v>1225</v>
      </c>
      <c r="AF435" s="32" t="s">
        <v>1225</v>
      </c>
      <c r="AG435" s="32" t="s">
        <v>1225</v>
      </c>
      <c r="AH435" s="32" t="s">
        <v>1225</v>
      </c>
      <c r="AI435" s="32" t="s">
        <v>1225</v>
      </c>
      <c r="AJ435" s="32" t="s">
        <v>1225</v>
      </c>
      <c r="AK435" s="32" t="s">
        <v>1225</v>
      </c>
      <c r="AL435" s="32" t="s">
        <v>1225</v>
      </c>
      <c r="AM435" s="32" t="s">
        <v>1225</v>
      </c>
      <c r="AN435" s="32" t="s">
        <v>1225</v>
      </c>
      <c r="AO435" s="32" t="s">
        <v>1225</v>
      </c>
      <c r="AP435" s="32" t="s">
        <v>1225</v>
      </c>
      <c r="AQ435" s="32" t="s">
        <v>1225</v>
      </c>
      <c r="AR435" s="32" t="s">
        <v>1225</v>
      </c>
      <c r="AS435" s="32" t="s">
        <v>1225</v>
      </c>
      <c r="AT435" s="32" t="s">
        <v>1225</v>
      </c>
      <c r="AU435" s="32" t="s">
        <v>1225</v>
      </c>
      <c r="AV435" s="32" t="s">
        <v>1225</v>
      </c>
      <c r="AW435" s="32" t="s">
        <v>1317</v>
      </c>
      <c r="AX435" s="32">
        <v>2018</v>
      </c>
      <c r="AY435" s="32">
        <v>14</v>
      </c>
      <c r="AZ435" s="32">
        <v>1</v>
      </c>
      <c r="BA435" s="32" t="s">
        <v>1225</v>
      </c>
      <c r="BB435" s="32" t="s">
        <v>1225</v>
      </c>
      <c r="BC435" s="32" t="s">
        <v>1225</v>
      </c>
      <c r="BD435" s="32" t="s">
        <v>1225</v>
      </c>
      <c r="BE435" s="32">
        <v>321</v>
      </c>
      <c r="BF435" s="32">
        <v>331</v>
      </c>
      <c r="BG435" s="32" t="s">
        <v>1225</v>
      </c>
      <c r="BH435" s="32" t="s">
        <v>4227</v>
      </c>
      <c r="BI435" s="32" t="str">
        <f>HYPERLINK("http://dx.doi.org/10.1109/TII.2017.2662711","http://dx.doi.org/10.1109/TII.2017.2662711")</f>
        <v>http://dx.doi.org/10.1109/TII.2017.2662711</v>
      </c>
      <c r="BJ435" s="32" t="s">
        <v>1225</v>
      </c>
      <c r="BK435" s="32" t="s">
        <v>1225</v>
      </c>
      <c r="BL435" s="32" t="s">
        <v>1225</v>
      </c>
      <c r="BM435" s="32" t="s">
        <v>1225</v>
      </c>
      <c r="BN435" s="32" t="s">
        <v>1225</v>
      </c>
      <c r="BO435" s="32" t="s">
        <v>1225</v>
      </c>
      <c r="BP435" s="32" t="s">
        <v>1225</v>
      </c>
      <c r="BQ435" s="32" t="s">
        <v>1225</v>
      </c>
      <c r="BR435" s="32" t="s">
        <v>1225</v>
      </c>
      <c r="BS435" s="32" t="s">
        <v>1225</v>
      </c>
      <c r="BT435" s="32" t="s">
        <v>1225</v>
      </c>
      <c r="BU435" s="32" t="s">
        <v>1225</v>
      </c>
      <c r="BV435" s="32" t="s">
        <v>1225</v>
      </c>
      <c r="BW435" s="32" t="str">
        <f t="shared" si="12"/>
        <v>View Full Record in Web of Science</v>
      </c>
      <c r="BY435" s="41" t="str">
        <f>IF(Deletion!J435=TRUE,"Yes","No")</f>
        <v>Yes</v>
      </c>
    </row>
    <row r="436" spans="1:77" x14ac:dyDescent="0.15">
      <c r="A436" s="32">
        <f t="shared" si="13"/>
        <v>435</v>
      </c>
      <c r="D436" s="32" t="s">
        <v>1223</v>
      </c>
      <c r="E436" s="32" t="s">
        <v>1997</v>
      </c>
      <c r="F436" s="32" t="s">
        <v>1225</v>
      </c>
      <c r="G436" s="32" t="s">
        <v>1225</v>
      </c>
      <c r="H436" s="32" t="s">
        <v>1225</v>
      </c>
      <c r="I436" s="32" t="s">
        <v>1998</v>
      </c>
      <c r="J436" s="32" t="s">
        <v>1225</v>
      </c>
      <c r="K436" s="32" t="s">
        <v>1225</v>
      </c>
      <c r="L436" s="32" t="s">
        <v>4228</v>
      </c>
      <c r="M436" s="32" t="s">
        <v>849</v>
      </c>
      <c r="N436" s="32" t="s">
        <v>1225</v>
      </c>
      <c r="O436" s="32" t="s">
        <v>1225</v>
      </c>
      <c r="P436" s="32" t="s">
        <v>1225</v>
      </c>
      <c r="Q436" s="32" t="s">
        <v>1227</v>
      </c>
      <c r="R436" s="32" t="s">
        <v>1225</v>
      </c>
      <c r="S436" s="32" t="s">
        <v>1225</v>
      </c>
      <c r="T436" s="32" t="s">
        <v>1225</v>
      </c>
      <c r="U436" s="32" t="s">
        <v>1225</v>
      </c>
      <c r="V436" s="32" t="s">
        <v>1225</v>
      </c>
      <c r="W436" s="32" t="s">
        <v>4229</v>
      </c>
      <c r="X436" s="32" t="s">
        <v>1259</v>
      </c>
      <c r="Y436" s="32" t="s">
        <v>4230</v>
      </c>
      <c r="Z436" s="32" t="s">
        <v>1225</v>
      </c>
      <c r="AA436" s="32" t="s">
        <v>1225</v>
      </c>
      <c r="AB436" s="32" t="s">
        <v>1225</v>
      </c>
      <c r="AC436" s="32" t="s">
        <v>1225</v>
      </c>
      <c r="AD436" s="32" t="s">
        <v>1225</v>
      </c>
      <c r="AE436" s="32" t="s">
        <v>1225</v>
      </c>
      <c r="AF436" s="32" t="s">
        <v>1225</v>
      </c>
      <c r="AG436" s="32" t="s">
        <v>1225</v>
      </c>
      <c r="AH436" s="32" t="s">
        <v>1225</v>
      </c>
      <c r="AI436" s="32" t="s">
        <v>1225</v>
      </c>
      <c r="AJ436" s="32" t="s">
        <v>1225</v>
      </c>
      <c r="AK436" s="32" t="s">
        <v>1225</v>
      </c>
      <c r="AL436" s="32" t="s">
        <v>1225</v>
      </c>
      <c r="AM436" s="32" t="s">
        <v>1225</v>
      </c>
      <c r="AN436" s="32" t="s">
        <v>1225</v>
      </c>
      <c r="AO436" s="32" t="s">
        <v>1225</v>
      </c>
      <c r="AP436" s="32" t="s">
        <v>1225</v>
      </c>
      <c r="AQ436" s="32" t="s">
        <v>1225</v>
      </c>
      <c r="AR436" s="32" t="s">
        <v>1225</v>
      </c>
      <c r="AS436" s="32" t="s">
        <v>1225</v>
      </c>
      <c r="AT436" s="32" t="s">
        <v>1225</v>
      </c>
      <c r="AU436" s="32" t="s">
        <v>1225</v>
      </c>
      <c r="AV436" s="32" t="s">
        <v>1225</v>
      </c>
      <c r="AW436" s="32" t="s">
        <v>1317</v>
      </c>
      <c r="AX436" s="32">
        <v>2017</v>
      </c>
      <c r="AY436" s="32">
        <v>32</v>
      </c>
      <c r="AZ436" s="32">
        <v>1</v>
      </c>
      <c r="BA436" s="32" t="s">
        <v>1225</v>
      </c>
      <c r="BB436" s="32" t="s">
        <v>1225</v>
      </c>
      <c r="BC436" s="32" t="s">
        <v>1225</v>
      </c>
      <c r="BD436" s="32" t="s">
        <v>1225</v>
      </c>
      <c r="BE436" s="32">
        <v>784</v>
      </c>
      <c r="BF436" s="32">
        <v>794</v>
      </c>
      <c r="BG436" s="32" t="s">
        <v>1225</v>
      </c>
      <c r="BH436" s="32" t="s">
        <v>4231</v>
      </c>
      <c r="BI436" s="32" t="str">
        <f>HYPERLINK("http://dx.doi.org/10.1109/TPWRS.2016.2561296","http://dx.doi.org/10.1109/TPWRS.2016.2561296")</f>
        <v>http://dx.doi.org/10.1109/TPWRS.2016.2561296</v>
      </c>
      <c r="BJ436" s="32" t="s">
        <v>1225</v>
      </c>
      <c r="BK436" s="32" t="s">
        <v>1225</v>
      </c>
      <c r="BL436" s="32" t="s">
        <v>1225</v>
      </c>
      <c r="BM436" s="32" t="s">
        <v>1225</v>
      </c>
      <c r="BN436" s="32" t="s">
        <v>1225</v>
      </c>
      <c r="BO436" s="32" t="s">
        <v>1225</v>
      </c>
      <c r="BP436" s="32" t="s">
        <v>1225</v>
      </c>
      <c r="BQ436" s="32" t="s">
        <v>1225</v>
      </c>
      <c r="BR436" s="32" t="s">
        <v>1225</v>
      </c>
      <c r="BS436" s="32" t="s">
        <v>1225</v>
      </c>
      <c r="BT436" s="32" t="s">
        <v>1225</v>
      </c>
      <c r="BU436" s="32" t="s">
        <v>1225</v>
      </c>
      <c r="BV436" s="32" t="s">
        <v>1225</v>
      </c>
      <c r="BW436" s="32" t="str">
        <f t="shared" si="12"/>
        <v>View Full Record in Web of Science</v>
      </c>
      <c r="BY436" s="41" t="str">
        <f>IF(Deletion!J436=TRUE,"Yes","No")</f>
        <v>Yes</v>
      </c>
    </row>
    <row r="437" spans="1:77" x14ac:dyDescent="0.15">
      <c r="A437" s="32">
        <f t="shared" si="13"/>
        <v>436</v>
      </c>
      <c r="D437" s="32" t="s">
        <v>1223</v>
      </c>
      <c r="E437" s="32" t="s">
        <v>4232</v>
      </c>
      <c r="F437" s="32" t="s">
        <v>1225</v>
      </c>
      <c r="G437" s="32" t="s">
        <v>1225</v>
      </c>
      <c r="H437" s="32" t="s">
        <v>1225</v>
      </c>
      <c r="I437" s="32" t="s">
        <v>4233</v>
      </c>
      <c r="J437" s="32" t="s">
        <v>1225</v>
      </c>
      <c r="K437" s="32" t="s">
        <v>1225</v>
      </c>
      <c r="L437" s="32" t="s">
        <v>4234</v>
      </c>
      <c r="M437" s="32" t="s">
        <v>1634</v>
      </c>
      <c r="N437" s="32" t="s">
        <v>1225</v>
      </c>
      <c r="O437" s="32" t="s">
        <v>1225</v>
      </c>
      <c r="P437" s="32" t="s">
        <v>1225</v>
      </c>
      <c r="Q437" s="32" t="s">
        <v>1227</v>
      </c>
      <c r="R437" s="32" t="s">
        <v>1225</v>
      </c>
      <c r="S437" s="32" t="s">
        <v>1225</v>
      </c>
      <c r="T437" s="32" t="s">
        <v>1225</v>
      </c>
      <c r="U437" s="32" t="s">
        <v>1225</v>
      </c>
      <c r="V437" s="32" t="s">
        <v>1225</v>
      </c>
      <c r="W437" s="32" t="s">
        <v>4235</v>
      </c>
      <c r="X437" s="32" t="s">
        <v>4236</v>
      </c>
      <c r="Y437" s="32" t="s">
        <v>4237</v>
      </c>
      <c r="Z437" s="32" t="s">
        <v>1225</v>
      </c>
      <c r="AA437" s="32" t="s">
        <v>1225</v>
      </c>
      <c r="AB437" s="32" t="s">
        <v>1225</v>
      </c>
      <c r="AC437" s="32" t="s">
        <v>1225</v>
      </c>
      <c r="AD437" s="32" t="s">
        <v>1225</v>
      </c>
      <c r="AE437" s="32" t="s">
        <v>1225</v>
      </c>
      <c r="AF437" s="32" t="s">
        <v>1225</v>
      </c>
      <c r="AG437" s="32" t="s">
        <v>1225</v>
      </c>
      <c r="AH437" s="32" t="s">
        <v>1225</v>
      </c>
      <c r="AI437" s="32" t="s">
        <v>1225</v>
      </c>
      <c r="AJ437" s="32" t="s">
        <v>1225</v>
      </c>
      <c r="AK437" s="32" t="s">
        <v>1225</v>
      </c>
      <c r="AL437" s="32" t="s">
        <v>1225</v>
      </c>
      <c r="AM437" s="32" t="s">
        <v>1225</v>
      </c>
      <c r="AN437" s="32" t="s">
        <v>1225</v>
      </c>
      <c r="AO437" s="32" t="s">
        <v>1225</v>
      </c>
      <c r="AP437" s="32" t="s">
        <v>1225</v>
      </c>
      <c r="AQ437" s="32" t="s">
        <v>1225</v>
      </c>
      <c r="AR437" s="32" t="s">
        <v>1225</v>
      </c>
      <c r="AS437" s="32" t="s">
        <v>1225</v>
      </c>
      <c r="AT437" s="32" t="s">
        <v>1225</v>
      </c>
      <c r="AU437" s="32" t="s">
        <v>1225</v>
      </c>
      <c r="AV437" s="32" t="s">
        <v>1225</v>
      </c>
      <c r="AW437" s="32" t="s">
        <v>4238</v>
      </c>
      <c r="AX437" s="32">
        <v>2019</v>
      </c>
      <c r="AY437" s="32">
        <v>9</v>
      </c>
      <c r="AZ437" s="32">
        <v>22</v>
      </c>
      <c r="BA437" s="32" t="s">
        <v>1225</v>
      </c>
      <c r="BB437" s="32" t="s">
        <v>1225</v>
      </c>
      <c r="BC437" s="32" t="s">
        <v>1225</v>
      </c>
      <c r="BD437" s="32" t="s">
        <v>1225</v>
      </c>
      <c r="BE437" s="32" t="s">
        <v>1225</v>
      </c>
      <c r="BF437" s="32" t="s">
        <v>1225</v>
      </c>
      <c r="BG437" s="32">
        <v>4872</v>
      </c>
      <c r="BH437" s="32" t="s">
        <v>4239</v>
      </c>
      <c r="BI437" s="32" t="str">
        <f>HYPERLINK("http://dx.doi.org/10.3390/app9224872","http://dx.doi.org/10.3390/app9224872")</f>
        <v>http://dx.doi.org/10.3390/app9224872</v>
      </c>
      <c r="BJ437" s="32" t="s">
        <v>1225</v>
      </c>
      <c r="BK437" s="32" t="s">
        <v>1225</v>
      </c>
      <c r="BL437" s="32" t="s">
        <v>1225</v>
      </c>
      <c r="BM437" s="32" t="s">
        <v>1225</v>
      </c>
      <c r="BN437" s="32" t="s">
        <v>1225</v>
      </c>
      <c r="BO437" s="32" t="s">
        <v>1225</v>
      </c>
      <c r="BP437" s="32" t="s">
        <v>1225</v>
      </c>
      <c r="BQ437" s="32" t="s">
        <v>1225</v>
      </c>
      <c r="BR437" s="32" t="s">
        <v>1225</v>
      </c>
      <c r="BS437" s="32" t="s">
        <v>1225</v>
      </c>
      <c r="BT437" s="32" t="s">
        <v>1225</v>
      </c>
      <c r="BU437" s="32" t="s">
        <v>1225</v>
      </c>
      <c r="BV437" s="32" t="s">
        <v>1225</v>
      </c>
      <c r="BW437" s="32" t="str">
        <f t="shared" si="12"/>
        <v>View Full Record in Web of Science</v>
      </c>
      <c r="BY437" s="41" t="str">
        <f>IF(Deletion!J437=TRUE,"Yes","No")</f>
        <v>Yes</v>
      </c>
    </row>
    <row r="438" spans="1:77" x14ac:dyDescent="0.15">
      <c r="A438" s="32">
        <f t="shared" si="13"/>
        <v>437</v>
      </c>
      <c r="D438" s="32" t="s">
        <v>1223</v>
      </c>
      <c r="E438" s="32" t="s">
        <v>4240</v>
      </c>
      <c r="F438" s="32" t="s">
        <v>1225</v>
      </c>
      <c r="G438" s="32" t="s">
        <v>1225</v>
      </c>
      <c r="H438" s="32" t="s">
        <v>1225</v>
      </c>
      <c r="I438" s="32" t="s">
        <v>4241</v>
      </c>
      <c r="J438" s="32" t="s">
        <v>1225</v>
      </c>
      <c r="K438" s="32" t="s">
        <v>1225</v>
      </c>
      <c r="L438" s="32" t="s">
        <v>4242</v>
      </c>
      <c r="M438" s="32" t="s">
        <v>2164</v>
      </c>
      <c r="N438" s="32" t="s">
        <v>1225</v>
      </c>
      <c r="O438" s="32" t="s">
        <v>1225</v>
      </c>
      <c r="P438" s="32" t="s">
        <v>1225</v>
      </c>
      <c r="Q438" s="32" t="s">
        <v>1227</v>
      </c>
      <c r="R438" s="32" t="s">
        <v>1225</v>
      </c>
      <c r="S438" s="32" t="s">
        <v>1225</v>
      </c>
      <c r="T438" s="32" t="s">
        <v>1225</v>
      </c>
      <c r="U438" s="32" t="s">
        <v>1225</v>
      </c>
      <c r="V438" s="32" t="s">
        <v>1225</v>
      </c>
      <c r="W438" s="32" t="s">
        <v>4243</v>
      </c>
      <c r="X438" s="32" t="s">
        <v>4244</v>
      </c>
      <c r="Y438" s="32" t="s">
        <v>4245</v>
      </c>
      <c r="Z438" s="32" t="s">
        <v>1225</v>
      </c>
      <c r="AA438" s="32" t="s">
        <v>1225</v>
      </c>
      <c r="AB438" s="32" t="s">
        <v>1225</v>
      </c>
      <c r="AC438" s="32" t="s">
        <v>1225</v>
      </c>
      <c r="AD438" s="32" t="s">
        <v>1225</v>
      </c>
      <c r="AE438" s="32" t="s">
        <v>1225</v>
      </c>
      <c r="AF438" s="32" t="s">
        <v>1225</v>
      </c>
      <c r="AG438" s="32" t="s">
        <v>1225</v>
      </c>
      <c r="AH438" s="32" t="s">
        <v>1225</v>
      </c>
      <c r="AI438" s="32" t="s">
        <v>1225</v>
      </c>
      <c r="AJ438" s="32" t="s">
        <v>1225</v>
      </c>
      <c r="AK438" s="32" t="s">
        <v>1225</v>
      </c>
      <c r="AL438" s="32" t="s">
        <v>1225</v>
      </c>
      <c r="AM438" s="32" t="s">
        <v>1225</v>
      </c>
      <c r="AN438" s="32" t="s">
        <v>1225</v>
      </c>
      <c r="AO438" s="32" t="s">
        <v>1225</v>
      </c>
      <c r="AP438" s="32" t="s">
        <v>1225</v>
      </c>
      <c r="AQ438" s="32" t="s">
        <v>1225</v>
      </c>
      <c r="AR438" s="32" t="s">
        <v>1225</v>
      </c>
      <c r="AS438" s="32" t="s">
        <v>1225</v>
      </c>
      <c r="AT438" s="32" t="s">
        <v>1225</v>
      </c>
      <c r="AU438" s="32" t="s">
        <v>1225</v>
      </c>
      <c r="AV438" s="32" t="s">
        <v>1225</v>
      </c>
      <c r="AW438" s="32" t="s">
        <v>1404</v>
      </c>
      <c r="AX438" s="32">
        <v>2022</v>
      </c>
      <c r="AY438" s="32">
        <v>9</v>
      </c>
      <c r="AZ438" s="32">
        <v>1</v>
      </c>
      <c r="BA438" s="32" t="s">
        <v>1225</v>
      </c>
      <c r="BB438" s="32" t="s">
        <v>1225</v>
      </c>
      <c r="BC438" s="32" t="s">
        <v>1225</v>
      </c>
      <c r="BD438" s="32" t="s">
        <v>1225</v>
      </c>
      <c r="BE438" s="32">
        <v>684</v>
      </c>
      <c r="BF438" s="32">
        <v>694</v>
      </c>
      <c r="BG438" s="32" t="s">
        <v>1225</v>
      </c>
      <c r="BH438" s="32" t="s">
        <v>4246</v>
      </c>
      <c r="BI438" s="32" t="str">
        <f>HYPERLINK("http://dx.doi.org/10.1109/JIOT.2021.3084923","http://dx.doi.org/10.1109/JIOT.2021.3084923")</f>
        <v>http://dx.doi.org/10.1109/JIOT.2021.3084923</v>
      </c>
      <c r="BJ438" s="32" t="s">
        <v>1225</v>
      </c>
      <c r="BK438" s="32" t="s">
        <v>1225</v>
      </c>
      <c r="BL438" s="32" t="s">
        <v>1225</v>
      </c>
      <c r="BM438" s="32" t="s">
        <v>1225</v>
      </c>
      <c r="BN438" s="32" t="s">
        <v>1225</v>
      </c>
      <c r="BO438" s="32" t="s">
        <v>1225</v>
      </c>
      <c r="BP438" s="32" t="s">
        <v>1225</v>
      </c>
      <c r="BQ438" s="32" t="s">
        <v>1225</v>
      </c>
      <c r="BR438" s="32" t="s">
        <v>1225</v>
      </c>
      <c r="BS438" s="32" t="s">
        <v>1225</v>
      </c>
      <c r="BT438" s="32" t="s">
        <v>1225</v>
      </c>
      <c r="BU438" s="32" t="s">
        <v>1225</v>
      </c>
      <c r="BV438" s="32" t="s">
        <v>1225</v>
      </c>
      <c r="BW438" s="32" t="str">
        <f t="shared" si="12"/>
        <v>View Full Record in Web of Science</v>
      </c>
      <c r="BY438" s="41" t="str">
        <f>IF(Deletion!J438=TRUE,"Yes","No")</f>
        <v>Yes</v>
      </c>
    </row>
    <row r="439" spans="1:77" x14ac:dyDescent="0.15">
      <c r="A439" s="32">
        <f t="shared" si="13"/>
        <v>438</v>
      </c>
      <c r="D439" s="32" t="s">
        <v>1223</v>
      </c>
      <c r="E439" s="32" t="s">
        <v>4247</v>
      </c>
      <c r="F439" s="32" t="s">
        <v>1225</v>
      </c>
      <c r="G439" s="32" t="s">
        <v>1225</v>
      </c>
      <c r="H439" s="32" t="s">
        <v>1225</v>
      </c>
      <c r="I439" s="32" t="s">
        <v>4248</v>
      </c>
      <c r="J439" s="32" t="s">
        <v>1225</v>
      </c>
      <c r="K439" s="32" t="s">
        <v>1225</v>
      </c>
      <c r="L439" s="32" t="s">
        <v>4249</v>
      </c>
      <c r="M439" s="32" t="s">
        <v>849</v>
      </c>
      <c r="N439" s="32" t="s">
        <v>1225</v>
      </c>
      <c r="O439" s="32" t="s">
        <v>1225</v>
      </c>
      <c r="P439" s="32" t="s">
        <v>1225</v>
      </c>
      <c r="Q439" s="32" t="s">
        <v>1227</v>
      </c>
      <c r="R439" s="32" t="s">
        <v>1225</v>
      </c>
      <c r="S439" s="32" t="s">
        <v>1225</v>
      </c>
      <c r="T439" s="32" t="s">
        <v>1225</v>
      </c>
      <c r="U439" s="32" t="s">
        <v>1225</v>
      </c>
      <c r="V439" s="32" t="s">
        <v>1225</v>
      </c>
      <c r="W439" s="32" t="s">
        <v>4250</v>
      </c>
      <c r="X439" s="32" t="s">
        <v>4251</v>
      </c>
      <c r="Y439" s="32" t="s">
        <v>4252</v>
      </c>
      <c r="Z439" s="32" t="s">
        <v>1225</v>
      </c>
      <c r="AA439" s="32" t="s">
        <v>1225</v>
      </c>
      <c r="AB439" s="32" t="s">
        <v>1225</v>
      </c>
      <c r="AC439" s="32" t="s">
        <v>1225</v>
      </c>
      <c r="AD439" s="32" t="s">
        <v>1225</v>
      </c>
      <c r="AE439" s="32" t="s">
        <v>1225</v>
      </c>
      <c r="AF439" s="32" t="s">
        <v>1225</v>
      </c>
      <c r="AG439" s="32" t="s">
        <v>1225</v>
      </c>
      <c r="AH439" s="32" t="s">
        <v>1225</v>
      </c>
      <c r="AI439" s="32" t="s">
        <v>1225</v>
      </c>
      <c r="AJ439" s="32" t="s">
        <v>1225</v>
      </c>
      <c r="AK439" s="32" t="s">
        <v>1225</v>
      </c>
      <c r="AL439" s="32" t="s">
        <v>1225</v>
      </c>
      <c r="AM439" s="32" t="s">
        <v>1225</v>
      </c>
      <c r="AN439" s="32" t="s">
        <v>1225</v>
      </c>
      <c r="AO439" s="32" t="s">
        <v>1225</v>
      </c>
      <c r="AP439" s="32" t="s">
        <v>1225</v>
      </c>
      <c r="AQ439" s="32" t="s">
        <v>1225</v>
      </c>
      <c r="AR439" s="32" t="s">
        <v>1225</v>
      </c>
      <c r="AS439" s="32" t="s">
        <v>1225</v>
      </c>
      <c r="AT439" s="32" t="s">
        <v>1225</v>
      </c>
      <c r="AU439" s="32" t="s">
        <v>1225</v>
      </c>
      <c r="AV439" s="32" t="s">
        <v>1225</v>
      </c>
      <c r="AW439" s="32" t="s">
        <v>1229</v>
      </c>
      <c r="AX439" s="32">
        <v>2016</v>
      </c>
      <c r="AY439" s="32">
        <v>31</v>
      </c>
      <c r="AZ439" s="32">
        <v>6</v>
      </c>
      <c r="BA439" s="32" t="s">
        <v>1225</v>
      </c>
      <c r="BB439" s="32" t="s">
        <v>1225</v>
      </c>
      <c r="BC439" s="32" t="s">
        <v>1225</v>
      </c>
      <c r="BD439" s="32" t="s">
        <v>1225</v>
      </c>
      <c r="BE439" s="32">
        <v>4638</v>
      </c>
      <c r="BF439" s="32">
        <v>4649</v>
      </c>
      <c r="BG439" s="32" t="s">
        <v>1225</v>
      </c>
      <c r="BH439" s="32" t="s">
        <v>4253</v>
      </c>
      <c r="BI439" s="32" t="str">
        <f>HYPERLINK("http://dx.doi.org/10.1109/TPWRS.2016.2518743","http://dx.doi.org/10.1109/TPWRS.2016.2518743")</f>
        <v>http://dx.doi.org/10.1109/TPWRS.2016.2518743</v>
      </c>
      <c r="BJ439" s="32" t="s">
        <v>1225</v>
      </c>
      <c r="BK439" s="32" t="s">
        <v>1225</v>
      </c>
      <c r="BL439" s="32" t="s">
        <v>1225</v>
      </c>
      <c r="BM439" s="32" t="s">
        <v>1225</v>
      </c>
      <c r="BN439" s="32" t="s">
        <v>1225</v>
      </c>
      <c r="BO439" s="32" t="s">
        <v>1225</v>
      </c>
      <c r="BP439" s="32" t="s">
        <v>1225</v>
      </c>
      <c r="BQ439" s="32" t="s">
        <v>1225</v>
      </c>
      <c r="BR439" s="32" t="s">
        <v>1225</v>
      </c>
      <c r="BS439" s="32" t="s">
        <v>1225</v>
      </c>
      <c r="BT439" s="32" t="s">
        <v>1225</v>
      </c>
      <c r="BU439" s="32" t="s">
        <v>1225</v>
      </c>
      <c r="BV439" s="32" t="s">
        <v>1225</v>
      </c>
      <c r="BW439" s="32" t="str">
        <f t="shared" si="12"/>
        <v>View Full Record in Web of Science</v>
      </c>
      <c r="BY439" s="41" t="str">
        <f>IF(Deletion!J439=TRUE,"Yes","No")</f>
        <v>Yes</v>
      </c>
    </row>
    <row r="440" spans="1:77" x14ac:dyDescent="0.15">
      <c r="A440" s="32">
        <f t="shared" si="13"/>
        <v>439</v>
      </c>
      <c r="D440" s="32" t="s">
        <v>1223</v>
      </c>
      <c r="E440" s="32" t="s">
        <v>4254</v>
      </c>
      <c r="F440" s="32" t="s">
        <v>1225</v>
      </c>
      <c r="G440" s="32" t="s">
        <v>1225</v>
      </c>
      <c r="H440" s="32" t="s">
        <v>1225</v>
      </c>
      <c r="I440" s="32" t="s">
        <v>4255</v>
      </c>
      <c r="J440" s="32" t="s">
        <v>1225</v>
      </c>
      <c r="K440" s="32" t="s">
        <v>1225</v>
      </c>
      <c r="L440" s="32" t="s">
        <v>4256</v>
      </c>
      <c r="M440" s="32" t="s">
        <v>4099</v>
      </c>
      <c r="N440" s="32" t="s">
        <v>1225</v>
      </c>
      <c r="O440" s="32" t="s">
        <v>1225</v>
      </c>
      <c r="P440" s="32" t="s">
        <v>1225</v>
      </c>
      <c r="Q440" s="32" t="s">
        <v>1227</v>
      </c>
      <c r="R440" s="32" t="s">
        <v>1225</v>
      </c>
      <c r="S440" s="32" t="s">
        <v>1225</v>
      </c>
      <c r="T440" s="32" t="s">
        <v>1225</v>
      </c>
      <c r="U440" s="32" t="s">
        <v>1225</v>
      </c>
      <c r="V440" s="32" t="s">
        <v>1225</v>
      </c>
      <c r="W440" s="32" t="s">
        <v>4257</v>
      </c>
      <c r="X440" s="32" t="s">
        <v>4258</v>
      </c>
      <c r="Y440" s="32" t="s">
        <v>4259</v>
      </c>
      <c r="Z440" s="32" t="s">
        <v>1225</v>
      </c>
      <c r="AA440" s="32" t="s">
        <v>1225</v>
      </c>
      <c r="AB440" s="32" t="s">
        <v>1225</v>
      </c>
      <c r="AC440" s="32" t="s">
        <v>1225</v>
      </c>
      <c r="AD440" s="32" t="s">
        <v>1225</v>
      </c>
      <c r="AE440" s="32" t="s">
        <v>1225</v>
      </c>
      <c r="AF440" s="32" t="s">
        <v>1225</v>
      </c>
      <c r="AG440" s="32" t="s">
        <v>1225</v>
      </c>
      <c r="AH440" s="32" t="s">
        <v>1225</v>
      </c>
      <c r="AI440" s="32" t="s">
        <v>1225</v>
      </c>
      <c r="AJ440" s="32" t="s">
        <v>1225</v>
      </c>
      <c r="AK440" s="32" t="s">
        <v>1225</v>
      </c>
      <c r="AL440" s="32" t="s">
        <v>1225</v>
      </c>
      <c r="AM440" s="32" t="s">
        <v>1225</v>
      </c>
      <c r="AN440" s="32" t="s">
        <v>1225</v>
      </c>
      <c r="AO440" s="32" t="s">
        <v>1225</v>
      </c>
      <c r="AP440" s="32" t="s">
        <v>1225</v>
      </c>
      <c r="AQ440" s="32" t="s">
        <v>1225</v>
      </c>
      <c r="AR440" s="32" t="s">
        <v>1225</v>
      </c>
      <c r="AS440" s="32" t="s">
        <v>1225</v>
      </c>
      <c r="AT440" s="32" t="s">
        <v>1225</v>
      </c>
      <c r="AU440" s="32" t="s">
        <v>1225</v>
      </c>
      <c r="AV440" s="32" t="s">
        <v>1225</v>
      </c>
      <c r="AW440" s="32" t="s">
        <v>4260</v>
      </c>
      <c r="AX440" s="32">
        <v>2018</v>
      </c>
      <c r="AY440" s="32">
        <v>46</v>
      </c>
      <c r="AZ440" s="32">
        <v>13</v>
      </c>
      <c r="BA440" s="32" t="s">
        <v>1225</v>
      </c>
      <c r="BB440" s="32" t="s">
        <v>1225</v>
      </c>
      <c r="BC440" s="32" t="s">
        <v>1225</v>
      </c>
      <c r="BD440" s="32" t="s">
        <v>1225</v>
      </c>
      <c r="BE440" s="32">
        <v>1494</v>
      </c>
      <c r="BF440" s="32">
        <v>1508</v>
      </c>
      <c r="BG440" s="32" t="s">
        <v>1225</v>
      </c>
      <c r="BH440" s="32" t="s">
        <v>4261</v>
      </c>
      <c r="BI440" s="32" t="str">
        <f>HYPERLINK("http://dx.doi.org/10.1080/15325008.2018.1489435","http://dx.doi.org/10.1080/15325008.2018.1489435")</f>
        <v>http://dx.doi.org/10.1080/15325008.2018.1489435</v>
      </c>
      <c r="BJ440" s="32" t="s">
        <v>1225</v>
      </c>
      <c r="BK440" s="32" t="s">
        <v>1225</v>
      </c>
      <c r="BL440" s="32" t="s">
        <v>1225</v>
      </c>
      <c r="BM440" s="32" t="s">
        <v>1225</v>
      </c>
      <c r="BN440" s="32" t="s">
        <v>1225</v>
      </c>
      <c r="BO440" s="32" t="s">
        <v>1225</v>
      </c>
      <c r="BP440" s="32" t="s">
        <v>1225</v>
      </c>
      <c r="BQ440" s="32" t="s">
        <v>1225</v>
      </c>
      <c r="BR440" s="32" t="s">
        <v>1225</v>
      </c>
      <c r="BS440" s="32" t="s">
        <v>1225</v>
      </c>
      <c r="BT440" s="32" t="s">
        <v>1225</v>
      </c>
      <c r="BU440" s="32" t="s">
        <v>1225</v>
      </c>
      <c r="BV440" s="32" t="s">
        <v>1225</v>
      </c>
      <c r="BW440" s="32" t="str">
        <f t="shared" si="12"/>
        <v>View Full Record in Web of Science</v>
      </c>
      <c r="BY440" s="41" t="str">
        <f>IF(Deletion!J440=TRUE,"Yes","No")</f>
        <v>Yes</v>
      </c>
    </row>
    <row r="441" spans="1:77" x14ac:dyDescent="0.15">
      <c r="A441" s="34">
        <f t="shared" si="13"/>
        <v>440</v>
      </c>
      <c r="B441" s="34" t="s">
        <v>4</v>
      </c>
      <c r="C441" s="34" t="s">
        <v>4</v>
      </c>
      <c r="D441" s="34" t="s">
        <v>1223</v>
      </c>
      <c r="E441" s="34" t="s">
        <v>4262</v>
      </c>
      <c r="F441" s="32" t="s">
        <v>1225</v>
      </c>
      <c r="G441" s="32" t="s">
        <v>1225</v>
      </c>
      <c r="H441" s="32" t="s">
        <v>1225</v>
      </c>
      <c r="I441" s="34" t="s">
        <v>4263</v>
      </c>
      <c r="J441" s="32" t="s">
        <v>1225</v>
      </c>
      <c r="K441" s="32" t="s">
        <v>1225</v>
      </c>
      <c r="L441" s="34" t="s">
        <v>4264</v>
      </c>
      <c r="M441" s="34" t="s">
        <v>4265</v>
      </c>
      <c r="N441" s="32" t="s">
        <v>1225</v>
      </c>
      <c r="O441" s="32" t="s">
        <v>1225</v>
      </c>
      <c r="P441" s="32" t="s">
        <v>1225</v>
      </c>
      <c r="Q441" s="34" t="s">
        <v>1227</v>
      </c>
      <c r="R441" s="32" t="s">
        <v>1225</v>
      </c>
      <c r="S441" s="32" t="s">
        <v>1225</v>
      </c>
      <c r="T441" s="32" t="s">
        <v>1225</v>
      </c>
      <c r="U441" s="32" t="s">
        <v>1225</v>
      </c>
      <c r="V441" s="32" t="s">
        <v>1225</v>
      </c>
      <c r="W441" s="34" t="s">
        <v>4266</v>
      </c>
      <c r="X441" s="34" t="s">
        <v>4267</v>
      </c>
      <c r="Y441" s="34" t="s">
        <v>4268</v>
      </c>
      <c r="Z441" s="32" t="s">
        <v>1225</v>
      </c>
      <c r="AA441" s="32" t="s">
        <v>1225</v>
      </c>
      <c r="AB441" s="32" t="s">
        <v>1225</v>
      </c>
      <c r="AC441" s="32" t="s">
        <v>1225</v>
      </c>
      <c r="AD441" s="32" t="s">
        <v>1225</v>
      </c>
      <c r="AE441" s="32" t="s">
        <v>1225</v>
      </c>
      <c r="AF441" s="32" t="s">
        <v>1225</v>
      </c>
      <c r="AG441" s="32" t="s">
        <v>1225</v>
      </c>
      <c r="AH441" s="32" t="s">
        <v>1225</v>
      </c>
      <c r="AI441" s="32" t="s">
        <v>1225</v>
      </c>
      <c r="AJ441" s="32" t="s">
        <v>1225</v>
      </c>
      <c r="AK441" s="32" t="s">
        <v>1225</v>
      </c>
      <c r="AL441" s="32" t="s">
        <v>1225</v>
      </c>
      <c r="AM441" s="32" t="s">
        <v>1225</v>
      </c>
      <c r="AN441" s="32" t="s">
        <v>1225</v>
      </c>
      <c r="AO441" s="32" t="s">
        <v>1225</v>
      </c>
      <c r="AP441" s="32" t="s">
        <v>1225</v>
      </c>
      <c r="AQ441" s="32" t="s">
        <v>1225</v>
      </c>
      <c r="AR441" s="32" t="s">
        <v>1225</v>
      </c>
      <c r="AS441" s="32" t="s">
        <v>1225</v>
      </c>
      <c r="AT441" s="32" t="s">
        <v>1225</v>
      </c>
      <c r="AU441" s="32" t="s">
        <v>1225</v>
      </c>
      <c r="AV441" s="32" t="s">
        <v>1225</v>
      </c>
      <c r="AW441" s="34" t="s">
        <v>4269</v>
      </c>
      <c r="AX441" s="34">
        <v>2017</v>
      </c>
      <c r="AY441" s="32">
        <v>42</v>
      </c>
      <c r="AZ441" s="32">
        <v>12</v>
      </c>
      <c r="BA441" s="32" t="s">
        <v>1225</v>
      </c>
      <c r="BB441" s="32" t="s">
        <v>1225</v>
      </c>
      <c r="BC441" s="32" t="s">
        <v>1225</v>
      </c>
      <c r="BD441" s="32" t="s">
        <v>1225</v>
      </c>
      <c r="BE441" s="32">
        <v>8242</v>
      </c>
      <c r="BF441" s="32">
        <v>8254</v>
      </c>
      <c r="BG441" s="32" t="s">
        <v>1225</v>
      </c>
      <c r="BH441" s="34" t="s">
        <v>4270</v>
      </c>
      <c r="BI441" s="34" t="str">
        <f>HYPERLINK("http://dx.doi.org/10.1016/j.ijhydene.2017.01.208","http://dx.doi.org/10.1016/j.ijhydene.2017.01.208")</f>
        <v>http://dx.doi.org/10.1016/j.ijhydene.2017.01.208</v>
      </c>
      <c r="BJ441" s="32" t="s">
        <v>1225</v>
      </c>
      <c r="BK441" s="32" t="s">
        <v>1225</v>
      </c>
      <c r="BL441" s="32" t="s">
        <v>1225</v>
      </c>
      <c r="BM441" s="32" t="s">
        <v>1225</v>
      </c>
      <c r="BN441" s="32" t="s">
        <v>1225</v>
      </c>
      <c r="BO441" s="32" t="s">
        <v>1225</v>
      </c>
      <c r="BP441" s="32" t="s">
        <v>1225</v>
      </c>
      <c r="BQ441" s="32" t="s">
        <v>1225</v>
      </c>
      <c r="BR441" s="32" t="s">
        <v>1225</v>
      </c>
      <c r="BS441" s="32" t="s">
        <v>1225</v>
      </c>
      <c r="BT441" s="32" t="s">
        <v>1225</v>
      </c>
      <c r="BU441" s="32" t="s">
        <v>1225</v>
      </c>
      <c r="BV441" s="32" t="s">
        <v>1225</v>
      </c>
      <c r="BW441" s="32" t="str">
        <f t="shared" si="12"/>
        <v>View Full Record in Web of Science</v>
      </c>
      <c r="BY441" s="41" t="str">
        <f>IF(Deletion!J441=TRUE,"Yes","No")</f>
        <v>No</v>
      </c>
    </row>
    <row r="442" spans="1:77" x14ac:dyDescent="0.15">
      <c r="A442" s="32">
        <f t="shared" si="13"/>
        <v>441</v>
      </c>
      <c r="D442" s="32" t="s">
        <v>1223</v>
      </c>
      <c r="E442" s="32" t="s">
        <v>4271</v>
      </c>
      <c r="F442" s="32" t="s">
        <v>1225</v>
      </c>
      <c r="G442" s="32" t="s">
        <v>1225</v>
      </c>
      <c r="H442" s="32" t="s">
        <v>1225</v>
      </c>
      <c r="I442" s="32" t="s">
        <v>4272</v>
      </c>
      <c r="J442" s="32" t="s">
        <v>1225</v>
      </c>
      <c r="K442" s="32" t="s">
        <v>1225</v>
      </c>
      <c r="L442" s="32" t="s">
        <v>4273</v>
      </c>
      <c r="M442" s="32" t="s">
        <v>2051</v>
      </c>
      <c r="N442" s="32" t="s">
        <v>1225</v>
      </c>
      <c r="O442" s="32" t="s">
        <v>1225</v>
      </c>
      <c r="P442" s="32" t="s">
        <v>1225</v>
      </c>
      <c r="Q442" s="32" t="s">
        <v>1227</v>
      </c>
      <c r="R442" s="32" t="s">
        <v>1225</v>
      </c>
      <c r="S442" s="32" t="s">
        <v>1225</v>
      </c>
      <c r="T442" s="32" t="s">
        <v>1225</v>
      </c>
      <c r="U442" s="32" t="s">
        <v>1225</v>
      </c>
      <c r="V442" s="32" t="s">
        <v>1225</v>
      </c>
      <c r="W442" s="32" t="s">
        <v>4274</v>
      </c>
      <c r="X442" s="32" t="s">
        <v>1518</v>
      </c>
      <c r="Y442" s="32" t="s">
        <v>4275</v>
      </c>
      <c r="Z442" s="32" t="s">
        <v>1225</v>
      </c>
      <c r="AA442" s="32" t="s">
        <v>1225</v>
      </c>
      <c r="AB442" s="32" t="s">
        <v>1225</v>
      </c>
      <c r="AC442" s="32" t="s">
        <v>1225</v>
      </c>
      <c r="AD442" s="32" t="s">
        <v>1225</v>
      </c>
      <c r="AE442" s="32" t="s">
        <v>1225</v>
      </c>
      <c r="AF442" s="32" t="s">
        <v>1225</v>
      </c>
      <c r="AG442" s="32" t="s">
        <v>1225</v>
      </c>
      <c r="AH442" s="32" t="s">
        <v>1225</v>
      </c>
      <c r="AI442" s="32" t="s">
        <v>1225</v>
      </c>
      <c r="AJ442" s="32" t="s">
        <v>1225</v>
      </c>
      <c r="AK442" s="32" t="s">
        <v>1225</v>
      </c>
      <c r="AL442" s="32" t="s">
        <v>1225</v>
      </c>
      <c r="AM442" s="32" t="s">
        <v>1225</v>
      </c>
      <c r="AN442" s="32" t="s">
        <v>1225</v>
      </c>
      <c r="AO442" s="32" t="s">
        <v>1225</v>
      </c>
      <c r="AP442" s="32" t="s">
        <v>1225</v>
      </c>
      <c r="AQ442" s="32" t="s">
        <v>1225</v>
      </c>
      <c r="AR442" s="32" t="s">
        <v>1225</v>
      </c>
      <c r="AS442" s="32" t="s">
        <v>1225</v>
      </c>
      <c r="AT442" s="32" t="s">
        <v>1225</v>
      </c>
      <c r="AU442" s="32" t="s">
        <v>1225</v>
      </c>
      <c r="AV442" s="32" t="s">
        <v>1225</v>
      </c>
      <c r="AW442" s="32" t="s">
        <v>1276</v>
      </c>
      <c r="AX442" s="32">
        <v>2021</v>
      </c>
      <c r="AY442" s="32">
        <v>17</v>
      </c>
      <c r="AZ442" s="32">
        <v>10</v>
      </c>
      <c r="BA442" s="32" t="s">
        <v>1225</v>
      </c>
      <c r="BB442" s="32" t="s">
        <v>1225</v>
      </c>
      <c r="BC442" s="32" t="s">
        <v>1225</v>
      </c>
      <c r="BD442" s="32" t="s">
        <v>1225</v>
      </c>
      <c r="BE442" s="32">
        <v>6994</v>
      </c>
      <c r="BF442" s="32">
        <v>7004</v>
      </c>
      <c r="BG442" s="32" t="s">
        <v>1225</v>
      </c>
      <c r="BH442" s="32" t="s">
        <v>4276</v>
      </c>
      <c r="BI442" s="32" t="str">
        <f>HYPERLINK("http://dx.doi.org/10.1109/TII.2021.3054417","http://dx.doi.org/10.1109/TII.2021.3054417")</f>
        <v>http://dx.doi.org/10.1109/TII.2021.3054417</v>
      </c>
      <c r="BJ442" s="32" t="s">
        <v>1225</v>
      </c>
      <c r="BK442" s="32" t="s">
        <v>1225</v>
      </c>
      <c r="BL442" s="32" t="s">
        <v>1225</v>
      </c>
      <c r="BM442" s="32" t="s">
        <v>1225</v>
      </c>
      <c r="BN442" s="32" t="s">
        <v>1225</v>
      </c>
      <c r="BO442" s="32" t="s">
        <v>1225</v>
      </c>
      <c r="BP442" s="32" t="s">
        <v>1225</v>
      </c>
      <c r="BQ442" s="32" t="s">
        <v>1225</v>
      </c>
      <c r="BR442" s="32" t="s">
        <v>1225</v>
      </c>
      <c r="BS442" s="32" t="s">
        <v>1225</v>
      </c>
      <c r="BT442" s="32" t="s">
        <v>1225</v>
      </c>
      <c r="BU442" s="32" t="s">
        <v>1225</v>
      </c>
      <c r="BV442" s="32" t="s">
        <v>1225</v>
      </c>
      <c r="BW442" s="32" t="str">
        <f t="shared" si="12"/>
        <v>View Full Record in Web of Science</v>
      </c>
      <c r="BY442" s="41" t="str">
        <f>IF(Deletion!J442=TRUE,"Yes","No")</f>
        <v>Yes</v>
      </c>
    </row>
    <row r="443" spans="1:77" x14ac:dyDescent="0.15">
      <c r="A443" s="32">
        <f t="shared" si="13"/>
        <v>442</v>
      </c>
      <c r="D443" s="32" t="s">
        <v>1223</v>
      </c>
      <c r="E443" s="32" t="s">
        <v>4277</v>
      </c>
      <c r="F443" s="32" t="s">
        <v>1225</v>
      </c>
      <c r="G443" s="32" t="s">
        <v>1225</v>
      </c>
      <c r="H443" s="32" t="s">
        <v>1225</v>
      </c>
      <c r="I443" s="32" t="s">
        <v>4278</v>
      </c>
      <c r="J443" s="32" t="s">
        <v>1225</v>
      </c>
      <c r="K443" s="32" t="s">
        <v>1225</v>
      </c>
      <c r="L443" s="32" t="s">
        <v>4279</v>
      </c>
      <c r="M443" s="32" t="s">
        <v>1322</v>
      </c>
      <c r="N443" s="32" t="s">
        <v>1225</v>
      </c>
      <c r="O443" s="32" t="s">
        <v>1225</v>
      </c>
      <c r="P443" s="32" t="s">
        <v>1225</v>
      </c>
      <c r="Q443" s="32" t="s">
        <v>1227</v>
      </c>
      <c r="R443" s="32" t="s">
        <v>1225</v>
      </c>
      <c r="S443" s="32" t="s">
        <v>1225</v>
      </c>
      <c r="T443" s="32" t="s">
        <v>1225</v>
      </c>
      <c r="U443" s="32" t="s">
        <v>1225</v>
      </c>
      <c r="V443" s="32" t="s">
        <v>1225</v>
      </c>
      <c r="W443" s="32" t="s">
        <v>4280</v>
      </c>
      <c r="X443" s="32" t="s">
        <v>1225</v>
      </c>
      <c r="Y443" s="32" t="s">
        <v>4281</v>
      </c>
      <c r="Z443" s="32" t="s">
        <v>1225</v>
      </c>
      <c r="AA443" s="32" t="s">
        <v>1225</v>
      </c>
      <c r="AB443" s="32" t="s">
        <v>1225</v>
      </c>
      <c r="AC443" s="32" t="s">
        <v>1225</v>
      </c>
      <c r="AD443" s="32" t="s">
        <v>1225</v>
      </c>
      <c r="AE443" s="32" t="s">
        <v>1225</v>
      </c>
      <c r="AF443" s="32" t="s">
        <v>1225</v>
      </c>
      <c r="AG443" s="32" t="s">
        <v>1225</v>
      </c>
      <c r="AH443" s="32" t="s">
        <v>1225</v>
      </c>
      <c r="AI443" s="32" t="s">
        <v>1225</v>
      </c>
      <c r="AJ443" s="32" t="s">
        <v>1225</v>
      </c>
      <c r="AK443" s="32" t="s">
        <v>1225</v>
      </c>
      <c r="AL443" s="32" t="s">
        <v>1225</v>
      </c>
      <c r="AM443" s="32" t="s">
        <v>1225</v>
      </c>
      <c r="AN443" s="32" t="s">
        <v>1225</v>
      </c>
      <c r="AO443" s="32" t="s">
        <v>1225</v>
      </c>
      <c r="AP443" s="32" t="s">
        <v>1225</v>
      </c>
      <c r="AQ443" s="32" t="s">
        <v>1225</v>
      </c>
      <c r="AR443" s="32" t="s">
        <v>1225</v>
      </c>
      <c r="AS443" s="32" t="s">
        <v>1225</v>
      </c>
      <c r="AT443" s="32" t="s">
        <v>1225</v>
      </c>
      <c r="AU443" s="32" t="s">
        <v>1225</v>
      </c>
      <c r="AV443" s="32" t="s">
        <v>1225</v>
      </c>
      <c r="AW443" s="32" t="s">
        <v>1317</v>
      </c>
      <c r="AX443" s="32">
        <v>2021</v>
      </c>
      <c r="AY443" s="32">
        <v>9</v>
      </c>
      <c r="AZ443" s="32">
        <v>1</v>
      </c>
      <c r="BA443" s="32" t="s">
        <v>1225</v>
      </c>
      <c r="BB443" s="32" t="s">
        <v>1225</v>
      </c>
      <c r="BC443" s="32" t="s">
        <v>1225</v>
      </c>
      <c r="BD443" s="32" t="s">
        <v>1225</v>
      </c>
      <c r="BE443" s="32">
        <v>104</v>
      </c>
      <c r="BF443" s="32">
        <v>113</v>
      </c>
      <c r="BG443" s="32" t="s">
        <v>1225</v>
      </c>
      <c r="BH443" s="32" t="s">
        <v>4282</v>
      </c>
      <c r="BI443" s="32" t="str">
        <f>HYPERLINK("http://dx.doi.org/10.35833/MPCE.2019.000139","http://dx.doi.org/10.35833/MPCE.2019.000139")</f>
        <v>http://dx.doi.org/10.35833/MPCE.2019.000139</v>
      </c>
      <c r="BJ443" s="32" t="s">
        <v>1225</v>
      </c>
      <c r="BK443" s="32" t="s">
        <v>1225</v>
      </c>
      <c r="BL443" s="32" t="s">
        <v>1225</v>
      </c>
      <c r="BM443" s="32" t="s">
        <v>1225</v>
      </c>
      <c r="BN443" s="32" t="s">
        <v>1225</v>
      </c>
      <c r="BO443" s="32" t="s">
        <v>1225</v>
      </c>
      <c r="BP443" s="32" t="s">
        <v>1225</v>
      </c>
      <c r="BQ443" s="32" t="s">
        <v>1225</v>
      </c>
      <c r="BR443" s="32" t="s">
        <v>1225</v>
      </c>
      <c r="BS443" s="32" t="s">
        <v>1225</v>
      </c>
      <c r="BT443" s="32" t="s">
        <v>1225</v>
      </c>
      <c r="BU443" s="32" t="s">
        <v>1225</v>
      </c>
      <c r="BV443" s="32" t="s">
        <v>1225</v>
      </c>
      <c r="BW443" s="32" t="str">
        <f t="shared" si="12"/>
        <v>View Full Record in Web of Science</v>
      </c>
      <c r="BY443" s="41" t="str">
        <f>IF(Deletion!J443=TRUE,"Yes","No")</f>
        <v>Yes</v>
      </c>
    </row>
    <row r="444" spans="1:77" x14ac:dyDescent="0.15">
      <c r="A444" s="32">
        <f t="shared" si="13"/>
        <v>443</v>
      </c>
      <c r="D444" s="32" t="s">
        <v>1223</v>
      </c>
      <c r="E444" s="32" t="s">
        <v>4283</v>
      </c>
      <c r="F444" s="32" t="s">
        <v>1225</v>
      </c>
      <c r="G444" s="32" t="s">
        <v>1225</v>
      </c>
      <c r="H444" s="32" t="s">
        <v>1225</v>
      </c>
      <c r="I444" s="32" t="s">
        <v>4284</v>
      </c>
      <c r="J444" s="32" t="s">
        <v>1225</v>
      </c>
      <c r="K444" s="32" t="s">
        <v>1225</v>
      </c>
      <c r="L444" s="32" t="s">
        <v>4285</v>
      </c>
      <c r="M444" s="32" t="s">
        <v>422</v>
      </c>
      <c r="N444" s="32" t="s">
        <v>1225</v>
      </c>
      <c r="O444" s="32" t="s">
        <v>1225</v>
      </c>
      <c r="P444" s="32" t="s">
        <v>1225</v>
      </c>
      <c r="Q444" s="32" t="s">
        <v>1227</v>
      </c>
      <c r="R444" s="32" t="s">
        <v>1225</v>
      </c>
      <c r="S444" s="32" t="s">
        <v>1225</v>
      </c>
      <c r="T444" s="32" t="s">
        <v>1225</v>
      </c>
      <c r="U444" s="32" t="s">
        <v>1225</v>
      </c>
      <c r="V444" s="32" t="s">
        <v>1225</v>
      </c>
      <c r="W444" s="32" t="s">
        <v>4286</v>
      </c>
      <c r="X444" s="32" t="s">
        <v>1225</v>
      </c>
      <c r="Y444" s="32" t="s">
        <v>4287</v>
      </c>
      <c r="Z444" s="32" t="s">
        <v>1225</v>
      </c>
      <c r="AA444" s="32" t="s">
        <v>1225</v>
      </c>
      <c r="AB444" s="32" t="s">
        <v>1225</v>
      </c>
      <c r="AC444" s="32" t="s">
        <v>1225</v>
      </c>
      <c r="AD444" s="32" t="s">
        <v>1225</v>
      </c>
      <c r="AE444" s="32" t="s">
        <v>1225</v>
      </c>
      <c r="AF444" s="32" t="s">
        <v>1225</v>
      </c>
      <c r="AG444" s="32" t="s">
        <v>1225</v>
      </c>
      <c r="AH444" s="32" t="s">
        <v>1225</v>
      </c>
      <c r="AI444" s="32" t="s">
        <v>1225</v>
      </c>
      <c r="AJ444" s="32" t="s">
        <v>1225</v>
      </c>
      <c r="AK444" s="32" t="s">
        <v>1225</v>
      </c>
      <c r="AL444" s="32" t="s">
        <v>1225</v>
      </c>
      <c r="AM444" s="32" t="s">
        <v>1225</v>
      </c>
      <c r="AN444" s="32" t="s">
        <v>1225</v>
      </c>
      <c r="AO444" s="32" t="s">
        <v>1225</v>
      </c>
      <c r="AP444" s="32" t="s">
        <v>1225</v>
      </c>
      <c r="AQ444" s="32" t="s">
        <v>1225</v>
      </c>
      <c r="AR444" s="32" t="s">
        <v>1225</v>
      </c>
      <c r="AS444" s="32" t="s">
        <v>1225</v>
      </c>
      <c r="AT444" s="32" t="s">
        <v>1225</v>
      </c>
      <c r="AU444" s="32" t="s">
        <v>1225</v>
      </c>
      <c r="AV444" s="32" t="s">
        <v>1225</v>
      </c>
      <c r="AW444" s="32" t="s">
        <v>1256</v>
      </c>
      <c r="AX444" s="32">
        <v>2019</v>
      </c>
      <c r="AY444" s="32">
        <v>12</v>
      </c>
      <c r="AZ444" s="32">
        <v>23</v>
      </c>
      <c r="BA444" s="32" t="s">
        <v>1225</v>
      </c>
      <c r="BB444" s="32" t="s">
        <v>1225</v>
      </c>
      <c r="BC444" s="32" t="s">
        <v>1225</v>
      </c>
      <c r="BD444" s="32" t="s">
        <v>1225</v>
      </c>
      <c r="BE444" s="32" t="s">
        <v>1225</v>
      </c>
      <c r="BF444" s="32" t="s">
        <v>1225</v>
      </c>
      <c r="BG444" s="32">
        <v>4487</v>
      </c>
      <c r="BH444" s="32" t="s">
        <v>4288</v>
      </c>
      <c r="BI444" s="32" t="str">
        <f>HYPERLINK("http://dx.doi.org/10.3390/en12234487","http://dx.doi.org/10.3390/en12234487")</f>
        <v>http://dx.doi.org/10.3390/en12234487</v>
      </c>
      <c r="BJ444" s="32" t="s">
        <v>1225</v>
      </c>
      <c r="BK444" s="32" t="s">
        <v>1225</v>
      </c>
      <c r="BL444" s="32" t="s">
        <v>1225</v>
      </c>
      <c r="BM444" s="32" t="s">
        <v>1225</v>
      </c>
      <c r="BN444" s="32" t="s">
        <v>1225</v>
      </c>
      <c r="BO444" s="32" t="s">
        <v>1225</v>
      </c>
      <c r="BP444" s="32" t="s">
        <v>1225</v>
      </c>
      <c r="BQ444" s="32" t="s">
        <v>1225</v>
      </c>
      <c r="BR444" s="32" t="s">
        <v>1225</v>
      </c>
      <c r="BS444" s="32" t="s">
        <v>1225</v>
      </c>
      <c r="BT444" s="32" t="s">
        <v>1225</v>
      </c>
      <c r="BU444" s="32" t="s">
        <v>1225</v>
      </c>
      <c r="BV444" s="32" t="s">
        <v>1225</v>
      </c>
      <c r="BW444" s="32" t="str">
        <f t="shared" si="12"/>
        <v>View Full Record in Web of Science</v>
      </c>
      <c r="BY444" s="41" t="str">
        <f>IF(Deletion!J444=TRUE,"Yes","No")</f>
        <v>Yes</v>
      </c>
    </row>
    <row r="445" spans="1:77" x14ac:dyDescent="0.15">
      <c r="A445" s="32">
        <f t="shared" si="13"/>
        <v>444</v>
      </c>
      <c r="D445" s="32" t="s">
        <v>1223</v>
      </c>
      <c r="E445" s="32" t="s">
        <v>4289</v>
      </c>
      <c r="F445" s="32" t="s">
        <v>1225</v>
      </c>
      <c r="G445" s="32" t="s">
        <v>1225</v>
      </c>
      <c r="H445" s="32" t="s">
        <v>1225</v>
      </c>
      <c r="I445" s="32" t="s">
        <v>4290</v>
      </c>
      <c r="J445" s="32" t="s">
        <v>1225</v>
      </c>
      <c r="K445" s="32" t="s">
        <v>1225</v>
      </c>
      <c r="L445" s="32" t="s">
        <v>4291</v>
      </c>
      <c r="M445" s="32" t="s">
        <v>502</v>
      </c>
      <c r="N445" s="32" t="s">
        <v>1225</v>
      </c>
      <c r="O445" s="32" t="s">
        <v>1225</v>
      </c>
      <c r="P445" s="32" t="s">
        <v>1225</v>
      </c>
      <c r="Q445" s="32" t="s">
        <v>1227</v>
      </c>
      <c r="R445" s="32" t="s">
        <v>1225</v>
      </c>
      <c r="S445" s="32" t="s">
        <v>1225</v>
      </c>
      <c r="T445" s="32" t="s">
        <v>1225</v>
      </c>
      <c r="U445" s="32" t="s">
        <v>1225</v>
      </c>
      <c r="V445" s="32" t="s">
        <v>1225</v>
      </c>
      <c r="W445" s="32" t="s">
        <v>4292</v>
      </c>
      <c r="X445" s="32" t="s">
        <v>4293</v>
      </c>
      <c r="Y445" s="32" t="s">
        <v>4294</v>
      </c>
      <c r="Z445" s="32" t="s">
        <v>1225</v>
      </c>
      <c r="AA445" s="32" t="s">
        <v>1225</v>
      </c>
      <c r="AB445" s="32" t="s">
        <v>1225</v>
      </c>
      <c r="AC445" s="32" t="s">
        <v>1225</v>
      </c>
      <c r="AD445" s="32" t="s">
        <v>1225</v>
      </c>
      <c r="AE445" s="32" t="s">
        <v>1225</v>
      </c>
      <c r="AF445" s="32" t="s">
        <v>1225</v>
      </c>
      <c r="AG445" s="32" t="s">
        <v>1225</v>
      </c>
      <c r="AH445" s="32" t="s">
        <v>1225</v>
      </c>
      <c r="AI445" s="32" t="s">
        <v>1225</v>
      </c>
      <c r="AJ445" s="32" t="s">
        <v>1225</v>
      </c>
      <c r="AK445" s="32" t="s">
        <v>1225</v>
      </c>
      <c r="AL445" s="32" t="s">
        <v>1225</v>
      </c>
      <c r="AM445" s="32" t="s">
        <v>1225</v>
      </c>
      <c r="AN445" s="32" t="s">
        <v>1225</v>
      </c>
      <c r="AO445" s="32" t="s">
        <v>1225</v>
      </c>
      <c r="AP445" s="32" t="s">
        <v>1225</v>
      </c>
      <c r="AQ445" s="32" t="s">
        <v>1225</v>
      </c>
      <c r="AR445" s="32" t="s">
        <v>1225</v>
      </c>
      <c r="AS445" s="32" t="s">
        <v>1225</v>
      </c>
      <c r="AT445" s="32" t="s">
        <v>1225</v>
      </c>
      <c r="AU445" s="32" t="s">
        <v>1225</v>
      </c>
      <c r="AV445" s="32" t="s">
        <v>1225</v>
      </c>
      <c r="AW445" s="32" t="s">
        <v>1251</v>
      </c>
      <c r="AX445" s="32">
        <v>2017</v>
      </c>
      <c r="AY445" s="32">
        <v>141</v>
      </c>
      <c r="AZ445" s="32" t="s">
        <v>1225</v>
      </c>
      <c r="BA445" s="32" t="s">
        <v>1225</v>
      </c>
      <c r="BB445" s="32" t="s">
        <v>1225</v>
      </c>
      <c r="BC445" s="32" t="s">
        <v>1225</v>
      </c>
      <c r="BD445" s="32" t="s">
        <v>1225</v>
      </c>
      <c r="BE445" s="32">
        <v>87</v>
      </c>
      <c r="BF445" s="32">
        <v>96</v>
      </c>
      <c r="BG445" s="32" t="s">
        <v>1225</v>
      </c>
      <c r="BH445" s="32" t="s">
        <v>4295</v>
      </c>
      <c r="BI445" s="32" t="str">
        <f>HYPERLINK("http://dx.doi.org/10.1016/j.energy.2017.09.064","http://dx.doi.org/10.1016/j.energy.2017.09.064")</f>
        <v>http://dx.doi.org/10.1016/j.energy.2017.09.064</v>
      </c>
      <c r="BJ445" s="32" t="s">
        <v>1225</v>
      </c>
      <c r="BK445" s="32" t="s">
        <v>1225</v>
      </c>
      <c r="BL445" s="32" t="s">
        <v>1225</v>
      </c>
      <c r="BM445" s="32" t="s">
        <v>1225</v>
      </c>
      <c r="BN445" s="32" t="s">
        <v>1225</v>
      </c>
      <c r="BO445" s="32" t="s">
        <v>1225</v>
      </c>
      <c r="BP445" s="32" t="s">
        <v>1225</v>
      </c>
      <c r="BQ445" s="32" t="s">
        <v>1225</v>
      </c>
      <c r="BR445" s="32" t="s">
        <v>1225</v>
      </c>
      <c r="BS445" s="32" t="s">
        <v>1225</v>
      </c>
      <c r="BT445" s="32" t="s">
        <v>1225</v>
      </c>
      <c r="BU445" s="32" t="s">
        <v>1225</v>
      </c>
      <c r="BV445" s="32" t="s">
        <v>1225</v>
      </c>
      <c r="BW445" s="32" t="str">
        <f t="shared" si="12"/>
        <v>View Full Record in Web of Science</v>
      </c>
      <c r="BY445" s="41" t="str">
        <f>IF(Deletion!J445=TRUE,"Yes","No")</f>
        <v>Yes</v>
      </c>
    </row>
    <row r="446" spans="1:77" x14ac:dyDescent="0.15">
      <c r="A446" s="32">
        <f t="shared" si="13"/>
        <v>445</v>
      </c>
      <c r="D446" s="32" t="s">
        <v>1223</v>
      </c>
      <c r="E446" s="32" t="s">
        <v>4296</v>
      </c>
      <c r="F446" s="32" t="s">
        <v>1225</v>
      </c>
      <c r="G446" s="32" t="s">
        <v>1225</v>
      </c>
      <c r="H446" s="32" t="s">
        <v>1225</v>
      </c>
      <c r="I446" s="32" t="s">
        <v>4297</v>
      </c>
      <c r="J446" s="32" t="s">
        <v>1225</v>
      </c>
      <c r="K446" s="32" t="s">
        <v>1225</v>
      </c>
      <c r="L446" s="32" t="s">
        <v>4298</v>
      </c>
      <c r="M446" s="32" t="s">
        <v>502</v>
      </c>
      <c r="N446" s="32" t="s">
        <v>1225</v>
      </c>
      <c r="O446" s="32" t="s">
        <v>1225</v>
      </c>
      <c r="P446" s="32" t="s">
        <v>1225</v>
      </c>
      <c r="Q446" s="32" t="s">
        <v>1227</v>
      </c>
      <c r="R446" s="32" t="s">
        <v>1225</v>
      </c>
      <c r="S446" s="32" t="s">
        <v>1225</v>
      </c>
      <c r="T446" s="32" t="s">
        <v>1225</v>
      </c>
      <c r="U446" s="32" t="s">
        <v>1225</v>
      </c>
      <c r="V446" s="32" t="s">
        <v>1225</v>
      </c>
      <c r="W446" s="32" t="s">
        <v>4299</v>
      </c>
      <c r="X446" s="32" t="s">
        <v>4300</v>
      </c>
      <c r="Y446" s="32" t="s">
        <v>4301</v>
      </c>
      <c r="Z446" s="32" t="s">
        <v>1225</v>
      </c>
      <c r="AA446" s="32" t="s">
        <v>1225</v>
      </c>
      <c r="AB446" s="32" t="s">
        <v>1225</v>
      </c>
      <c r="AC446" s="32" t="s">
        <v>1225</v>
      </c>
      <c r="AD446" s="32" t="s">
        <v>1225</v>
      </c>
      <c r="AE446" s="32" t="s">
        <v>1225</v>
      </c>
      <c r="AF446" s="32" t="s">
        <v>1225</v>
      </c>
      <c r="AG446" s="32" t="s">
        <v>1225</v>
      </c>
      <c r="AH446" s="32" t="s">
        <v>1225</v>
      </c>
      <c r="AI446" s="32" t="s">
        <v>1225</v>
      </c>
      <c r="AJ446" s="32" t="s">
        <v>1225</v>
      </c>
      <c r="AK446" s="32" t="s">
        <v>1225</v>
      </c>
      <c r="AL446" s="32" t="s">
        <v>1225</v>
      </c>
      <c r="AM446" s="32" t="s">
        <v>1225</v>
      </c>
      <c r="AN446" s="32" t="s">
        <v>1225</v>
      </c>
      <c r="AO446" s="32" t="s">
        <v>1225</v>
      </c>
      <c r="AP446" s="32" t="s">
        <v>1225</v>
      </c>
      <c r="AQ446" s="32" t="s">
        <v>1225</v>
      </c>
      <c r="AR446" s="32" t="s">
        <v>1225</v>
      </c>
      <c r="AS446" s="32" t="s">
        <v>1225</v>
      </c>
      <c r="AT446" s="32" t="s">
        <v>1225</v>
      </c>
      <c r="AU446" s="32" t="s">
        <v>1225</v>
      </c>
      <c r="AV446" s="32" t="s">
        <v>1225</v>
      </c>
      <c r="AW446" s="32" t="s">
        <v>1268</v>
      </c>
      <c r="AX446" s="32">
        <v>2016</v>
      </c>
      <c r="AY446" s="32">
        <v>95</v>
      </c>
      <c r="AZ446" s="32" t="s">
        <v>1225</v>
      </c>
      <c r="BA446" s="32" t="s">
        <v>1225</v>
      </c>
      <c r="BB446" s="32" t="s">
        <v>1225</v>
      </c>
      <c r="BC446" s="32" t="s">
        <v>1225</v>
      </c>
      <c r="BD446" s="32" t="s">
        <v>1225</v>
      </c>
      <c r="BE446" s="32">
        <v>494</v>
      </c>
      <c r="BF446" s="32">
        <v>503</v>
      </c>
      <c r="BG446" s="32" t="s">
        <v>1225</v>
      </c>
      <c r="BH446" s="32" t="s">
        <v>4302</v>
      </c>
      <c r="BI446" s="32" t="str">
        <f>HYPERLINK("http://dx.doi.org/10.1016/j.energy.2015.12.038","http://dx.doi.org/10.1016/j.energy.2015.12.038")</f>
        <v>http://dx.doi.org/10.1016/j.energy.2015.12.038</v>
      </c>
      <c r="BJ446" s="32" t="s">
        <v>1225</v>
      </c>
      <c r="BK446" s="32" t="s">
        <v>1225</v>
      </c>
      <c r="BL446" s="32" t="s">
        <v>1225</v>
      </c>
      <c r="BM446" s="32" t="s">
        <v>1225</v>
      </c>
      <c r="BN446" s="32" t="s">
        <v>1225</v>
      </c>
      <c r="BO446" s="32" t="s">
        <v>1225</v>
      </c>
      <c r="BP446" s="32" t="s">
        <v>1225</v>
      </c>
      <c r="BQ446" s="32" t="s">
        <v>1225</v>
      </c>
      <c r="BR446" s="32" t="s">
        <v>1225</v>
      </c>
      <c r="BS446" s="32" t="s">
        <v>1225</v>
      </c>
      <c r="BT446" s="32" t="s">
        <v>1225</v>
      </c>
      <c r="BU446" s="32" t="s">
        <v>1225</v>
      </c>
      <c r="BV446" s="32" t="s">
        <v>1225</v>
      </c>
      <c r="BW446" s="32" t="str">
        <f t="shared" si="12"/>
        <v>View Full Record in Web of Science</v>
      </c>
      <c r="BY446" s="41" t="str">
        <f>IF(Deletion!J446=TRUE,"Yes","No")</f>
        <v>Yes</v>
      </c>
    </row>
    <row r="447" spans="1:77" x14ac:dyDescent="0.15">
      <c r="A447" s="32">
        <f t="shared" si="13"/>
        <v>446</v>
      </c>
      <c r="D447" s="32" t="s">
        <v>1223</v>
      </c>
      <c r="E447" s="32" t="s">
        <v>4303</v>
      </c>
      <c r="F447" s="32" t="s">
        <v>1225</v>
      </c>
      <c r="G447" s="32" t="s">
        <v>1225</v>
      </c>
      <c r="H447" s="32" t="s">
        <v>1225</v>
      </c>
      <c r="I447" s="32" t="s">
        <v>4304</v>
      </c>
      <c r="J447" s="32" t="s">
        <v>1225</v>
      </c>
      <c r="K447" s="32" t="s">
        <v>1225</v>
      </c>
      <c r="L447" s="32" t="s">
        <v>4305</v>
      </c>
      <c r="M447" s="32" t="s">
        <v>313</v>
      </c>
      <c r="N447" s="32" t="s">
        <v>1225</v>
      </c>
      <c r="O447" s="32" t="s">
        <v>1225</v>
      </c>
      <c r="P447" s="32" t="s">
        <v>1225</v>
      </c>
      <c r="Q447" s="32" t="s">
        <v>1227</v>
      </c>
      <c r="R447" s="32" t="s">
        <v>1225</v>
      </c>
      <c r="S447" s="32" t="s">
        <v>1225</v>
      </c>
      <c r="T447" s="32" t="s">
        <v>1225</v>
      </c>
      <c r="U447" s="32" t="s">
        <v>1225</v>
      </c>
      <c r="V447" s="32" t="s">
        <v>1225</v>
      </c>
      <c r="W447" s="32" t="s">
        <v>4306</v>
      </c>
      <c r="X447" s="32" t="s">
        <v>4307</v>
      </c>
      <c r="Y447" s="32" t="s">
        <v>4308</v>
      </c>
      <c r="Z447" s="32" t="s">
        <v>1225</v>
      </c>
      <c r="AA447" s="32" t="s">
        <v>1225</v>
      </c>
      <c r="AB447" s="32" t="s">
        <v>1225</v>
      </c>
      <c r="AC447" s="32" t="s">
        <v>1225</v>
      </c>
      <c r="AD447" s="32" t="s">
        <v>1225</v>
      </c>
      <c r="AE447" s="32" t="s">
        <v>1225</v>
      </c>
      <c r="AF447" s="32" t="s">
        <v>1225</v>
      </c>
      <c r="AG447" s="32" t="s">
        <v>1225</v>
      </c>
      <c r="AH447" s="32" t="s">
        <v>1225</v>
      </c>
      <c r="AI447" s="32" t="s">
        <v>1225</v>
      </c>
      <c r="AJ447" s="32" t="s">
        <v>1225</v>
      </c>
      <c r="AK447" s="32" t="s">
        <v>1225</v>
      </c>
      <c r="AL447" s="32" t="s">
        <v>1225</v>
      </c>
      <c r="AM447" s="32" t="s">
        <v>1225</v>
      </c>
      <c r="AN447" s="32" t="s">
        <v>1225</v>
      </c>
      <c r="AO447" s="32" t="s">
        <v>1225</v>
      </c>
      <c r="AP447" s="32" t="s">
        <v>1225</v>
      </c>
      <c r="AQ447" s="32" t="s">
        <v>1225</v>
      </c>
      <c r="AR447" s="32" t="s">
        <v>1225</v>
      </c>
      <c r="AS447" s="32" t="s">
        <v>1225</v>
      </c>
      <c r="AT447" s="32" t="s">
        <v>1225</v>
      </c>
      <c r="AU447" s="32" t="s">
        <v>1225</v>
      </c>
      <c r="AV447" s="32" t="s">
        <v>1225</v>
      </c>
      <c r="AW447" s="32" t="s">
        <v>1317</v>
      </c>
      <c r="AX447" s="32">
        <v>2019</v>
      </c>
      <c r="AY447" s="32">
        <v>104</v>
      </c>
      <c r="AZ447" s="32" t="s">
        <v>1225</v>
      </c>
      <c r="BA447" s="32" t="s">
        <v>1225</v>
      </c>
      <c r="BB447" s="32" t="s">
        <v>1225</v>
      </c>
      <c r="BC447" s="32" t="s">
        <v>1225</v>
      </c>
      <c r="BD447" s="32" t="s">
        <v>1225</v>
      </c>
      <c r="BE447" s="32">
        <v>335</v>
      </c>
      <c r="BF447" s="32">
        <v>348</v>
      </c>
      <c r="BG447" s="32" t="s">
        <v>1225</v>
      </c>
      <c r="BH447" s="32" t="s">
        <v>4309</v>
      </c>
      <c r="BI447" s="32" t="str">
        <f>HYPERLINK("http://dx.doi.org/10.1016/j.ijepes.2018.07.002","http://dx.doi.org/10.1016/j.ijepes.2018.07.002")</f>
        <v>http://dx.doi.org/10.1016/j.ijepes.2018.07.002</v>
      </c>
      <c r="BJ447" s="32" t="s">
        <v>1225</v>
      </c>
      <c r="BK447" s="32" t="s">
        <v>1225</v>
      </c>
      <c r="BL447" s="32" t="s">
        <v>1225</v>
      </c>
      <c r="BM447" s="32" t="s">
        <v>1225</v>
      </c>
      <c r="BN447" s="32" t="s">
        <v>1225</v>
      </c>
      <c r="BO447" s="32" t="s">
        <v>1225</v>
      </c>
      <c r="BP447" s="32" t="s">
        <v>1225</v>
      </c>
      <c r="BQ447" s="32" t="s">
        <v>1225</v>
      </c>
      <c r="BR447" s="32" t="s">
        <v>1225</v>
      </c>
      <c r="BS447" s="32" t="s">
        <v>1225</v>
      </c>
      <c r="BT447" s="32" t="s">
        <v>1225</v>
      </c>
      <c r="BU447" s="32" t="s">
        <v>1225</v>
      </c>
      <c r="BV447" s="32" t="s">
        <v>1225</v>
      </c>
      <c r="BW447" s="32" t="str">
        <f t="shared" si="12"/>
        <v>View Full Record in Web of Science</v>
      </c>
      <c r="BY447" s="41" t="str">
        <f>IF(Deletion!J447=TRUE,"Yes","No")</f>
        <v>Yes</v>
      </c>
    </row>
    <row r="448" spans="1:77" x14ac:dyDescent="0.15">
      <c r="A448" s="34">
        <f t="shared" si="13"/>
        <v>447</v>
      </c>
      <c r="B448" s="34" t="s">
        <v>4</v>
      </c>
      <c r="C448" s="34" t="s">
        <v>4</v>
      </c>
      <c r="D448" s="34" t="s">
        <v>1223</v>
      </c>
      <c r="E448" s="34" t="s">
        <v>4310</v>
      </c>
      <c r="F448" s="32" t="s">
        <v>1225</v>
      </c>
      <c r="G448" s="32" t="s">
        <v>1225</v>
      </c>
      <c r="H448" s="32" t="s">
        <v>1225</v>
      </c>
      <c r="I448" s="34" t="s">
        <v>4311</v>
      </c>
      <c r="J448" s="32" t="s">
        <v>1225</v>
      </c>
      <c r="K448" s="32" t="s">
        <v>1225</v>
      </c>
      <c r="L448" s="34" t="s">
        <v>4312</v>
      </c>
      <c r="M448" s="34" t="s">
        <v>97</v>
      </c>
      <c r="N448" s="32" t="s">
        <v>1225</v>
      </c>
      <c r="O448" s="32" t="s">
        <v>1225</v>
      </c>
      <c r="P448" s="32" t="s">
        <v>1225</v>
      </c>
      <c r="Q448" s="34" t="s">
        <v>1795</v>
      </c>
      <c r="R448" s="32" t="s">
        <v>1225</v>
      </c>
      <c r="S448" s="32" t="s">
        <v>1225</v>
      </c>
      <c r="T448" s="32" t="s">
        <v>1225</v>
      </c>
      <c r="U448" s="32" t="s">
        <v>1225</v>
      </c>
      <c r="V448" s="32" t="s">
        <v>1225</v>
      </c>
      <c r="W448" s="34" t="s">
        <v>4313</v>
      </c>
      <c r="X448" s="34" t="s">
        <v>4314</v>
      </c>
      <c r="Y448" s="34" t="s">
        <v>4315</v>
      </c>
      <c r="Z448" s="32" t="s">
        <v>1225</v>
      </c>
      <c r="AA448" s="32" t="s">
        <v>1225</v>
      </c>
      <c r="AB448" s="32" t="s">
        <v>1225</v>
      </c>
      <c r="AC448" s="32" t="s">
        <v>1225</v>
      </c>
      <c r="AD448" s="32" t="s">
        <v>1225</v>
      </c>
      <c r="AE448" s="32" t="s">
        <v>1225</v>
      </c>
      <c r="AF448" s="32" t="s">
        <v>1225</v>
      </c>
      <c r="AG448" s="32" t="s">
        <v>1225</v>
      </c>
      <c r="AH448" s="32" t="s">
        <v>1225</v>
      </c>
      <c r="AI448" s="32" t="s">
        <v>1225</v>
      </c>
      <c r="AJ448" s="32" t="s">
        <v>1225</v>
      </c>
      <c r="AK448" s="32" t="s">
        <v>1225</v>
      </c>
      <c r="AL448" s="32" t="s">
        <v>1225</v>
      </c>
      <c r="AM448" s="32" t="s">
        <v>1225</v>
      </c>
      <c r="AN448" s="32" t="s">
        <v>1225</v>
      </c>
      <c r="AO448" s="32" t="s">
        <v>1225</v>
      </c>
      <c r="AP448" s="32" t="s">
        <v>1225</v>
      </c>
      <c r="AQ448" s="32" t="s">
        <v>1225</v>
      </c>
      <c r="AR448" s="32" t="s">
        <v>1225</v>
      </c>
      <c r="AS448" s="32" t="s">
        <v>1225</v>
      </c>
      <c r="AT448" s="32" t="s">
        <v>1225</v>
      </c>
      <c r="AU448" s="32" t="s">
        <v>1225</v>
      </c>
      <c r="AV448" s="32" t="s">
        <v>1225</v>
      </c>
      <c r="AW448" s="34" t="s">
        <v>1437</v>
      </c>
      <c r="AX448" s="34">
        <v>2018</v>
      </c>
      <c r="AY448" s="32">
        <v>229</v>
      </c>
      <c r="AZ448" s="32" t="s">
        <v>1225</v>
      </c>
      <c r="BA448" s="32" t="s">
        <v>1225</v>
      </c>
      <c r="BB448" s="32" t="s">
        <v>1225</v>
      </c>
      <c r="BC448" s="32" t="s">
        <v>1225</v>
      </c>
      <c r="BD448" s="32" t="s">
        <v>1225</v>
      </c>
      <c r="BE448" s="32">
        <v>96</v>
      </c>
      <c r="BF448" s="32">
        <v>110</v>
      </c>
      <c r="BG448" s="32" t="s">
        <v>1225</v>
      </c>
      <c r="BH448" s="34" t="s">
        <v>4316</v>
      </c>
      <c r="BI448" s="34" t="str">
        <f>HYPERLINK("http://dx.doi.org/10.1016/j.apenergy.2018.07.092","http://dx.doi.org/10.1016/j.apenergy.2018.07.092")</f>
        <v>http://dx.doi.org/10.1016/j.apenergy.2018.07.092</v>
      </c>
      <c r="BJ448" s="32" t="s">
        <v>1225</v>
      </c>
      <c r="BK448" s="32" t="s">
        <v>1225</v>
      </c>
      <c r="BL448" s="32" t="s">
        <v>1225</v>
      </c>
      <c r="BM448" s="32" t="s">
        <v>1225</v>
      </c>
      <c r="BN448" s="32" t="s">
        <v>1225</v>
      </c>
      <c r="BO448" s="32" t="s">
        <v>1225</v>
      </c>
      <c r="BP448" s="32" t="s">
        <v>1225</v>
      </c>
      <c r="BQ448" s="32" t="s">
        <v>1225</v>
      </c>
      <c r="BR448" s="32" t="s">
        <v>1225</v>
      </c>
      <c r="BS448" s="32" t="s">
        <v>1225</v>
      </c>
      <c r="BT448" s="32" t="s">
        <v>1225</v>
      </c>
      <c r="BU448" s="32" t="s">
        <v>1225</v>
      </c>
      <c r="BV448" s="32" t="s">
        <v>1225</v>
      </c>
      <c r="BW448" s="32" t="str">
        <f t="shared" si="12"/>
        <v>View Full Record in Web of Science</v>
      </c>
      <c r="BY448" s="41" t="str">
        <f>IF(Deletion!J448=TRUE,"Yes","No")</f>
        <v>Yes</v>
      </c>
    </row>
    <row r="449" spans="1:77" x14ac:dyDescent="0.15">
      <c r="A449" s="32">
        <f t="shared" si="13"/>
        <v>448</v>
      </c>
      <c r="D449" s="32" t="s">
        <v>1223</v>
      </c>
      <c r="E449" s="32" t="s">
        <v>4317</v>
      </c>
      <c r="F449" s="32" t="s">
        <v>1225</v>
      </c>
      <c r="G449" s="32" t="s">
        <v>1225</v>
      </c>
      <c r="H449" s="32" t="s">
        <v>1225</v>
      </c>
      <c r="I449" s="32" t="s">
        <v>4318</v>
      </c>
      <c r="J449" s="32" t="s">
        <v>1225</v>
      </c>
      <c r="K449" s="32" t="s">
        <v>1225</v>
      </c>
      <c r="L449" s="32" t="s">
        <v>4319</v>
      </c>
      <c r="M449" s="32" t="s">
        <v>422</v>
      </c>
      <c r="N449" s="32" t="s">
        <v>1225</v>
      </c>
      <c r="O449" s="32" t="s">
        <v>1225</v>
      </c>
      <c r="P449" s="32" t="s">
        <v>1225</v>
      </c>
      <c r="Q449" s="32" t="s">
        <v>1227</v>
      </c>
      <c r="R449" s="32" t="s">
        <v>1225</v>
      </c>
      <c r="S449" s="32" t="s">
        <v>1225</v>
      </c>
      <c r="T449" s="32" t="s">
        <v>1225</v>
      </c>
      <c r="U449" s="32" t="s">
        <v>1225</v>
      </c>
      <c r="V449" s="32" t="s">
        <v>1225</v>
      </c>
      <c r="W449" s="32" t="s">
        <v>4320</v>
      </c>
      <c r="X449" s="32" t="s">
        <v>1225</v>
      </c>
      <c r="Y449" s="32" t="s">
        <v>4321</v>
      </c>
      <c r="Z449" s="32" t="s">
        <v>1225</v>
      </c>
      <c r="AA449" s="32" t="s">
        <v>1225</v>
      </c>
      <c r="AB449" s="32" t="s">
        <v>1225</v>
      </c>
      <c r="AC449" s="32" t="s">
        <v>1225</v>
      </c>
      <c r="AD449" s="32" t="s">
        <v>1225</v>
      </c>
      <c r="AE449" s="32" t="s">
        <v>1225</v>
      </c>
      <c r="AF449" s="32" t="s">
        <v>1225</v>
      </c>
      <c r="AG449" s="32" t="s">
        <v>1225</v>
      </c>
      <c r="AH449" s="32" t="s">
        <v>1225</v>
      </c>
      <c r="AI449" s="32" t="s">
        <v>1225</v>
      </c>
      <c r="AJ449" s="32" t="s">
        <v>1225</v>
      </c>
      <c r="AK449" s="32" t="s">
        <v>1225</v>
      </c>
      <c r="AL449" s="32" t="s">
        <v>1225</v>
      </c>
      <c r="AM449" s="32" t="s">
        <v>1225</v>
      </c>
      <c r="AN449" s="32" t="s">
        <v>1225</v>
      </c>
      <c r="AO449" s="32" t="s">
        <v>1225</v>
      </c>
      <c r="AP449" s="32" t="s">
        <v>1225</v>
      </c>
      <c r="AQ449" s="32" t="s">
        <v>1225</v>
      </c>
      <c r="AR449" s="32" t="s">
        <v>1225</v>
      </c>
      <c r="AS449" s="32" t="s">
        <v>1225</v>
      </c>
      <c r="AT449" s="32" t="s">
        <v>1225</v>
      </c>
      <c r="AU449" s="32" t="s">
        <v>1225</v>
      </c>
      <c r="AV449" s="32" t="s">
        <v>1225</v>
      </c>
      <c r="AW449" s="32" t="s">
        <v>1393</v>
      </c>
      <c r="AX449" s="32">
        <v>2018</v>
      </c>
      <c r="AY449" s="32">
        <v>11</v>
      </c>
      <c r="AZ449" s="32">
        <v>6</v>
      </c>
      <c r="BA449" s="32" t="s">
        <v>1225</v>
      </c>
      <c r="BB449" s="32" t="s">
        <v>1225</v>
      </c>
      <c r="BC449" s="32" t="s">
        <v>1225</v>
      </c>
      <c r="BD449" s="32" t="s">
        <v>1225</v>
      </c>
      <c r="BE449" s="32" t="s">
        <v>1225</v>
      </c>
      <c r="BF449" s="32" t="s">
        <v>1225</v>
      </c>
      <c r="BG449" s="32">
        <v>1373</v>
      </c>
      <c r="BH449" s="32" t="s">
        <v>4322</v>
      </c>
      <c r="BI449" s="32" t="str">
        <f>HYPERLINK("http://dx.doi.org/10.3390/en11061373","http://dx.doi.org/10.3390/en11061373")</f>
        <v>http://dx.doi.org/10.3390/en11061373</v>
      </c>
      <c r="BJ449" s="32" t="s">
        <v>1225</v>
      </c>
      <c r="BK449" s="32" t="s">
        <v>1225</v>
      </c>
      <c r="BL449" s="32" t="s">
        <v>1225</v>
      </c>
      <c r="BM449" s="32" t="s">
        <v>1225</v>
      </c>
      <c r="BN449" s="32" t="s">
        <v>1225</v>
      </c>
      <c r="BO449" s="32" t="s">
        <v>1225</v>
      </c>
      <c r="BP449" s="32" t="s">
        <v>1225</v>
      </c>
      <c r="BQ449" s="32" t="s">
        <v>1225</v>
      </c>
      <c r="BR449" s="32" t="s">
        <v>1225</v>
      </c>
      <c r="BS449" s="32" t="s">
        <v>1225</v>
      </c>
      <c r="BT449" s="32" t="s">
        <v>1225</v>
      </c>
      <c r="BU449" s="32" t="s">
        <v>1225</v>
      </c>
      <c r="BV449" s="32" t="s">
        <v>1225</v>
      </c>
      <c r="BW449" s="32" t="str">
        <f t="shared" si="12"/>
        <v>View Full Record in Web of Science</v>
      </c>
      <c r="BY449" s="41" t="str">
        <f>IF(Deletion!J449=TRUE,"Yes","No")</f>
        <v>Yes</v>
      </c>
    </row>
    <row r="450" spans="1:77" x14ac:dyDescent="0.15">
      <c r="A450" s="34">
        <f t="shared" si="13"/>
        <v>449</v>
      </c>
      <c r="B450" s="34" t="s">
        <v>4</v>
      </c>
      <c r="C450" s="34" t="s">
        <v>4</v>
      </c>
      <c r="D450" s="34" t="s">
        <v>1223</v>
      </c>
      <c r="E450" s="34" t="s">
        <v>4323</v>
      </c>
      <c r="F450" s="32" t="s">
        <v>1225</v>
      </c>
      <c r="G450" s="32" t="s">
        <v>1225</v>
      </c>
      <c r="H450" s="32" t="s">
        <v>1225</v>
      </c>
      <c r="I450" s="34" t="s">
        <v>4324</v>
      </c>
      <c r="J450" s="32" t="s">
        <v>1225</v>
      </c>
      <c r="K450" s="32" t="s">
        <v>1225</v>
      </c>
      <c r="L450" s="34" t="s">
        <v>4325</v>
      </c>
      <c r="M450" s="34" t="s">
        <v>422</v>
      </c>
      <c r="N450" s="32" t="s">
        <v>1225</v>
      </c>
      <c r="O450" s="32" t="s">
        <v>1225</v>
      </c>
      <c r="P450" s="32" t="s">
        <v>1225</v>
      </c>
      <c r="Q450" s="34" t="s">
        <v>1227</v>
      </c>
      <c r="R450" s="32" t="s">
        <v>1225</v>
      </c>
      <c r="S450" s="32" t="s">
        <v>1225</v>
      </c>
      <c r="T450" s="32" t="s">
        <v>1225</v>
      </c>
      <c r="U450" s="32" t="s">
        <v>1225</v>
      </c>
      <c r="V450" s="32" t="s">
        <v>1225</v>
      </c>
      <c r="W450" s="34" t="s">
        <v>4326</v>
      </c>
      <c r="X450" s="34" t="s">
        <v>4327</v>
      </c>
      <c r="Y450" s="34" t="s">
        <v>4328</v>
      </c>
      <c r="Z450" s="32" t="s">
        <v>1225</v>
      </c>
      <c r="AA450" s="32" t="s">
        <v>1225</v>
      </c>
      <c r="AB450" s="32" t="s">
        <v>1225</v>
      </c>
      <c r="AC450" s="32" t="s">
        <v>1225</v>
      </c>
      <c r="AD450" s="32" t="s">
        <v>1225</v>
      </c>
      <c r="AE450" s="32" t="s">
        <v>1225</v>
      </c>
      <c r="AF450" s="32" t="s">
        <v>1225</v>
      </c>
      <c r="AG450" s="32" t="s">
        <v>1225</v>
      </c>
      <c r="AH450" s="32" t="s">
        <v>1225</v>
      </c>
      <c r="AI450" s="32" t="s">
        <v>1225</v>
      </c>
      <c r="AJ450" s="32" t="s">
        <v>1225</v>
      </c>
      <c r="AK450" s="32" t="s">
        <v>1225</v>
      </c>
      <c r="AL450" s="32" t="s">
        <v>1225</v>
      </c>
      <c r="AM450" s="32" t="s">
        <v>1225</v>
      </c>
      <c r="AN450" s="32" t="s">
        <v>1225</v>
      </c>
      <c r="AO450" s="32" t="s">
        <v>1225</v>
      </c>
      <c r="AP450" s="32" t="s">
        <v>1225</v>
      </c>
      <c r="AQ450" s="32" t="s">
        <v>1225</v>
      </c>
      <c r="AR450" s="32" t="s">
        <v>1225</v>
      </c>
      <c r="AS450" s="32" t="s">
        <v>1225</v>
      </c>
      <c r="AT450" s="32" t="s">
        <v>1225</v>
      </c>
      <c r="AU450" s="32" t="s">
        <v>1225</v>
      </c>
      <c r="AV450" s="32" t="s">
        <v>1225</v>
      </c>
      <c r="AW450" s="34" t="s">
        <v>1239</v>
      </c>
      <c r="AX450" s="34">
        <v>2020</v>
      </c>
      <c r="AY450" s="32">
        <v>13</v>
      </c>
      <c r="AZ450" s="32">
        <v>13</v>
      </c>
      <c r="BA450" s="32" t="s">
        <v>1225</v>
      </c>
      <c r="BB450" s="32" t="s">
        <v>1225</v>
      </c>
      <c r="BC450" s="32" t="s">
        <v>1225</v>
      </c>
      <c r="BD450" s="32" t="s">
        <v>1225</v>
      </c>
      <c r="BE450" s="32" t="s">
        <v>1225</v>
      </c>
      <c r="BF450" s="32" t="s">
        <v>1225</v>
      </c>
      <c r="BG450" s="32">
        <v>3411</v>
      </c>
      <c r="BH450" s="34" t="s">
        <v>4329</v>
      </c>
      <c r="BI450" s="34" t="str">
        <f>HYPERLINK("http://dx.doi.org/10.3390/en13133411","http://dx.doi.org/10.3390/en13133411")</f>
        <v>http://dx.doi.org/10.3390/en13133411</v>
      </c>
      <c r="BJ450" s="32" t="s">
        <v>1225</v>
      </c>
      <c r="BK450" s="32" t="s">
        <v>1225</v>
      </c>
      <c r="BL450" s="32" t="s">
        <v>1225</v>
      </c>
      <c r="BM450" s="32" t="s">
        <v>1225</v>
      </c>
      <c r="BN450" s="32" t="s">
        <v>1225</v>
      </c>
      <c r="BO450" s="32" t="s">
        <v>1225</v>
      </c>
      <c r="BP450" s="32" t="s">
        <v>1225</v>
      </c>
      <c r="BQ450" s="32" t="s">
        <v>1225</v>
      </c>
      <c r="BR450" s="32" t="s">
        <v>1225</v>
      </c>
      <c r="BS450" s="32" t="s">
        <v>1225</v>
      </c>
      <c r="BT450" s="32" t="s">
        <v>1225</v>
      </c>
      <c r="BU450" s="32" t="s">
        <v>1225</v>
      </c>
      <c r="BV450" s="32" t="s">
        <v>1225</v>
      </c>
      <c r="BW450" s="32" t="str">
        <f t="shared" ref="BW450:BW513" si="14">HYPERLINK("https%3A%2F%2Fwww.webofscience.com%2Fwos%2Fwoscc%2Ffull-record%2F","View Full Record in Web of Science")</f>
        <v>View Full Record in Web of Science</v>
      </c>
      <c r="BY450" s="41" t="str">
        <f>IF(Deletion!J450=TRUE,"Yes","No")</f>
        <v>No</v>
      </c>
    </row>
    <row r="451" spans="1:77" x14ac:dyDescent="0.15">
      <c r="A451" s="32">
        <f t="shared" si="13"/>
        <v>450</v>
      </c>
      <c r="D451" s="32" t="s">
        <v>1223</v>
      </c>
      <c r="E451" s="32" t="s">
        <v>4330</v>
      </c>
      <c r="F451" s="32" t="s">
        <v>1225</v>
      </c>
      <c r="G451" s="32" t="s">
        <v>1225</v>
      </c>
      <c r="H451" s="32" t="s">
        <v>1225</v>
      </c>
      <c r="I451" s="32" t="s">
        <v>4331</v>
      </c>
      <c r="J451" s="32" t="s">
        <v>1225</v>
      </c>
      <c r="K451" s="32" t="s">
        <v>1225</v>
      </c>
      <c r="L451" s="32" t="s">
        <v>4332</v>
      </c>
      <c r="M451" s="32" t="s">
        <v>313</v>
      </c>
      <c r="N451" s="32" t="s">
        <v>1225</v>
      </c>
      <c r="O451" s="32" t="s">
        <v>1225</v>
      </c>
      <c r="P451" s="32" t="s">
        <v>1225</v>
      </c>
      <c r="Q451" s="32" t="s">
        <v>1227</v>
      </c>
      <c r="R451" s="32" t="s">
        <v>1225</v>
      </c>
      <c r="S451" s="32" t="s">
        <v>1225</v>
      </c>
      <c r="T451" s="32" t="s">
        <v>1225</v>
      </c>
      <c r="U451" s="32" t="s">
        <v>1225</v>
      </c>
      <c r="V451" s="32" t="s">
        <v>1225</v>
      </c>
      <c r="W451" s="32" t="s">
        <v>4333</v>
      </c>
      <c r="X451" s="32" t="s">
        <v>4334</v>
      </c>
      <c r="Y451" s="32" t="s">
        <v>4335</v>
      </c>
      <c r="Z451" s="32" t="s">
        <v>1225</v>
      </c>
      <c r="AA451" s="32" t="s">
        <v>1225</v>
      </c>
      <c r="AB451" s="32" t="s">
        <v>1225</v>
      </c>
      <c r="AC451" s="32" t="s">
        <v>1225</v>
      </c>
      <c r="AD451" s="32" t="s">
        <v>1225</v>
      </c>
      <c r="AE451" s="32" t="s">
        <v>1225</v>
      </c>
      <c r="AF451" s="32" t="s">
        <v>1225</v>
      </c>
      <c r="AG451" s="32" t="s">
        <v>1225</v>
      </c>
      <c r="AH451" s="32" t="s">
        <v>1225</v>
      </c>
      <c r="AI451" s="32" t="s">
        <v>1225</v>
      </c>
      <c r="AJ451" s="32" t="s">
        <v>1225</v>
      </c>
      <c r="AK451" s="32" t="s">
        <v>1225</v>
      </c>
      <c r="AL451" s="32" t="s">
        <v>1225</v>
      </c>
      <c r="AM451" s="32" t="s">
        <v>1225</v>
      </c>
      <c r="AN451" s="32" t="s">
        <v>1225</v>
      </c>
      <c r="AO451" s="32" t="s">
        <v>1225</v>
      </c>
      <c r="AP451" s="32" t="s">
        <v>1225</v>
      </c>
      <c r="AQ451" s="32" t="s">
        <v>1225</v>
      </c>
      <c r="AR451" s="32" t="s">
        <v>1225</v>
      </c>
      <c r="AS451" s="32" t="s">
        <v>1225</v>
      </c>
      <c r="AT451" s="32" t="s">
        <v>1225</v>
      </c>
      <c r="AU451" s="32" t="s">
        <v>1225</v>
      </c>
      <c r="AV451" s="32" t="s">
        <v>1225</v>
      </c>
      <c r="AW451" s="32" t="s">
        <v>1272</v>
      </c>
      <c r="AX451" s="32">
        <v>2022</v>
      </c>
      <c r="AY451" s="32">
        <v>136</v>
      </c>
      <c r="AZ451" s="32" t="s">
        <v>1225</v>
      </c>
      <c r="BA451" s="32" t="s">
        <v>1225</v>
      </c>
      <c r="BB451" s="32" t="s">
        <v>1225</v>
      </c>
      <c r="BC451" s="32" t="s">
        <v>1225</v>
      </c>
      <c r="BD451" s="32" t="s">
        <v>1225</v>
      </c>
      <c r="BE451" s="32" t="s">
        <v>1225</v>
      </c>
      <c r="BF451" s="32" t="s">
        <v>1225</v>
      </c>
      <c r="BG451" s="32">
        <v>107692</v>
      </c>
      <c r="BH451" s="32" t="s">
        <v>4336</v>
      </c>
      <c r="BI451" s="32" t="str">
        <f>HYPERLINK("http://dx.doi.org/10.1016/j.ijepes.2021.107692","http://dx.doi.org/10.1016/j.ijepes.2021.107692")</f>
        <v>http://dx.doi.org/10.1016/j.ijepes.2021.107692</v>
      </c>
      <c r="BJ451" s="32" t="s">
        <v>1225</v>
      </c>
      <c r="BK451" s="32" t="s">
        <v>1776</v>
      </c>
      <c r="BL451" s="32" t="s">
        <v>1225</v>
      </c>
      <c r="BM451" s="32" t="s">
        <v>1225</v>
      </c>
      <c r="BN451" s="32" t="s">
        <v>1225</v>
      </c>
      <c r="BO451" s="32" t="s">
        <v>1225</v>
      </c>
      <c r="BP451" s="32" t="s">
        <v>1225</v>
      </c>
      <c r="BQ451" s="32" t="s">
        <v>1225</v>
      </c>
      <c r="BR451" s="32" t="s">
        <v>1225</v>
      </c>
      <c r="BS451" s="32" t="s">
        <v>1225</v>
      </c>
      <c r="BT451" s="32" t="s">
        <v>1225</v>
      </c>
      <c r="BU451" s="32" t="s">
        <v>1225</v>
      </c>
      <c r="BV451" s="32" t="s">
        <v>1225</v>
      </c>
      <c r="BW451" s="32" t="str">
        <f t="shared" si="14"/>
        <v>View Full Record in Web of Science</v>
      </c>
      <c r="BY451" s="41" t="str">
        <f>IF(Deletion!J451=TRUE,"Yes","No")</f>
        <v>Yes</v>
      </c>
    </row>
    <row r="452" spans="1:77" x14ac:dyDescent="0.15">
      <c r="A452" s="32">
        <f t="shared" si="13"/>
        <v>451</v>
      </c>
      <c r="D452" s="32" t="s">
        <v>1223</v>
      </c>
      <c r="E452" s="32" t="s">
        <v>4337</v>
      </c>
      <c r="F452" s="32" t="s">
        <v>1225</v>
      </c>
      <c r="G452" s="32" t="s">
        <v>1225</v>
      </c>
      <c r="H452" s="32" t="s">
        <v>1225</v>
      </c>
      <c r="I452" s="32" t="s">
        <v>4338</v>
      </c>
      <c r="J452" s="32" t="s">
        <v>1225</v>
      </c>
      <c r="K452" s="32" t="s">
        <v>1225</v>
      </c>
      <c r="L452" s="32" t="s">
        <v>4339</v>
      </c>
      <c r="M452" s="32" t="s">
        <v>124</v>
      </c>
      <c r="N452" s="32" t="s">
        <v>1225</v>
      </c>
      <c r="O452" s="32" t="s">
        <v>1225</v>
      </c>
      <c r="P452" s="32" t="s">
        <v>1225</v>
      </c>
      <c r="Q452" s="32" t="s">
        <v>1227</v>
      </c>
      <c r="R452" s="32" t="s">
        <v>1225</v>
      </c>
      <c r="S452" s="32" t="s">
        <v>1225</v>
      </c>
      <c r="T452" s="32" t="s">
        <v>1225</v>
      </c>
      <c r="U452" s="32" t="s">
        <v>1225</v>
      </c>
      <c r="V452" s="32" t="s">
        <v>1225</v>
      </c>
      <c r="W452" s="32" t="s">
        <v>4340</v>
      </c>
      <c r="X452" s="32" t="s">
        <v>4341</v>
      </c>
      <c r="Y452" s="32" t="s">
        <v>4342</v>
      </c>
      <c r="Z452" s="32" t="s">
        <v>1225</v>
      </c>
      <c r="AA452" s="32" t="s">
        <v>1225</v>
      </c>
      <c r="AB452" s="32" t="s">
        <v>1225</v>
      </c>
      <c r="AC452" s="32" t="s">
        <v>1225</v>
      </c>
      <c r="AD452" s="32" t="s">
        <v>1225</v>
      </c>
      <c r="AE452" s="32" t="s">
        <v>1225</v>
      </c>
      <c r="AF452" s="32" t="s">
        <v>1225</v>
      </c>
      <c r="AG452" s="32" t="s">
        <v>1225</v>
      </c>
      <c r="AH452" s="32" t="s">
        <v>1225</v>
      </c>
      <c r="AI452" s="32" t="s">
        <v>1225</v>
      </c>
      <c r="AJ452" s="32" t="s">
        <v>1225</v>
      </c>
      <c r="AK452" s="32" t="s">
        <v>1225</v>
      </c>
      <c r="AL452" s="32" t="s">
        <v>1225</v>
      </c>
      <c r="AM452" s="32" t="s">
        <v>1225</v>
      </c>
      <c r="AN452" s="32" t="s">
        <v>1225</v>
      </c>
      <c r="AO452" s="32" t="s">
        <v>1225</v>
      </c>
      <c r="AP452" s="32" t="s">
        <v>1225</v>
      </c>
      <c r="AQ452" s="32" t="s">
        <v>1225</v>
      </c>
      <c r="AR452" s="32" t="s">
        <v>1225</v>
      </c>
      <c r="AS452" s="32" t="s">
        <v>1225</v>
      </c>
      <c r="AT452" s="32" t="s">
        <v>1225</v>
      </c>
      <c r="AU452" s="32" t="s">
        <v>1225</v>
      </c>
      <c r="AV452" s="32" t="s">
        <v>1225</v>
      </c>
      <c r="AW452" s="32" t="s">
        <v>1239</v>
      </c>
      <c r="AX452" s="32">
        <v>2017</v>
      </c>
      <c r="AY452" s="32">
        <v>8</v>
      </c>
      <c r="AZ452" s="32">
        <v>4</v>
      </c>
      <c r="BA452" s="32" t="s">
        <v>1225</v>
      </c>
      <c r="BB452" s="32" t="s">
        <v>1225</v>
      </c>
      <c r="BC452" s="32" t="s">
        <v>1225</v>
      </c>
      <c r="BD452" s="32" t="s">
        <v>1225</v>
      </c>
      <c r="BE452" s="32">
        <v>1609</v>
      </c>
      <c r="BF452" s="32">
        <v>1618</v>
      </c>
      <c r="BG452" s="32" t="s">
        <v>1225</v>
      </c>
      <c r="BH452" s="32" t="s">
        <v>4343</v>
      </c>
      <c r="BI452" s="32" t="str">
        <f>HYPERLINK("http://dx.doi.org/10.1109/TSG.2015.2494371","http://dx.doi.org/10.1109/TSG.2015.2494371")</f>
        <v>http://dx.doi.org/10.1109/TSG.2015.2494371</v>
      </c>
      <c r="BJ452" s="32" t="s">
        <v>1225</v>
      </c>
      <c r="BK452" s="32" t="s">
        <v>1225</v>
      </c>
      <c r="BL452" s="32" t="s">
        <v>1225</v>
      </c>
      <c r="BM452" s="32" t="s">
        <v>1225</v>
      </c>
      <c r="BN452" s="32" t="s">
        <v>1225</v>
      </c>
      <c r="BO452" s="32" t="s">
        <v>1225</v>
      </c>
      <c r="BP452" s="32" t="s">
        <v>1225</v>
      </c>
      <c r="BQ452" s="32" t="s">
        <v>1225</v>
      </c>
      <c r="BR452" s="32" t="s">
        <v>1225</v>
      </c>
      <c r="BS452" s="32" t="s">
        <v>1225</v>
      </c>
      <c r="BT452" s="32" t="s">
        <v>1225</v>
      </c>
      <c r="BU452" s="32" t="s">
        <v>1225</v>
      </c>
      <c r="BV452" s="32" t="s">
        <v>1225</v>
      </c>
      <c r="BW452" s="32" t="str">
        <f t="shared" si="14"/>
        <v>View Full Record in Web of Science</v>
      </c>
      <c r="BY452" s="41" t="str">
        <f>IF(Deletion!J452=TRUE,"Yes","No")</f>
        <v>Yes</v>
      </c>
    </row>
    <row r="453" spans="1:77" x14ac:dyDescent="0.15">
      <c r="A453" s="32">
        <f t="shared" ref="A453:A516" si="15">A452+1</f>
        <v>452</v>
      </c>
      <c r="D453" s="32" t="s">
        <v>1223</v>
      </c>
      <c r="E453" s="32" t="s">
        <v>4344</v>
      </c>
      <c r="F453" s="32" t="s">
        <v>1225</v>
      </c>
      <c r="G453" s="32" t="s">
        <v>1225</v>
      </c>
      <c r="H453" s="32" t="s">
        <v>1225</v>
      </c>
      <c r="I453" s="32" t="s">
        <v>4345</v>
      </c>
      <c r="J453" s="32" t="s">
        <v>1225</v>
      </c>
      <c r="K453" s="32" t="s">
        <v>1225</v>
      </c>
      <c r="L453" s="32" t="s">
        <v>4346</v>
      </c>
      <c r="M453" s="32" t="s">
        <v>3360</v>
      </c>
      <c r="N453" s="32" t="s">
        <v>1225</v>
      </c>
      <c r="O453" s="32" t="s">
        <v>1225</v>
      </c>
      <c r="P453" s="32" t="s">
        <v>1225</v>
      </c>
      <c r="Q453" s="32" t="s">
        <v>1227</v>
      </c>
      <c r="R453" s="32" t="s">
        <v>1225</v>
      </c>
      <c r="S453" s="32" t="s">
        <v>1225</v>
      </c>
      <c r="T453" s="32" t="s">
        <v>1225</v>
      </c>
      <c r="U453" s="32" t="s">
        <v>1225</v>
      </c>
      <c r="V453" s="32" t="s">
        <v>1225</v>
      </c>
      <c r="W453" s="32" t="s">
        <v>4347</v>
      </c>
      <c r="X453" s="32" t="s">
        <v>4348</v>
      </c>
      <c r="Y453" s="32" t="s">
        <v>4349</v>
      </c>
      <c r="Z453" s="32" t="s">
        <v>1225</v>
      </c>
      <c r="AA453" s="32" t="s">
        <v>1225</v>
      </c>
      <c r="AB453" s="32" t="s">
        <v>1225</v>
      </c>
      <c r="AC453" s="32" t="s">
        <v>1225</v>
      </c>
      <c r="AD453" s="32" t="s">
        <v>1225</v>
      </c>
      <c r="AE453" s="32" t="s">
        <v>1225</v>
      </c>
      <c r="AF453" s="32" t="s">
        <v>1225</v>
      </c>
      <c r="AG453" s="32" t="s">
        <v>1225</v>
      </c>
      <c r="AH453" s="32" t="s">
        <v>1225</v>
      </c>
      <c r="AI453" s="32" t="s">
        <v>1225</v>
      </c>
      <c r="AJ453" s="32" t="s">
        <v>1225</v>
      </c>
      <c r="AK453" s="32" t="s">
        <v>1225</v>
      </c>
      <c r="AL453" s="32" t="s">
        <v>1225</v>
      </c>
      <c r="AM453" s="32" t="s">
        <v>1225</v>
      </c>
      <c r="AN453" s="32" t="s">
        <v>1225</v>
      </c>
      <c r="AO453" s="32" t="s">
        <v>1225</v>
      </c>
      <c r="AP453" s="32" t="s">
        <v>1225</v>
      </c>
      <c r="AQ453" s="32" t="s">
        <v>1225</v>
      </c>
      <c r="AR453" s="32" t="s">
        <v>1225</v>
      </c>
      <c r="AS453" s="32" t="s">
        <v>1225</v>
      </c>
      <c r="AT453" s="32" t="s">
        <v>1225</v>
      </c>
      <c r="AU453" s="32" t="s">
        <v>1225</v>
      </c>
      <c r="AV453" s="32" t="s">
        <v>1225</v>
      </c>
      <c r="AW453" s="32" t="s">
        <v>1298</v>
      </c>
      <c r="AX453" s="32">
        <v>2021</v>
      </c>
      <c r="AY453" s="32">
        <v>15</v>
      </c>
      <c r="AZ453" s="32">
        <v>3</v>
      </c>
      <c r="BA453" s="32" t="s">
        <v>1225</v>
      </c>
      <c r="BB453" s="32" t="s">
        <v>1225</v>
      </c>
      <c r="BC453" s="32" t="s">
        <v>1225</v>
      </c>
      <c r="BD453" s="32" t="s">
        <v>1225</v>
      </c>
      <c r="BE453" s="32">
        <v>3189</v>
      </c>
      <c r="BF453" s="32">
        <v>3200</v>
      </c>
      <c r="BG453" s="32" t="s">
        <v>1225</v>
      </c>
      <c r="BH453" s="32" t="s">
        <v>4350</v>
      </c>
      <c r="BI453" s="32" t="str">
        <f>HYPERLINK("http://dx.doi.org/10.1109/JSYST.2020.3009447","http://dx.doi.org/10.1109/JSYST.2020.3009447")</f>
        <v>http://dx.doi.org/10.1109/JSYST.2020.3009447</v>
      </c>
      <c r="BJ453" s="32" t="s">
        <v>1225</v>
      </c>
      <c r="BK453" s="32" t="s">
        <v>1225</v>
      </c>
      <c r="BL453" s="32" t="s">
        <v>1225</v>
      </c>
      <c r="BM453" s="32" t="s">
        <v>1225</v>
      </c>
      <c r="BN453" s="32" t="s">
        <v>1225</v>
      </c>
      <c r="BO453" s="32" t="s">
        <v>1225</v>
      </c>
      <c r="BP453" s="32" t="s">
        <v>1225</v>
      </c>
      <c r="BQ453" s="32" t="s">
        <v>1225</v>
      </c>
      <c r="BR453" s="32" t="s">
        <v>1225</v>
      </c>
      <c r="BS453" s="32" t="s">
        <v>1225</v>
      </c>
      <c r="BT453" s="32" t="s">
        <v>1225</v>
      </c>
      <c r="BU453" s="32" t="s">
        <v>1225</v>
      </c>
      <c r="BV453" s="32" t="s">
        <v>1225</v>
      </c>
      <c r="BW453" s="32" t="str">
        <f t="shared" si="14"/>
        <v>View Full Record in Web of Science</v>
      </c>
      <c r="BY453" s="41" t="str">
        <f>IF(Deletion!J453=TRUE,"Yes","No")</f>
        <v>Yes</v>
      </c>
    </row>
    <row r="454" spans="1:77" x14ac:dyDescent="0.15">
      <c r="A454" s="32">
        <f t="shared" si="15"/>
        <v>453</v>
      </c>
      <c r="D454" s="32" t="s">
        <v>1223</v>
      </c>
      <c r="E454" s="32" t="s">
        <v>4351</v>
      </c>
      <c r="F454" s="32" t="s">
        <v>1225</v>
      </c>
      <c r="G454" s="32" t="s">
        <v>1225</v>
      </c>
      <c r="H454" s="32" t="s">
        <v>1225</v>
      </c>
      <c r="I454" s="32" t="s">
        <v>4352</v>
      </c>
      <c r="J454" s="32" t="s">
        <v>1225</v>
      </c>
      <c r="K454" s="32" t="s">
        <v>1225</v>
      </c>
      <c r="L454" s="32" t="s">
        <v>4353</v>
      </c>
      <c r="M454" s="32" t="s">
        <v>124</v>
      </c>
      <c r="N454" s="32" t="s">
        <v>1225</v>
      </c>
      <c r="O454" s="32" t="s">
        <v>1225</v>
      </c>
      <c r="P454" s="32" t="s">
        <v>1225</v>
      </c>
      <c r="Q454" s="32" t="s">
        <v>1227</v>
      </c>
      <c r="R454" s="32" t="s">
        <v>1225</v>
      </c>
      <c r="S454" s="32" t="s">
        <v>1225</v>
      </c>
      <c r="T454" s="32" t="s">
        <v>1225</v>
      </c>
      <c r="U454" s="32" t="s">
        <v>1225</v>
      </c>
      <c r="V454" s="32" t="s">
        <v>1225</v>
      </c>
      <c r="W454" s="32" t="s">
        <v>4354</v>
      </c>
      <c r="X454" s="32" t="s">
        <v>3332</v>
      </c>
      <c r="Y454" s="32" t="s">
        <v>4355</v>
      </c>
      <c r="Z454" s="32" t="s">
        <v>1225</v>
      </c>
      <c r="AA454" s="32" t="s">
        <v>1225</v>
      </c>
      <c r="AB454" s="32" t="s">
        <v>1225</v>
      </c>
      <c r="AC454" s="32" t="s">
        <v>1225</v>
      </c>
      <c r="AD454" s="32" t="s">
        <v>1225</v>
      </c>
      <c r="AE454" s="32" t="s">
        <v>1225</v>
      </c>
      <c r="AF454" s="32" t="s">
        <v>1225</v>
      </c>
      <c r="AG454" s="32" t="s">
        <v>1225</v>
      </c>
      <c r="AH454" s="32" t="s">
        <v>1225</v>
      </c>
      <c r="AI454" s="32" t="s">
        <v>1225</v>
      </c>
      <c r="AJ454" s="32" t="s">
        <v>1225</v>
      </c>
      <c r="AK454" s="32" t="s">
        <v>1225</v>
      </c>
      <c r="AL454" s="32" t="s">
        <v>1225</v>
      </c>
      <c r="AM454" s="32" t="s">
        <v>1225</v>
      </c>
      <c r="AN454" s="32" t="s">
        <v>1225</v>
      </c>
      <c r="AO454" s="32" t="s">
        <v>1225</v>
      </c>
      <c r="AP454" s="32" t="s">
        <v>1225</v>
      </c>
      <c r="AQ454" s="32" t="s">
        <v>1225</v>
      </c>
      <c r="AR454" s="32" t="s">
        <v>1225</v>
      </c>
      <c r="AS454" s="32" t="s">
        <v>1225</v>
      </c>
      <c r="AT454" s="32" t="s">
        <v>1225</v>
      </c>
      <c r="AU454" s="32" t="s">
        <v>1225</v>
      </c>
      <c r="AV454" s="32" t="s">
        <v>1225</v>
      </c>
      <c r="AW454" s="32" t="s">
        <v>1317</v>
      </c>
      <c r="AX454" s="32">
        <v>2019</v>
      </c>
      <c r="AY454" s="32">
        <v>10</v>
      </c>
      <c r="AZ454" s="32">
        <v>1</v>
      </c>
      <c r="BA454" s="32" t="s">
        <v>1225</v>
      </c>
      <c r="BB454" s="32" t="s">
        <v>1225</v>
      </c>
      <c r="BC454" s="32" t="s">
        <v>1225</v>
      </c>
      <c r="BD454" s="32" t="s">
        <v>1225</v>
      </c>
      <c r="BE454" s="32">
        <v>523</v>
      </c>
      <c r="BF454" s="32">
        <v>534</v>
      </c>
      <c r="BG454" s="32" t="s">
        <v>1225</v>
      </c>
      <c r="BH454" s="32" t="s">
        <v>4356</v>
      </c>
      <c r="BI454" s="32" t="str">
        <f>HYPERLINK("http://dx.doi.org/10.1109/TSG.2017.2746687","http://dx.doi.org/10.1109/TSG.2017.2746687")</f>
        <v>http://dx.doi.org/10.1109/TSG.2017.2746687</v>
      </c>
      <c r="BJ454" s="32" t="s">
        <v>1225</v>
      </c>
      <c r="BK454" s="32" t="s">
        <v>1225</v>
      </c>
      <c r="BL454" s="32" t="s">
        <v>1225</v>
      </c>
      <c r="BM454" s="32" t="s">
        <v>1225</v>
      </c>
      <c r="BN454" s="32" t="s">
        <v>1225</v>
      </c>
      <c r="BO454" s="32" t="s">
        <v>1225</v>
      </c>
      <c r="BP454" s="32" t="s">
        <v>1225</v>
      </c>
      <c r="BQ454" s="32" t="s">
        <v>1225</v>
      </c>
      <c r="BR454" s="32" t="s">
        <v>1225</v>
      </c>
      <c r="BS454" s="32" t="s">
        <v>1225</v>
      </c>
      <c r="BT454" s="32" t="s">
        <v>1225</v>
      </c>
      <c r="BU454" s="32" t="s">
        <v>1225</v>
      </c>
      <c r="BV454" s="32" t="s">
        <v>1225</v>
      </c>
      <c r="BW454" s="32" t="str">
        <f t="shared" si="14"/>
        <v>View Full Record in Web of Science</v>
      </c>
      <c r="BY454" s="41" t="str">
        <f>IF(Deletion!J454=TRUE,"Yes","No")</f>
        <v>Yes</v>
      </c>
    </row>
    <row r="455" spans="1:77" x14ac:dyDescent="0.15">
      <c r="A455" s="32">
        <f t="shared" si="15"/>
        <v>454</v>
      </c>
      <c r="D455" s="32" t="s">
        <v>1223</v>
      </c>
      <c r="E455" s="32" t="s">
        <v>4357</v>
      </c>
      <c r="F455" s="32" t="s">
        <v>1225</v>
      </c>
      <c r="G455" s="32" t="s">
        <v>1225</v>
      </c>
      <c r="H455" s="32" t="s">
        <v>1225</v>
      </c>
      <c r="I455" s="32" t="s">
        <v>4358</v>
      </c>
      <c r="J455" s="32" t="s">
        <v>1225</v>
      </c>
      <c r="K455" s="32" t="s">
        <v>1225</v>
      </c>
      <c r="L455" s="32" t="s">
        <v>4359</v>
      </c>
      <c r="M455" s="32" t="s">
        <v>1484</v>
      </c>
      <c r="N455" s="32" t="s">
        <v>1225</v>
      </c>
      <c r="O455" s="32" t="s">
        <v>1225</v>
      </c>
      <c r="P455" s="32" t="s">
        <v>1225</v>
      </c>
      <c r="Q455" s="32" t="s">
        <v>1227</v>
      </c>
      <c r="R455" s="32" t="s">
        <v>1225</v>
      </c>
      <c r="S455" s="32" t="s">
        <v>1225</v>
      </c>
      <c r="T455" s="32" t="s">
        <v>1225</v>
      </c>
      <c r="U455" s="32" t="s">
        <v>1225</v>
      </c>
      <c r="V455" s="32" t="s">
        <v>1225</v>
      </c>
      <c r="W455" s="32" t="s">
        <v>4360</v>
      </c>
      <c r="X455" s="32" t="s">
        <v>4361</v>
      </c>
      <c r="Y455" s="32" t="s">
        <v>4362</v>
      </c>
      <c r="Z455" s="32" t="s">
        <v>1225</v>
      </c>
      <c r="AA455" s="32" t="s">
        <v>1225</v>
      </c>
      <c r="AB455" s="32" t="s">
        <v>1225</v>
      </c>
      <c r="AC455" s="32" t="s">
        <v>1225</v>
      </c>
      <c r="AD455" s="32" t="s">
        <v>1225</v>
      </c>
      <c r="AE455" s="32" t="s">
        <v>1225</v>
      </c>
      <c r="AF455" s="32" t="s">
        <v>1225</v>
      </c>
      <c r="AG455" s="32" t="s">
        <v>1225</v>
      </c>
      <c r="AH455" s="32" t="s">
        <v>1225</v>
      </c>
      <c r="AI455" s="32" t="s">
        <v>1225</v>
      </c>
      <c r="AJ455" s="32" t="s">
        <v>1225</v>
      </c>
      <c r="AK455" s="32" t="s">
        <v>1225</v>
      </c>
      <c r="AL455" s="32" t="s">
        <v>1225</v>
      </c>
      <c r="AM455" s="32" t="s">
        <v>1225</v>
      </c>
      <c r="AN455" s="32" t="s">
        <v>1225</v>
      </c>
      <c r="AO455" s="32" t="s">
        <v>1225</v>
      </c>
      <c r="AP455" s="32" t="s">
        <v>1225</v>
      </c>
      <c r="AQ455" s="32" t="s">
        <v>1225</v>
      </c>
      <c r="AR455" s="32" t="s">
        <v>1225</v>
      </c>
      <c r="AS455" s="32" t="s">
        <v>1225</v>
      </c>
      <c r="AT455" s="32" t="s">
        <v>1225</v>
      </c>
      <c r="AU455" s="32" t="s">
        <v>1225</v>
      </c>
      <c r="AV455" s="32" t="s">
        <v>1225</v>
      </c>
      <c r="AW455" s="32" t="s">
        <v>4363</v>
      </c>
      <c r="AX455" s="32">
        <v>2021</v>
      </c>
      <c r="AY455" s="32">
        <v>9</v>
      </c>
      <c r="AZ455" s="32" t="s">
        <v>1225</v>
      </c>
      <c r="BA455" s="32" t="s">
        <v>1225</v>
      </c>
      <c r="BB455" s="32" t="s">
        <v>1225</v>
      </c>
      <c r="BC455" s="32" t="s">
        <v>1225</v>
      </c>
      <c r="BD455" s="32" t="s">
        <v>1225</v>
      </c>
      <c r="BE455" s="32" t="s">
        <v>1225</v>
      </c>
      <c r="BF455" s="32" t="s">
        <v>1225</v>
      </c>
      <c r="BG455" s="32">
        <v>811964</v>
      </c>
      <c r="BH455" s="32" t="s">
        <v>4364</v>
      </c>
      <c r="BI455" s="32" t="str">
        <f>HYPERLINK("http://dx.doi.org/10.3389/fenrg.2021.811964","http://dx.doi.org/10.3389/fenrg.2021.811964")</f>
        <v>http://dx.doi.org/10.3389/fenrg.2021.811964</v>
      </c>
      <c r="BJ455" s="32" t="s">
        <v>1225</v>
      </c>
      <c r="BK455" s="32" t="s">
        <v>1225</v>
      </c>
      <c r="BL455" s="32" t="s">
        <v>1225</v>
      </c>
      <c r="BM455" s="32" t="s">
        <v>1225</v>
      </c>
      <c r="BN455" s="32" t="s">
        <v>1225</v>
      </c>
      <c r="BO455" s="32" t="s">
        <v>1225</v>
      </c>
      <c r="BP455" s="32" t="s">
        <v>1225</v>
      </c>
      <c r="BQ455" s="32" t="s">
        <v>1225</v>
      </c>
      <c r="BR455" s="32" t="s">
        <v>1225</v>
      </c>
      <c r="BS455" s="32" t="s">
        <v>1225</v>
      </c>
      <c r="BT455" s="32" t="s">
        <v>1225</v>
      </c>
      <c r="BU455" s="32" t="s">
        <v>1225</v>
      </c>
      <c r="BV455" s="32" t="s">
        <v>1225</v>
      </c>
      <c r="BW455" s="32" t="str">
        <f t="shared" si="14"/>
        <v>View Full Record in Web of Science</v>
      </c>
      <c r="BY455" s="41" t="str">
        <f>IF(Deletion!J455=TRUE,"Yes","No")</f>
        <v>Yes</v>
      </c>
    </row>
    <row r="456" spans="1:77" x14ac:dyDescent="0.15">
      <c r="A456" s="34">
        <f t="shared" si="15"/>
        <v>455</v>
      </c>
      <c r="B456" s="34" t="s">
        <v>4</v>
      </c>
      <c r="C456" s="34" t="s">
        <v>4</v>
      </c>
      <c r="D456" s="34" t="s">
        <v>1223</v>
      </c>
      <c r="E456" s="34" t="s">
        <v>4365</v>
      </c>
      <c r="F456" s="32" t="s">
        <v>1225</v>
      </c>
      <c r="G456" s="32" t="s">
        <v>1225</v>
      </c>
      <c r="H456" s="32" t="s">
        <v>1225</v>
      </c>
      <c r="I456" s="34" t="s">
        <v>4366</v>
      </c>
      <c r="J456" s="32" t="s">
        <v>1225</v>
      </c>
      <c r="K456" s="32" t="s">
        <v>1225</v>
      </c>
      <c r="L456" s="34" t="s">
        <v>4367</v>
      </c>
      <c r="M456" s="34" t="s">
        <v>97</v>
      </c>
      <c r="N456" s="32" t="s">
        <v>1225</v>
      </c>
      <c r="O456" s="32" t="s">
        <v>1225</v>
      </c>
      <c r="P456" s="32" t="s">
        <v>1225</v>
      </c>
      <c r="Q456" s="34" t="s">
        <v>1227</v>
      </c>
      <c r="R456" s="32" t="s">
        <v>1225</v>
      </c>
      <c r="S456" s="32" t="s">
        <v>1225</v>
      </c>
      <c r="T456" s="32" t="s">
        <v>1225</v>
      </c>
      <c r="U456" s="32" t="s">
        <v>1225</v>
      </c>
      <c r="V456" s="32" t="s">
        <v>1225</v>
      </c>
      <c r="W456" s="34" t="s">
        <v>4368</v>
      </c>
      <c r="X456" s="34" t="s">
        <v>4369</v>
      </c>
      <c r="Y456" s="34" t="s">
        <v>4370</v>
      </c>
      <c r="Z456" s="32" t="s">
        <v>1225</v>
      </c>
      <c r="AA456" s="32" t="s">
        <v>1225</v>
      </c>
      <c r="AB456" s="32" t="s">
        <v>1225</v>
      </c>
      <c r="AC456" s="32" t="s">
        <v>1225</v>
      </c>
      <c r="AD456" s="32" t="s">
        <v>1225</v>
      </c>
      <c r="AE456" s="32" t="s">
        <v>1225</v>
      </c>
      <c r="AF456" s="32" t="s">
        <v>1225</v>
      </c>
      <c r="AG456" s="32" t="s">
        <v>1225</v>
      </c>
      <c r="AH456" s="32" t="s">
        <v>1225</v>
      </c>
      <c r="AI456" s="32" t="s">
        <v>1225</v>
      </c>
      <c r="AJ456" s="32" t="s">
        <v>1225</v>
      </c>
      <c r="AK456" s="32" t="s">
        <v>1225</v>
      </c>
      <c r="AL456" s="32" t="s">
        <v>1225</v>
      </c>
      <c r="AM456" s="32" t="s">
        <v>1225</v>
      </c>
      <c r="AN456" s="32" t="s">
        <v>1225</v>
      </c>
      <c r="AO456" s="32" t="s">
        <v>1225</v>
      </c>
      <c r="AP456" s="32" t="s">
        <v>1225</v>
      </c>
      <c r="AQ456" s="32" t="s">
        <v>1225</v>
      </c>
      <c r="AR456" s="32" t="s">
        <v>1225</v>
      </c>
      <c r="AS456" s="32" t="s">
        <v>1225</v>
      </c>
      <c r="AT456" s="32" t="s">
        <v>1225</v>
      </c>
      <c r="AU456" s="32" t="s">
        <v>1225</v>
      </c>
      <c r="AV456" s="32" t="s">
        <v>1225</v>
      </c>
      <c r="AW456" s="34" t="s">
        <v>1263</v>
      </c>
      <c r="AX456" s="34">
        <v>2019</v>
      </c>
      <c r="AY456" s="32">
        <v>241</v>
      </c>
      <c r="AZ456" s="32" t="s">
        <v>1225</v>
      </c>
      <c r="BA456" s="32" t="s">
        <v>1225</v>
      </c>
      <c r="BB456" s="32" t="s">
        <v>1225</v>
      </c>
      <c r="BC456" s="32" t="s">
        <v>1225</v>
      </c>
      <c r="BD456" s="32" t="s">
        <v>1225</v>
      </c>
      <c r="BE456" s="32">
        <v>461</v>
      </c>
      <c r="BF456" s="32">
        <v>471</v>
      </c>
      <c r="BG456" s="32" t="s">
        <v>1225</v>
      </c>
      <c r="BH456" s="34" t="s">
        <v>4371</v>
      </c>
      <c r="BI456" s="34" t="str">
        <f>HYPERLINK("http://dx.doi.org/10.1016/j.apenergy.2019.03.008","http://dx.doi.org/10.1016/j.apenergy.2019.03.008")</f>
        <v>http://dx.doi.org/10.1016/j.apenergy.2019.03.008</v>
      </c>
      <c r="BJ456" s="32" t="s">
        <v>1225</v>
      </c>
      <c r="BK456" s="32" t="s">
        <v>1225</v>
      </c>
      <c r="BL456" s="32" t="s">
        <v>1225</v>
      </c>
      <c r="BM456" s="32" t="s">
        <v>1225</v>
      </c>
      <c r="BN456" s="32" t="s">
        <v>1225</v>
      </c>
      <c r="BO456" s="32" t="s">
        <v>1225</v>
      </c>
      <c r="BP456" s="32" t="s">
        <v>1225</v>
      </c>
      <c r="BQ456" s="32" t="s">
        <v>1225</v>
      </c>
      <c r="BR456" s="32" t="s">
        <v>1225</v>
      </c>
      <c r="BS456" s="32" t="s">
        <v>1225</v>
      </c>
      <c r="BT456" s="32" t="s">
        <v>1225</v>
      </c>
      <c r="BU456" s="32" t="s">
        <v>1225</v>
      </c>
      <c r="BV456" s="32" t="s">
        <v>1225</v>
      </c>
      <c r="BW456" s="32" t="str">
        <f t="shared" si="14"/>
        <v>View Full Record in Web of Science</v>
      </c>
      <c r="BY456" s="41" t="str">
        <f>IF(Deletion!J456=TRUE,"Yes","No")</f>
        <v>No</v>
      </c>
    </row>
    <row r="457" spans="1:77" x14ac:dyDescent="0.15">
      <c r="A457" s="34">
        <f t="shared" si="15"/>
        <v>456</v>
      </c>
      <c r="B457" s="34" t="s">
        <v>4</v>
      </c>
      <c r="C457" s="34" t="s">
        <v>4</v>
      </c>
      <c r="D457" s="34" t="s">
        <v>1223</v>
      </c>
      <c r="E457" s="34" t="s">
        <v>4372</v>
      </c>
      <c r="F457" s="32" t="s">
        <v>1225</v>
      </c>
      <c r="G457" s="32" t="s">
        <v>1225</v>
      </c>
      <c r="H457" s="32" t="s">
        <v>1225</v>
      </c>
      <c r="I457" s="34" t="s">
        <v>4373</v>
      </c>
      <c r="J457" s="32" t="s">
        <v>1225</v>
      </c>
      <c r="K457" s="32" t="s">
        <v>1225</v>
      </c>
      <c r="L457" s="34" t="s">
        <v>4374</v>
      </c>
      <c r="M457" s="34" t="s">
        <v>4375</v>
      </c>
      <c r="N457" s="32" t="s">
        <v>1225</v>
      </c>
      <c r="O457" s="32" t="s">
        <v>1225</v>
      </c>
      <c r="P457" s="32" t="s">
        <v>1225</v>
      </c>
      <c r="Q457" s="34" t="s">
        <v>1227</v>
      </c>
      <c r="R457" s="32" t="s">
        <v>1225</v>
      </c>
      <c r="S457" s="32" t="s">
        <v>1225</v>
      </c>
      <c r="T457" s="32" t="s">
        <v>1225</v>
      </c>
      <c r="U457" s="32" t="s">
        <v>1225</v>
      </c>
      <c r="V457" s="32" t="s">
        <v>1225</v>
      </c>
      <c r="W457" s="34" t="s">
        <v>4376</v>
      </c>
      <c r="X457" s="34" t="s">
        <v>4377</v>
      </c>
      <c r="Y457" s="34" t="s">
        <v>4378</v>
      </c>
      <c r="Z457" s="32" t="s">
        <v>1225</v>
      </c>
      <c r="AA457" s="32" t="s">
        <v>1225</v>
      </c>
      <c r="AB457" s="32" t="s">
        <v>1225</v>
      </c>
      <c r="AC457" s="32" t="s">
        <v>1225</v>
      </c>
      <c r="AD457" s="32" t="s">
        <v>1225</v>
      </c>
      <c r="AE457" s="32" t="s">
        <v>1225</v>
      </c>
      <c r="AF457" s="32" t="s">
        <v>1225</v>
      </c>
      <c r="AG457" s="32" t="s">
        <v>1225</v>
      </c>
      <c r="AH457" s="32" t="s">
        <v>1225</v>
      </c>
      <c r="AI457" s="32" t="s">
        <v>1225</v>
      </c>
      <c r="AJ457" s="32" t="s">
        <v>1225</v>
      </c>
      <c r="AK457" s="32" t="s">
        <v>1225</v>
      </c>
      <c r="AL457" s="32" t="s">
        <v>1225</v>
      </c>
      <c r="AM457" s="32" t="s">
        <v>1225</v>
      </c>
      <c r="AN457" s="32" t="s">
        <v>1225</v>
      </c>
      <c r="AO457" s="32" t="s">
        <v>1225</v>
      </c>
      <c r="AP457" s="32" t="s">
        <v>1225</v>
      </c>
      <c r="AQ457" s="32" t="s">
        <v>1225</v>
      </c>
      <c r="AR457" s="32" t="s">
        <v>1225</v>
      </c>
      <c r="AS457" s="32" t="s">
        <v>1225</v>
      </c>
      <c r="AT457" s="32" t="s">
        <v>1225</v>
      </c>
      <c r="AU457" s="32" t="s">
        <v>1225</v>
      </c>
      <c r="AV457" s="32" t="s">
        <v>1225</v>
      </c>
      <c r="AW457" s="34" t="s">
        <v>1285</v>
      </c>
      <c r="AX457" s="34">
        <v>2021</v>
      </c>
      <c r="AY457" s="32">
        <v>51</v>
      </c>
      <c r="AZ457" s="32">
        <v>5</v>
      </c>
      <c r="BA457" s="32" t="s">
        <v>1225</v>
      </c>
      <c r="BB457" s="32" t="s">
        <v>1225</v>
      </c>
      <c r="BC457" s="32" t="s">
        <v>1225</v>
      </c>
      <c r="BD457" s="32" t="s">
        <v>1225</v>
      </c>
      <c r="BE457" s="32">
        <v>3026</v>
      </c>
      <c r="BF457" s="32">
        <v>3039</v>
      </c>
      <c r="BG457" s="32" t="s">
        <v>1225</v>
      </c>
      <c r="BH457" s="34" t="s">
        <v>4379</v>
      </c>
      <c r="BI457" s="34" t="str">
        <f>HYPERLINK("http://dx.doi.org/10.1109/TSMC.2019.2917149","http://dx.doi.org/10.1109/TSMC.2019.2917149")</f>
        <v>http://dx.doi.org/10.1109/TSMC.2019.2917149</v>
      </c>
      <c r="BJ457" s="32" t="s">
        <v>1225</v>
      </c>
      <c r="BK457" s="32" t="s">
        <v>1225</v>
      </c>
      <c r="BL457" s="32" t="s">
        <v>1225</v>
      </c>
      <c r="BM457" s="32" t="s">
        <v>1225</v>
      </c>
      <c r="BN457" s="32" t="s">
        <v>1225</v>
      </c>
      <c r="BO457" s="32" t="s">
        <v>1225</v>
      </c>
      <c r="BP457" s="32" t="s">
        <v>1225</v>
      </c>
      <c r="BQ457" s="32" t="s">
        <v>1225</v>
      </c>
      <c r="BR457" s="32" t="s">
        <v>1225</v>
      </c>
      <c r="BS457" s="32" t="s">
        <v>1225</v>
      </c>
      <c r="BT457" s="32" t="s">
        <v>1225</v>
      </c>
      <c r="BU457" s="32" t="s">
        <v>1225</v>
      </c>
      <c r="BV457" s="32" t="s">
        <v>1225</v>
      </c>
      <c r="BW457" s="32" t="str">
        <f t="shared" si="14"/>
        <v>View Full Record in Web of Science</v>
      </c>
      <c r="BY457" s="41" t="str">
        <f>IF(Deletion!J457=TRUE,"Yes","No")</f>
        <v>No</v>
      </c>
    </row>
    <row r="458" spans="1:77" x14ac:dyDescent="0.15">
      <c r="A458" s="32">
        <f t="shared" si="15"/>
        <v>457</v>
      </c>
      <c r="D458" s="32" t="s">
        <v>1223</v>
      </c>
      <c r="E458" s="32" t="s">
        <v>4380</v>
      </c>
      <c r="F458" s="32" t="s">
        <v>1225</v>
      </c>
      <c r="G458" s="32" t="s">
        <v>1225</v>
      </c>
      <c r="H458" s="32" t="s">
        <v>1225</v>
      </c>
      <c r="I458" s="32" t="s">
        <v>4381</v>
      </c>
      <c r="J458" s="32" t="s">
        <v>1225</v>
      </c>
      <c r="K458" s="32" t="s">
        <v>1225</v>
      </c>
      <c r="L458" s="32" t="s">
        <v>4382</v>
      </c>
      <c r="M458" s="32" t="s">
        <v>124</v>
      </c>
      <c r="N458" s="32" t="s">
        <v>1225</v>
      </c>
      <c r="O458" s="32" t="s">
        <v>1225</v>
      </c>
      <c r="P458" s="32" t="s">
        <v>1225</v>
      </c>
      <c r="Q458" s="32" t="s">
        <v>1227</v>
      </c>
      <c r="R458" s="32" t="s">
        <v>1225</v>
      </c>
      <c r="S458" s="32" t="s">
        <v>1225</v>
      </c>
      <c r="T458" s="32" t="s">
        <v>1225</v>
      </c>
      <c r="U458" s="32" t="s">
        <v>1225</v>
      </c>
      <c r="V458" s="32" t="s">
        <v>1225</v>
      </c>
      <c r="W458" s="32" t="s">
        <v>4383</v>
      </c>
      <c r="X458" s="32" t="s">
        <v>4384</v>
      </c>
      <c r="Y458" s="32" t="s">
        <v>4385</v>
      </c>
      <c r="Z458" s="32" t="s">
        <v>1225</v>
      </c>
      <c r="AA458" s="32" t="s">
        <v>1225</v>
      </c>
      <c r="AB458" s="32" t="s">
        <v>1225</v>
      </c>
      <c r="AC458" s="32" t="s">
        <v>1225</v>
      </c>
      <c r="AD458" s="32" t="s">
        <v>1225</v>
      </c>
      <c r="AE458" s="32" t="s">
        <v>1225</v>
      </c>
      <c r="AF458" s="32" t="s">
        <v>1225</v>
      </c>
      <c r="AG458" s="32" t="s">
        <v>1225</v>
      </c>
      <c r="AH458" s="32" t="s">
        <v>1225</v>
      </c>
      <c r="AI458" s="32" t="s">
        <v>1225</v>
      </c>
      <c r="AJ458" s="32" t="s">
        <v>1225</v>
      </c>
      <c r="AK458" s="32" t="s">
        <v>1225</v>
      </c>
      <c r="AL458" s="32" t="s">
        <v>1225</v>
      </c>
      <c r="AM458" s="32" t="s">
        <v>1225</v>
      </c>
      <c r="AN458" s="32" t="s">
        <v>1225</v>
      </c>
      <c r="AO458" s="32" t="s">
        <v>1225</v>
      </c>
      <c r="AP458" s="32" t="s">
        <v>1225</v>
      </c>
      <c r="AQ458" s="32" t="s">
        <v>1225</v>
      </c>
      <c r="AR458" s="32" t="s">
        <v>1225</v>
      </c>
      <c r="AS458" s="32" t="s">
        <v>1225</v>
      </c>
      <c r="AT458" s="32" t="s">
        <v>1225</v>
      </c>
      <c r="AU458" s="32" t="s">
        <v>1225</v>
      </c>
      <c r="AV458" s="32" t="s">
        <v>1225</v>
      </c>
      <c r="AW458" s="32" t="s">
        <v>1239</v>
      </c>
      <c r="AX458" s="32">
        <v>2022</v>
      </c>
      <c r="AY458" s="32">
        <v>13</v>
      </c>
      <c r="AZ458" s="32">
        <v>4</v>
      </c>
      <c r="BA458" s="32" t="s">
        <v>1225</v>
      </c>
      <c r="BB458" s="32" t="s">
        <v>1225</v>
      </c>
      <c r="BC458" s="32" t="s">
        <v>1225</v>
      </c>
      <c r="BD458" s="32" t="s">
        <v>1225</v>
      </c>
      <c r="BE458" s="32">
        <v>3106</v>
      </c>
      <c r="BF458" s="32">
        <v>3117</v>
      </c>
      <c r="BG458" s="32" t="s">
        <v>1225</v>
      </c>
      <c r="BH458" s="32" t="s">
        <v>4386</v>
      </c>
      <c r="BI458" s="32" t="str">
        <f>HYPERLINK("http://dx.doi.org/10.1109/TSG.2022.3155455","http://dx.doi.org/10.1109/TSG.2022.3155455")</f>
        <v>http://dx.doi.org/10.1109/TSG.2022.3155455</v>
      </c>
      <c r="BJ458" s="32" t="s">
        <v>1225</v>
      </c>
      <c r="BK458" s="32" t="s">
        <v>1225</v>
      </c>
      <c r="BL458" s="32" t="s">
        <v>1225</v>
      </c>
      <c r="BM458" s="32" t="s">
        <v>1225</v>
      </c>
      <c r="BN458" s="32" t="s">
        <v>1225</v>
      </c>
      <c r="BO458" s="32" t="s">
        <v>1225</v>
      </c>
      <c r="BP458" s="32" t="s">
        <v>1225</v>
      </c>
      <c r="BQ458" s="32" t="s">
        <v>1225</v>
      </c>
      <c r="BR458" s="32" t="s">
        <v>1225</v>
      </c>
      <c r="BS458" s="32" t="s">
        <v>1225</v>
      </c>
      <c r="BT458" s="32" t="s">
        <v>1225</v>
      </c>
      <c r="BU458" s="32" t="s">
        <v>1225</v>
      </c>
      <c r="BV458" s="32" t="s">
        <v>1225</v>
      </c>
      <c r="BW458" s="32" t="str">
        <f t="shared" si="14"/>
        <v>View Full Record in Web of Science</v>
      </c>
      <c r="BY458" s="41" t="str">
        <f>IF(Deletion!J458=TRUE,"Yes","No")</f>
        <v>Yes</v>
      </c>
    </row>
    <row r="459" spans="1:77" x14ac:dyDescent="0.15">
      <c r="A459" s="32">
        <f t="shared" si="15"/>
        <v>458</v>
      </c>
      <c r="D459" s="32" t="s">
        <v>1223</v>
      </c>
      <c r="E459" s="32" t="s">
        <v>4387</v>
      </c>
      <c r="F459" s="32" t="s">
        <v>1225</v>
      </c>
      <c r="G459" s="32" t="s">
        <v>1225</v>
      </c>
      <c r="H459" s="32" t="s">
        <v>1225</v>
      </c>
      <c r="I459" s="32" t="s">
        <v>4388</v>
      </c>
      <c r="J459" s="32" t="s">
        <v>1225</v>
      </c>
      <c r="K459" s="32" t="s">
        <v>1225</v>
      </c>
      <c r="L459" s="32" t="s">
        <v>4389</v>
      </c>
      <c r="M459" s="32" t="s">
        <v>124</v>
      </c>
      <c r="N459" s="32" t="s">
        <v>1225</v>
      </c>
      <c r="O459" s="32" t="s">
        <v>1225</v>
      </c>
      <c r="P459" s="32" t="s">
        <v>1225</v>
      </c>
      <c r="Q459" s="32" t="s">
        <v>1227</v>
      </c>
      <c r="R459" s="32" t="s">
        <v>1225</v>
      </c>
      <c r="S459" s="32" t="s">
        <v>1225</v>
      </c>
      <c r="T459" s="32" t="s">
        <v>1225</v>
      </c>
      <c r="U459" s="32" t="s">
        <v>1225</v>
      </c>
      <c r="V459" s="32" t="s">
        <v>1225</v>
      </c>
      <c r="W459" s="32" t="s">
        <v>4390</v>
      </c>
      <c r="X459" s="32" t="s">
        <v>4391</v>
      </c>
      <c r="Y459" s="32" t="s">
        <v>4392</v>
      </c>
      <c r="Z459" s="32" t="s">
        <v>1225</v>
      </c>
      <c r="AA459" s="32" t="s">
        <v>1225</v>
      </c>
      <c r="AB459" s="32" t="s">
        <v>1225</v>
      </c>
      <c r="AC459" s="32" t="s">
        <v>1225</v>
      </c>
      <c r="AD459" s="32" t="s">
        <v>1225</v>
      </c>
      <c r="AE459" s="32" t="s">
        <v>1225</v>
      </c>
      <c r="AF459" s="32" t="s">
        <v>1225</v>
      </c>
      <c r="AG459" s="32" t="s">
        <v>1225</v>
      </c>
      <c r="AH459" s="32" t="s">
        <v>1225</v>
      </c>
      <c r="AI459" s="32" t="s">
        <v>1225</v>
      </c>
      <c r="AJ459" s="32" t="s">
        <v>1225</v>
      </c>
      <c r="AK459" s="32" t="s">
        <v>1225</v>
      </c>
      <c r="AL459" s="32" t="s">
        <v>1225</v>
      </c>
      <c r="AM459" s="32" t="s">
        <v>1225</v>
      </c>
      <c r="AN459" s="32" t="s">
        <v>1225</v>
      </c>
      <c r="AO459" s="32" t="s">
        <v>1225</v>
      </c>
      <c r="AP459" s="32" t="s">
        <v>1225</v>
      </c>
      <c r="AQ459" s="32" t="s">
        <v>1225</v>
      </c>
      <c r="AR459" s="32" t="s">
        <v>1225</v>
      </c>
      <c r="AS459" s="32" t="s">
        <v>1225</v>
      </c>
      <c r="AT459" s="32" t="s">
        <v>1225</v>
      </c>
      <c r="AU459" s="32" t="s">
        <v>1225</v>
      </c>
      <c r="AV459" s="32" t="s">
        <v>1225</v>
      </c>
      <c r="AW459" s="32" t="s">
        <v>1272</v>
      </c>
      <c r="AX459" s="32">
        <v>2021</v>
      </c>
      <c r="AY459" s="32">
        <v>12</v>
      </c>
      <c r="AZ459" s="32">
        <v>2</v>
      </c>
      <c r="BA459" s="32" t="s">
        <v>1225</v>
      </c>
      <c r="BB459" s="32" t="s">
        <v>1225</v>
      </c>
      <c r="BC459" s="32" t="s">
        <v>1225</v>
      </c>
      <c r="BD459" s="32" t="s">
        <v>1225</v>
      </c>
      <c r="BE459" s="32">
        <v>1416</v>
      </c>
      <c r="BF459" s="32">
        <v>1428</v>
      </c>
      <c r="BG459" s="32" t="s">
        <v>1225</v>
      </c>
      <c r="BH459" s="32" t="s">
        <v>4393</v>
      </c>
      <c r="BI459" s="32" t="str">
        <f>HYPERLINK("http://dx.doi.org/10.1109/TSG.2020.3028470","http://dx.doi.org/10.1109/TSG.2020.3028470")</f>
        <v>http://dx.doi.org/10.1109/TSG.2020.3028470</v>
      </c>
      <c r="BJ459" s="32" t="s">
        <v>1225</v>
      </c>
      <c r="BK459" s="32" t="s">
        <v>1225</v>
      </c>
      <c r="BL459" s="32" t="s">
        <v>1225</v>
      </c>
      <c r="BM459" s="32" t="s">
        <v>1225</v>
      </c>
      <c r="BN459" s="32" t="s">
        <v>1225</v>
      </c>
      <c r="BO459" s="32" t="s">
        <v>1225</v>
      </c>
      <c r="BP459" s="32" t="s">
        <v>1225</v>
      </c>
      <c r="BQ459" s="32" t="s">
        <v>1225</v>
      </c>
      <c r="BR459" s="32" t="s">
        <v>1225</v>
      </c>
      <c r="BS459" s="32" t="s">
        <v>1225</v>
      </c>
      <c r="BT459" s="32" t="s">
        <v>1225</v>
      </c>
      <c r="BU459" s="32" t="s">
        <v>1225</v>
      </c>
      <c r="BV459" s="32" t="s">
        <v>1225</v>
      </c>
      <c r="BW459" s="32" t="str">
        <f t="shared" si="14"/>
        <v>View Full Record in Web of Science</v>
      </c>
      <c r="BY459" s="41" t="str">
        <f>IF(Deletion!J459=TRUE,"Yes","No")</f>
        <v>Yes</v>
      </c>
    </row>
    <row r="460" spans="1:77" x14ac:dyDescent="0.15">
      <c r="A460" s="32">
        <f t="shared" si="15"/>
        <v>459</v>
      </c>
      <c r="D460" s="32" t="s">
        <v>1223</v>
      </c>
      <c r="E460" s="32" t="s">
        <v>4394</v>
      </c>
      <c r="F460" s="32" t="s">
        <v>1225</v>
      </c>
      <c r="G460" s="32" t="s">
        <v>1225</v>
      </c>
      <c r="H460" s="32" t="s">
        <v>1225</v>
      </c>
      <c r="I460" s="32" t="s">
        <v>4395</v>
      </c>
      <c r="J460" s="32" t="s">
        <v>1225</v>
      </c>
      <c r="K460" s="32" t="s">
        <v>1225</v>
      </c>
      <c r="L460" s="32" t="s">
        <v>4396</v>
      </c>
      <c r="M460" s="32" t="s">
        <v>68</v>
      </c>
      <c r="N460" s="32" t="s">
        <v>1225</v>
      </c>
      <c r="O460" s="32" t="s">
        <v>1225</v>
      </c>
      <c r="P460" s="32" t="s">
        <v>1225</v>
      </c>
      <c r="Q460" s="32" t="s">
        <v>1227</v>
      </c>
      <c r="R460" s="32" t="s">
        <v>1225</v>
      </c>
      <c r="S460" s="32" t="s">
        <v>1225</v>
      </c>
      <c r="T460" s="32" t="s">
        <v>1225</v>
      </c>
      <c r="U460" s="32" t="s">
        <v>1225</v>
      </c>
      <c r="V460" s="32" t="s">
        <v>1225</v>
      </c>
      <c r="W460" s="32" t="s">
        <v>4397</v>
      </c>
      <c r="X460" s="32" t="s">
        <v>4398</v>
      </c>
      <c r="Y460" s="32" t="s">
        <v>4399</v>
      </c>
      <c r="Z460" s="32" t="s">
        <v>1225</v>
      </c>
      <c r="AA460" s="32" t="s">
        <v>1225</v>
      </c>
      <c r="AB460" s="32" t="s">
        <v>1225</v>
      </c>
      <c r="AC460" s="32" t="s">
        <v>1225</v>
      </c>
      <c r="AD460" s="32" t="s">
        <v>1225</v>
      </c>
      <c r="AE460" s="32" t="s">
        <v>1225</v>
      </c>
      <c r="AF460" s="32" t="s">
        <v>1225</v>
      </c>
      <c r="AG460" s="32" t="s">
        <v>1225</v>
      </c>
      <c r="AH460" s="32" t="s">
        <v>1225</v>
      </c>
      <c r="AI460" s="32" t="s">
        <v>1225</v>
      </c>
      <c r="AJ460" s="32" t="s">
        <v>1225</v>
      </c>
      <c r="AK460" s="32" t="s">
        <v>1225</v>
      </c>
      <c r="AL460" s="32" t="s">
        <v>1225</v>
      </c>
      <c r="AM460" s="32" t="s">
        <v>1225</v>
      </c>
      <c r="AN460" s="32" t="s">
        <v>1225</v>
      </c>
      <c r="AO460" s="32" t="s">
        <v>1225</v>
      </c>
      <c r="AP460" s="32" t="s">
        <v>1225</v>
      </c>
      <c r="AQ460" s="32" t="s">
        <v>1225</v>
      </c>
      <c r="AR460" s="32" t="s">
        <v>1225</v>
      </c>
      <c r="AS460" s="32" t="s">
        <v>1225</v>
      </c>
      <c r="AT460" s="32" t="s">
        <v>1225</v>
      </c>
      <c r="AU460" s="32" t="s">
        <v>1225</v>
      </c>
      <c r="AV460" s="32" t="s">
        <v>1225</v>
      </c>
      <c r="AW460" s="32" t="s">
        <v>1225</v>
      </c>
      <c r="AX460" s="32">
        <v>2019</v>
      </c>
      <c r="AY460" s="32">
        <v>7</v>
      </c>
      <c r="AZ460" s="32" t="s">
        <v>1225</v>
      </c>
      <c r="BA460" s="32" t="s">
        <v>1225</v>
      </c>
      <c r="BB460" s="32" t="s">
        <v>1225</v>
      </c>
      <c r="BC460" s="32" t="s">
        <v>1225</v>
      </c>
      <c r="BD460" s="32" t="s">
        <v>1225</v>
      </c>
      <c r="BE460" s="32">
        <v>144548</v>
      </c>
      <c r="BF460" s="32">
        <v>144560</v>
      </c>
      <c r="BG460" s="32" t="s">
        <v>1225</v>
      </c>
      <c r="BH460" s="32" t="s">
        <v>4400</v>
      </c>
      <c r="BI460" s="32" t="str">
        <f>HYPERLINK("http://dx.doi.org/10.1109/ACCESS.2019.2945483","http://dx.doi.org/10.1109/ACCESS.2019.2945483")</f>
        <v>http://dx.doi.org/10.1109/ACCESS.2019.2945483</v>
      </c>
      <c r="BJ460" s="32" t="s">
        <v>1225</v>
      </c>
      <c r="BK460" s="32" t="s">
        <v>1225</v>
      </c>
      <c r="BL460" s="32" t="s">
        <v>1225</v>
      </c>
      <c r="BM460" s="32" t="s">
        <v>1225</v>
      </c>
      <c r="BN460" s="32" t="s">
        <v>1225</v>
      </c>
      <c r="BO460" s="32" t="s">
        <v>1225</v>
      </c>
      <c r="BP460" s="32" t="s">
        <v>1225</v>
      </c>
      <c r="BQ460" s="32" t="s">
        <v>1225</v>
      </c>
      <c r="BR460" s="32" t="s">
        <v>1225</v>
      </c>
      <c r="BS460" s="32" t="s">
        <v>1225</v>
      </c>
      <c r="BT460" s="32" t="s">
        <v>1225</v>
      </c>
      <c r="BU460" s="32" t="s">
        <v>1225</v>
      </c>
      <c r="BV460" s="32" t="s">
        <v>1225</v>
      </c>
      <c r="BW460" s="32" t="str">
        <f t="shared" si="14"/>
        <v>View Full Record in Web of Science</v>
      </c>
      <c r="BY460" s="41" t="str">
        <f>IF(Deletion!J460=TRUE,"Yes","No")</f>
        <v>Yes</v>
      </c>
    </row>
    <row r="461" spans="1:77" x14ac:dyDescent="0.15">
      <c r="A461" s="32">
        <f t="shared" si="15"/>
        <v>460</v>
      </c>
      <c r="D461" s="32" t="s">
        <v>1223</v>
      </c>
      <c r="E461" s="32" t="s">
        <v>4401</v>
      </c>
      <c r="F461" s="32" t="s">
        <v>1225</v>
      </c>
      <c r="G461" s="32" t="s">
        <v>1225</v>
      </c>
      <c r="H461" s="32" t="s">
        <v>1225</v>
      </c>
      <c r="I461" s="32" t="s">
        <v>4402</v>
      </c>
      <c r="J461" s="32" t="s">
        <v>1225</v>
      </c>
      <c r="K461" s="32" t="s">
        <v>1225</v>
      </c>
      <c r="L461" s="32" t="s">
        <v>4403</v>
      </c>
      <c r="M461" s="32" t="s">
        <v>422</v>
      </c>
      <c r="N461" s="32" t="s">
        <v>1225</v>
      </c>
      <c r="O461" s="32" t="s">
        <v>1225</v>
      </c>
      <c r="P461" s="32" t="s">
        <v>1225</v>
      </c>
      <c r="Q461" s="32" t="s">
        <v>1227</v>
      </c>
      <c r="R461" s="32" t="s">
        <v>1225</v>
      </c>
      <c r="S461" s="32" t="s">
        <v>1225</v>
      </c>
      <c r="T461" s="32" t="s">
        <v>1225</v>
      </c>
      <c r="U461" s="32" t="s">
        <v>1225</v>
      </c>
      <c r="V461" s="32" t="s">
        <v>1225</v>
      </c>
      <c r="W461" s="32" t="s">
        <v>4404</v>
      </c>
      <c r="X461" s="32" t="s">
        <v>4405</v>
      </c>
      <c r="Y461" s="32" t="s">
        <v>4406</v>
      </c>
      <c r="Z461" s="32" t="s">
        <v>1225</v>
      </c>
      <c r="AA461" s="32" t="s">
        <v>1225</v>
      </c>
      <c r="AB461" s="32" t="s">
        <v>1225</v>
      </c>
      <c r="AC461" s="32" t="s">
        <v>1225</v>
      </c>
      <c r="AD461" s="32" t="s">
        <v>1225</v>
      </c>
      <c r="AE461" s="32" t="s">
        <v>1225</v>
      </c>
      <c r="AF461" s="32" t="s">
        <v>1225</v>
      </c>
      <c r="AG461" s="32" t="s">
        <v>1225</v>
      </c>
      <c r="AH461" s="32" t="s">
        <v>1225</v>
      </c>
      <c r="AI461" s="32" t="s">
        <v>1225</v>
      </c>
      <c r="AJ461" s="32" t="s">
        <v>1225</v>
      </c>
      <c r="AK461" s="32" t="s">
        <v>1225</v>
      </c>
      <c r="AL461" s="32" t="s">
        <v>1225</v>
      </c>
      <c r="AM461" s="32" t="s">
        <v>1225</v>
      </c>
      <c r="AN461" s="32" t="s">
        <v>1225</v>
      </c>
      <c r="AO461" s="32" t="s">
        <v>1225</v>
      </c>
      <c r="AP461" s="32" t="s">
        <v>1225</v>
      </c>
      <c r="AQ461" s="32" t="s">
        <v>1225</v>
      </c>
      <c r="AR461" s="32" t="s">
        <v>1225</v>
      </c>
      <c r="AS461" s="32" t="s">
        <v>1225</v>
      </c>
      <c r="AT461" s="32" t="s">
        <v>1225</v>
      </c>
      <c r="AU461" s="32" t="s">
        <v>1225</v>
      </c>
      <c r="AV461" s="32" t="s">
        <v>1225</v>
      </c>
      <c r="AW461" s="32" t="s">
        <v>1239</v>
      </c>
      <c r="AX461" s="32">
        <v>2017</v>
      </c>
      <c r="AY461" s="32">
        <v>10</v>
      </c>
      <c r="AZ461" s="32">
        <v>7</v>
      </c>
      <c r="BA461" s="32" t="s">
        <v>1225</v>
      </c>
      <c r="BB461" s="32" t="s">
        <v>1225</v>
      </c>
      <c r="BC461" s="32" t="s">
        <v>1225</v>
      </c>
      <c r="BD461" s="32" t="s">
        <v>1225</v>
      </c>
      <c r="BE461" s="32" t="s">
        <v>1225</v>
      </c>
      <c r="BF461" s="32" t="s">
        <v>1225</v>
      </c>
      <c r="BG461" s="32">
        <v>952</v>
      </c>
      <c r="BH461" s="32" t="s">
        <v>4407</v>
      </c>
      <c r="BI461" s="32" t="str">
        <f>HYPERLINK("http://dx.doi.org/10.3390/en10070952","http://dx.doi.org/10.3390/en10070952")</f>
        <v>http://dx.doi.org/10.3390/en10070952</v>
      </c>
      <c r="BJ461" s="32" t="s">
        <v>1225</v>
      </c>
      <c r="BK461" s="32" t="s">
        <v>1225</v>
      </c>
      <c r="BL461" s="32" t="s">
        <v>1225</v>
      </c>
      <c r="BM461" s="32" t="s">
        <v>1225</v>
      </c>
      <c r="BN461" s="32" t="s">
        <v>1225</v>
      </c>
      <c r="BO461" s="32" t="s">
        <v>1225</v>
      </c>
      <c r="BP461" s="32" t="s">
        <v>1225</v>
      </c>
      <c r="BQ461" s="32" t="s">
        <v>1225</v>
      </c>
      <c r="BR461" s="32" t="s">
        <v>1225</v>
      </c>
      <c r="BS461" s="32" t="s">
        <v>1225</v>
      </c>
      <c r="BT461" s="32" t="s">
        <v>1225</v>
      </c>
      <c r="BU461" s="32" t="s">
        <v>1225</v>
      </c>
      <c r="BV461" s="32" t="s">
        <v>1225</v>
      </c>
      <c r="BW461" s="32" t="str">
        <f t="shared" si="14"/>
        <v>View Full Record in Web of Science</v>
      </c>
      <c r="BY461" s="41" t="str">
        <f>IF(Deletion!J461=TRUE,"Yes","No")</f>
        <v>Yes</v>
      </c>
    </row>
    <row r="462" spans="1:77" x14ac:dyDescent="0.15">
      <c r="A462" s="32">
        <f t="shared" si="15"/>
        <v>461</v>
      </c>
      <c r="D462" s="32" t="s">
        <v>1223</v>
      </c>
      <c r="E462" s="32" t="s">
        <v>4408</v>
      </c>
      <c r="F462" s="32" t="s">
        <v>1225</v>
      </c>
      <c r="G462" s="32" t="s">
        <v>1225</v>
      </c>
      <c r="H462" s="32" t="s">
        <v>1225</v>
      </c>
      <c r="I462" s="32" t="s">
        <v>4409</v>
      </c>
      <c r="J462" s="32" t="s">
        <v>1225</v>
      </c>
      <c r="K462" s="32" t="s">
        <v>1225</v>
      </c>
      <c r="L462" s="32" t="s">
        <v>4410</v>
      </c>
      <c r="M462" s="32" t="s">
        <v>422</v>
      </c>
      <c r="N462" s="32" t="s">
        <v>1225</v>
      </c>
      <c r="O462" s="32" t="s">
        <v>1225</v>
      </c>
      <c r="P462" s="32" t="s">
        <v>1225</v>
      </c>
      <c r="Q462" s="32" t="s">
        <v>1227</v>
      </c>
      <c r="R462" s="32" t="s">
        <v>1225</v>
      </c>
      <c r="S462" s="32" t="s">
        <v>1225</v>
      </c>
      <c r="T462" s="32" t="s">
        <v>1225</v>
      </c>
      <c r="U462" s="32" t="s">
        <v>1225</v>
      </c>
      <c r="V462" s="32" t="s">
        <v>1225</v>
      </c>
      <c r="W462" s="32" t="s">
        <v>4411</v>
      </c>
      <c r="X462" s="32" t="s">
        <v>4412</v>
      </c>
      <c r="Y462" s="32" t="s">
        <v>4413</v>
      </c>
      <c r="Z462" s="32" t="s">
        <v>1225</v>
      </c>
      <c r="AA462" s="32" t="s">
        <v>1225</v>
      </c>
      <c r="AB462" s="32" t="s">
        <v>1225</v>
      </c>
      <c r="AC462" s="32" t="s">
        <v>1225</v>
      </c>
      <c r="AD462" s="32" t="s">
        <v>1225</v>
      </c>
      <c r="AE462" s="32" t="s">
        <v>1225</v>
      </c>
      <c r="AF462" s="32" t="s">
        <v>1225</v>
      </c>
      <c r="AG462" s="32" t="s">
        <v>1225</v>
      </c>
      <c r="AH462" s="32" t="s">
        <v>1225</v>
      </c>
      <c r="AI462" s="32" t="s">
        <v>1225</v>
      </c>
      <c r="AJ462" s="32" t="s">
        <v>1225</v>
      </c>
      <c r="AK462" s="32" t="s">
        <v>1225</v>
      </c>
      <c r="AL462" s="32" t="s">
        <v>1225</v>
      </c>
      <c r="AM462" s="32" t="s">
        <v>1225</v>
      </c>
      <c r="AN462" s="32" t="s">
        <v>1225</v>
      </c>
      <c r="AO462" s="32" t="s">
        <v>1225</v>
      </c>
      <c r="AP462" s="32" t="s">
        <v>1225</v>
      </c>
      <c r="AQ462" s="32" t="s">
        <v>1225</v>
      </c>
      <c r="AR462" s="32" t="s">
        <v>1225</v>
      </c>
      <c r="AS462" s="32" t="s">
        <v>1225</v>
      </c>
      <c r="AT462" s="32" t="s">
        <v>1225</v>
      </c>
      <c r="AU462" s="32" t="s">
        <v>1225</v>
      </c>
      <c r="AV462" s="32" t="s">
        <v>1225</v>
      </c>
      <c r="AW462" s="32" t="s">
        <v>1298</v>
      </c>
      <c r="AX462" s="32">
        <v>2020</v>
      </c>
      <c r="AY462" s="32">
        <v>13</v>
      </c>
      <c r="AZ462" s="32">
        <v>17</v>
      </c>
      <c r="BA462" s="32" t="s">
        <v>1225</v>
      </c>
      <c r="BB462" s="32" t="s">
        <v>1225</v>
      </c>
      <c r="BC462" s="32" t="s">
        <v>1225</v>
      </c>
      <c r="BD462" s="32" t="s">
        <v>1225</v>
      </c>
      <c r="BE462" s="32" t="s">
        <v>1225</v>
      </c>
      <c r="BF462" s="32" t="s">
        <v>1225</v>
      </c>
      <c r="BG462" s="32">
        <v>4365</v>
      </c>
      <c r="BH462" s="32" t="s">
        <v>4414</v>
      </c>
      <c r="BI462" s="32" t="str">
        <f>HYPERLINK("http://dx.doi.org/10.3390/en13174365","http://dx.doi.org/10.3390/en13174365")</f>
        <v>http://dx.doi.org/10.3390/en13174365</v>
      </c>
      <c r="BJ462" s="32" t="s">
        <v>1225</v>
      </c>
      <c r="BK462" s="32" t="s">
        <v>1225</v>
      </c>
      <c r="BL462" s="32" t="s">
        <v>1225</v>
      </c>
      <c r="BM462" s="32" t="s">
        <v>1225</v>
      </c>
      <c r="BN462" s="32" t="s">
        <v>1225</v>
      </c>
      <c r="BO462" s="32" t="s">
        <v>1225</v>
      </c>
      <c r="BP462" s="32" t="s">
        <v>1225</v>
      </c>
      <c r="BQ462" s="32" t="s">
        <v>1225</v>
      </c>
      <c r="BR462" s="32" t="s">
        <v>1225</v>
      </c>
      <c r="BS462" s="32" t="s">
        <v>1225</v>
      </c>
      <c r="BT462" s="32" t="s">
        <v>1225</v>
      </c>
      <c r="BU462" s="32" t="s">
        <v>1225</v>
      </c>
      <c r="BV462" s="32" t="s">
        <v>1225</v>
      </c>
      <c r="BW462" s="32" t="str">
        <f t="shared" si="14"/>
        <v>View Full Record in Web of Science</v>
      </c>
      <c r="BY462" s="41" t="str">
        <f>IF(Deletion!J462=TRUE,"Yes","No")</f>
        <v>Yes</v>
      </c>
    </row>
    <row r="463" spans="1:77" x14ac:dyDescent="0.15">
      <c r="A463" s="32">
        <f t="shared" si="15"/>
        <v>462</v>
      </c>
      <c r="D463" s="32" t="s">
        <v>1223</v>
      </c>
      <c r="E463" s="32" t="s">
        <v>4415</v>
      </c>
      <c r="F463" s="32" t="s">
        <v>1225</v>
      </c>
      <c r="G463" s="32" t="s">
        <v>1225</v>
      </c>
      <c r="H463" s="32" t="s">
        <v>1225</v>
      </c>
      <c r="I463" s="32" t="s">
        <v>4416</v>
      </c>
      <c r="J463" s="32" t="s">
        <v>1225</v>
      </c>
      <c r="K463" s="32" t="s">
        <v>1225</v>
      </c>
      <c r="L463" s="32" t="s">
        <v>4417</v>
      </c>
      <c r="M463" s="32" t="s">
        <v>1743</v>
      </c>
      <c r="N463" s="32" t="s">
        <v>1225</v>
      </c>
      <c r="O463" s="32" t="s">
        <v>1225</v>
      </c>
      <c r="P463" s="32" t="s">
        <v>1225</v>
      </c>
      <c r="Q463" s="32" t="s">
        <v>1227</v>
      </c>
      <c r="R463" s="32" t="s">
        <v>1225</v>
      </c>
      <c r="S463" s="32" t="s">
        <v>1225</v>
      </c>
      <c r="T463" s="32" t="s">
        <v>1225</v>
      </c>
      <c r="U463" s="32" t="s">
        <v>1225</v>
      </c>
      <c r="V463" s="32" t="s">
        <v>1225</v>
      </c>
      <c r="W463" s="32" t="s">
        <v>4418</v>
      </c>
      <c r="X463" s="32" t="s">
        <v>4419</v>
      </c>
      <c r="Y463" s="32" t="s">
        <v>4420</v>
      </c>
      <c r="Z463" s="32" t="s">
        <v>1225</v>
      </c>
      <c r="AA463" s="32" t="s">
        <v>1225</v>
      </c>
      <c r="AB463" s="32" t="s">
        <v>1225</v>
      </c>
      <c r="AC463" s="32" t="s">
        <v>1225</v>
      </c>
      <c r="AD463" s="32" t="s">
        <v>1225</v>
      </c>
      <c r="AE463" s="32" t="s">
        <v>1225</v>
      </c>
      <c r="AF463" s="32" t="s">
        <v>1225</v>
      </c>
      <c r="AG463" s="32" t="s">
        <v>1225</v>
      </c>
      <c r="AH463" s="32" t="s">
        <v>1225</v>
      </c>
      <c r="AI463" s="32" t="s">
        <v>1225</v>
      </c>
      <c r="AJ463" s="32" t="s">
        <v>1225</v>
      </c>
      <c r="AK463" s="32" t="s">
        <v>1225</v>
      </c>
      <c r="AL463" s="32" t="s">
        <v>1225</v>
      </c>
      <c r="AM463" s="32" t="s">
        <v>1225</v>
      </c>
      <c r="AN463" s="32" t="s">
        <v>1225</v>
      </c>
      <c r="AO463" s="32" t="s">
        <v>1225</v>
      </c>
      <c r="AP463" s="32" t="s">
        <v>1225</v>
      </c>
      <c r="AQ463" s="32" t="s">
        <v>1225</v>
      </c>
      <c r="AR463" s="32" t="s">
        <v>1225</v>
      </c>
      <c r="AS463" s="32" t="s">
        <v>1225</v>
      </c>
      <c r="AT463" s="32" t="s">
        <v>1225</v>
      </c>
      <c r="AU463" s="32" t="s">
        <v>1225</v>
      </c>
      <c r="AV463" s="32" t="s">
        <v>1225</v>
      </c>
      <c r="AW463" s="32" t="s">
        <v>1746</v>
      </c>
      <c r="AX463" s="32">
        <v>2020</v>
      </c>
      <c r="AY463" s="32">
        <v>56</v>
      </c>
      <c r="AZ463" s="32">
        <v>5</v>
      </c>
      <c r="BA463" s="32" t="s">
        <v>1747</v>
      </c>
      <c r="BB463" s="32" t="s">
        <v>1225</v>
      </c>
      <c r="BC463" s="32" t="s">
        <v>1225</v>
      </c>
      <c r="BD463" s="32" t="s">
        <v>1225</v>
      </c>
      <c r="BE463" s="32">
        <v>5785</v>
      </c>
      <c r="BF463" s="32">
        <v>5795</v>
      </c>
      <c r="BG463" s="32" t="s">
        <v>1225</v>
      </c>
      <c r="BH463" s="32" t="s">
        <v>4421</v>
      </c>
      <c r="BI463" s="32" t="str">
        <f>HYPERLINK("http://dx.doi.org/10.1109/TIA.2020.2983906","http://dx.doi.org/10.1109/TIA.2020.2983906")</f>
        <v>http://dx.doi.org/10.1109/TIA.2020.2983906</v>
      </c>
      <c r="BJ463" s="32" t="s">
        <v>1225</v>
      </c>
      <c r="BK463" s="32" t="s">
        <v>1225</v>
      </c>
      <c r="BL463" s="32" t="s">
        <v>1225</v>
      </c>
      <c r="BM463" s="32" t="s">
        <v>1225</v>
      </c>
      <c r="BN463" s="32" t="s">
        <v>1225</v>
      </c>
      <c r="BO463" s="32" t="s">
        <v>1225</v>
      </c>
      <c r="BP463" s="32" t="s">
        <v>1225</v>
      </c>
      <c r="BQ463" s="32" t="s">
        <v>1225</v>
      </c>
      <c r="BR463" s="32" t="s">
        <v>1225</v>
      </c>
      <c r="BS463" s="32" t="s">
        <v>1225</v>
      </c>
      <c r="BT463" s="32" t="s">
        <v>1225</v>
      </c>
      <c r="BU463" s="32" t="s">
        <v>1225</v>
      </c>
      <c r="BV463" s="32" t="s">
        <v>1225</v>
      </c>
      <c r="BW463" s="32" t="str">
        <f t="shared" si="14"/>
        <v>View Full Record in Web of Science</v>
      </c>
      <c r="BY463" s="41" t="str">
        <f>IF(Deletion!J463=TRUE,"Yes","No")</f>
        <v>Yes</v>
      </c>
    </row>
    <row r="464" spans="1:77" x14ac:dyDescent="0.15">
      <c r="A464" s="34">
        <f t="shared" si="15"/>
        <v>463</v>
      </c>
      <c r="B464" s="34" t="s">
        <v>4</v>
      </c>
      <c r="C464" s="34" t="s">
        <v>4</v>
      </c>
      <c r="D464" s="34" t="s">
        <v>1223</v>
      </c>
      <c r="E464" s="34" t="s">
        <v>4422</v>
      </c>
      <c r="F464" s="32" t="s">
        <v>1225</v>
      </c>
      <c r="G464" s="32" t="s">
        <v>1225</v>
      </c>
      <c r="H464" s="32" t="s">
        <v>1225</v>
      </c>
      <c r="I464" s="34" t="s">
        <v>4423</v>
      </c>
      <c r="J464" s="32" t="s">
        <v>1225</v>
      </c>
      <c r="K464" s="32" t="s">
        <v>1225</v>
      </c>
      <c r="L464" s="34" t="s">
        <v>4424</v>
      </c>
      <c r="M464" s="34" t="s">
        <v>4425</v>
      </c>
      <c r="N464" s="32" t="s">
        <v>1225</v>
      </c>
      <c r="O464" s="32" t="s">
        <v>1225</v>
      </c>
      <c r="P464" s="32" t="s">
        <v>1225</v>
      </c>
      <c r="Q464" s="34" t="s">
        <v>1227</v>
      </c>
      <c r="R464" s="32" t="s">
        <v>1225</v>
      </c>
      <c r="S464" s="32" t="s">
        <v>1225</v>
      </c>
      <c r="T464" s="32" t="s">
        <v>1225</v>
      </c>
      <c r="U464" s="32" t="s">
        <v>1225</v>
      </c>
      <c r="V464" s="32" t="s">
        <v>1225</v>
      </c>
      <c r="W464" s="34" t="s">
        <v>4426</v>
      </c>
      <c r="X464" s="34" t="s">
        <v>1225</v>
      </c>
      <c r="Y464" s="34" t="s">
        <v>4427</v>
      </c>
      <c r="Z464" s="32" t="s">
        <v>1225</v>
      </c>
      <c r="AA464" s="32" t="s">
        <v>1225</v>
      </c>
      <c r="AB464" s="32" t="s">
        <v>1225</v>
      </c>
      <c r="AC464" s="32" t="s">
        <v>1225</v>
      </c>
      <c r="AD464" s="32" t="s">
        <v>1225</v>
      </c>
      <c r="AE464" s="32" t="s">
        <v>1225</v>
      </c>
      <c r="AF464" s="32" t="s">
        <v>1225</v>
      </c>
      <c r="AG464" s="32" t="s">
        <v>1225</v>
      </c>
      <c r="AH464" s="32" t="s">
        <v>1225</v>
      </c>
      <c r="AI464" s="32" t="s">
        <v>1225</v>
      </c>
      <c r="AJ464" s="32" t="s">
        <v>1225</v>
      </c>
      <c r="AK464" s="32" t="s">
        <v>1225</v>
      </c>
      <c r="AL464" s="32" t="s">
        <v>1225</v>
      </c>
      <c r="AM464" s="32" t="s">
        <v>1225</v>
      </c>
      <c r="AN464" s="32" t="s">
        <v>1225</v>
      </c>
      <c r="AO464" s="32" t="s">
        <v>1225</v>
      </c>
      <c r="AP464" s="32" t="s">
        <v>1225</v>
      </c>
      <c r="AQ464" s="32" t="s">
        <v>1225</v>
      </c>
      <c r="AR464" s="32" t="s">
        <v>1225</v>
      </c>
      <c r="AS464" s="32" t="s">
        <v>1225</v>
      </c>
      <c r="AT464" s="32" t="s">
        <v>1225</v>
      </c>
      <c r="AU464" s="32" t="s">
        <v>1225</v>
      </c>
      <c r="AV464" s="32" t="s">
        <v>1225</v>
      </c>
      <c r="AW464" s="34" t="s">
        <v>1239</v>
      </c>
      <c r="AX464" s="34">
        <v>2020</v>
      </c>
      <c r="AY464" s="32">
        <v>108</v>
      </c>
      <c r="AZ464" s="32" t="s">
        <v>1225</v>
      </c>
      <c r="BA464" s="32" t="s">
        <v>1225</v>
      </c>
      <c r="BB464" s="32" t="s">
        <v>1225</v>
      </c>
      <c r="BC464" s="32" t="s">
        <v>1225</v>
      </c>
      <c r="BD464" s="32" t="s">
        <v>1225</v>
      </c>
      <c r="BE464" s="32">
        <v>454</v>
      </c>
      <c r="BF464" s="32">
        <v>466</v>
      </c>
      <c r="BG464" s="32" t="s">
        <v>1225</v>
      </c>
      <c r="BH464" s="34" t="s">
        <v>4428</v>
      </c>
      <c r="BI464" s="34" t="str">
        <f>HYPERLINK("http://dx.doi.org/10.1016/j.future.2020.03.001","http://dx.doi.org/10.1016/j.future.2020.03.001")</f>
        <v>http://dx.doi.org/10.1016/j.future.2020.03.001</v>
      </c>
      <c r="BJ464" s="32" t="s">
        <v>1225</v>
      </c>
      <c r="BK464" s="32" t="s">
        <v>1225</v>
      </c>
      <c r="BL464" s="32" t="s">
        <v>1225</v>
      </c>
      <c r="BM464" s="32" t="s">
        <v>1225</v>
      </c>
      <c r="BN464" s="32" t="s">
        <v>1225</v>
      </c>
      <c r="BO464" s="32" t="s">
        <v>1225</v>
      </c>
      <c r="BP464" s="32" t="s">
        <v>1225</v>
      </c>
      <c r="BQ464" s="32" t="s">
        <v>1225</v>
      </c>
      <c r="BR464" s="32" t="s">
        <v>1225</v>
      </c>
      <c r="BS464" s="32" t="s">
        <v>1225</v>
      </c>
      <c r="BT464" s="32" t="s">
        <v>1225</v>
      </c>
      <c r="BU464" s="32" t="s">
        <v>1225</v>
      </c>
      <c r="BV464" s="32" t="s">
        <v>1225</v>
      </c>
      <c r="BW464" s="32" t="str">
        <f t="shared" si="14"/>
        <v>View Full Record in Web of Science</v>
      </c>
      <c r="BY464" s="41" t="str">
        <f>IF(Deletion!J464=TRUE,"Yes","No")</f>
        <v>No</v>
      </c>
    </row>
    <row r="465" spans="1:77" x14ac:dyDescent="0.15">
      <c r="A465" s="34">
        <f t="shared" si="15"/>
        <v>464</v>
      </c>
      <c r="B465" s="34" t="s">
        <v>4</v>
      </c>
      <c r="C465" s="34" t="s">
        <v>4</v>
      </c>
      <c r="D465" s="34" t="s">
        <v>1223</v>
      </c>
      <c r="E465" s="34" t="s">
        <v>4429</v>
      </c>
      <c r="F465" s="32" t="s">
        <v>1225</v>
      </c>
      <c r="G465" s="32" t="s">
        <v>1225</v>
      </c>
      <c r="H465" s="32" t="s">
        <v>1225</v>
      </c>
      <c r="I465" s="34" t="s">
        <v>4430</v>
      </c>
      <c r="J465" s="32" t="s">
        <v>1225</v>
      </c>
      <c r="K465" s="32" t="s">
        <v>1225</v>
      </c>
      <c r="L465" s="34" t="s">
        <v>4431</v>
      </c>
      <c r="M465" s="34" t="s">
        <v>4432</v>
      </c>
      <c r="N465" s="32" t="s">
        <v>1225</v>
      </c>
      <c r="O465" s="32" t="s">
        <v>1225</v>
      </c>
      <c r="P465" s="32" t="s">
        <v>1225</v>
      </c>
      <c r="Q465" s="34" t="s">
        <v>1227</v>
      </c>
      <c r="R465" s="32" t="s">
        <v>1225</v>
      </c>
      <c r="S465" s="32" t="s">
        <v>1225</v>
      </c>
      <c r="T465" s="32" t="s">
        <v>1225</v>
      </c>
      <c r="U465" s="32" t="s">
        <v>1225</v>
      </c>
      <c r="V465" s="32" t="s">
        <v>1225</v>
      </c>
      <c r="W465" s="34" t="s">
        <v>4433</v>
      </c>
      <c r="X465" s="34" t="s">
        <v>4434</v>
      </c>
      <c r="Y465" s="34" t="s">
        <v>4435</v>
      </c>
      <c r="Z465" s="32" t="s">
        <v>1225</v>
      </c>
      <c r="AA465" s="32" t="s">
        <v>1225</v>
      </c>
      <c r="AB465" s="32" t="s">
        <v>1225</v>
      </c>
      <c r="AC465" s="32" t="s">
        <v>1225</v>
      </c>
      <c r="AD465" s="32" t="s">
        <v>1225</v>
      </c>
      <c r="AE465" s="32" t="s">
        <v>1225</v>
      </c>
      <c r="AF465" s="32" t="s">
        <v>1225</v>
      </c>
      <c r="AG465" s="32" t="s">
        <v>1225</v>
      </c>
      <c r="AH465" s="32" t="s">
        <v>1225</v>
      </c>
      <c r="AI465" s="32" t="s">
        <v>1225</v>
      </c>
      <c r="AJ465" s="32" t="s">
        <v>1225</v>
      </c>
      <c r="AK465" s="32" t="s">
        <v>1225</v>
      </c>
      <c r="AL465" s="32" t="s">
        <v>1225</v>
      </c>
      <c r="AM465" s="32" t="s">
        <v>1225</v>
      </c>
      <c r="AN465" s="32" t="s">
        <v>1225</v>
      </c>
      <c r="AO465" s="32" t="s">
        <v>1225</v>
      </c>
      <c r="AP465" s="32" t="s">
        <v>1225</v>
      </c>
      <c r="AQ465" s="32" t="s">
        <v>1225</v>
      </c>
      <c r="AR465" s="32" t="s">
        <v>1225</v>
      </c>
      <c r="AS465" s="32" t="s">
        <v>1225</v>
      </c>
      <c r="AT465" s="32" t="s">
        <v>1225</v>
      </c>
      <c r="AU465" s="32" t="s">
        <v>1225</v>
      </c>
      <c r="AV465" s="32" t="s">
        <v>1225</v>
      </c>
      <c r="AW465" s="34" t="s">
        <v>1726</v>
      </c>
      <c r="AX465" s="34">
        <v>2014</v>
      </c>
      <c r="AY465" s="32">
        <v>27</v>
      </c>
      <c r="AZ465" s="32">
        <v>4</v>
      </c>
      <c r="BA465" s="32" t="s">
        <v>1225</v>
      </c>
      <c r="BB465" s="32" t="s">
        <v>1225</v>
      </c>
      <c r="BC465" s="32" t="s">
        <v>1511</v>
      </c>
      <c r="BD465" s="32" t="s">
        <v>1225</v>
      </c>
      <c r="BE465" s="32">
        <v>643</v>
      </c>
      <c r="BF465" s="32">
        <v>660</v>
      </c>
      <c r="BG465" s="32" t="s">
        <v>1225</v>
      </c>
      <c r="BH465" s="34" t="s">
        <v>4436</v>
      </c>
      <c r="BI465" s="34" t="str">
        <f>HYPERLINK("http://dx.doi.org/10.1002/dac.2705","http://dx.doi.org/10.1002/dac.2705")</f>
        <v>http://dx.doi.org/10.1002/dac.2705</v>
      </c>
      <c r="BJ465" s="32" t="s">
        <v>1225</v>
      </c>
      <c r="BK465" s="32" t="s">
        <v>1225</v>
      </c>
      <c r="BL465" s="32" t="s">
        <v>1225</v>
      </c>
      <c r="BM465" s="32" t="s">
        <v>1225</v>
      </c>
      <c r="BN465" s="32" t="s">
        <v>1225</v>
      </c>
      <c r="BO465" s="32" t="s">
        <v>1225</v>
      </c>
      <c r="BP465" s="32" t="s">
        <v>1225</v>
      </c>
      <c r="BQ465" s="32" t="s">
        <v>1225</v>
      </c>
      <c r="BR465" s="32" t="s">
        <v>1225</v>
      </c>
      <c r="BS465" s="32" t="s">
        <v>1225</v>
      </c>
      <c r="BT465" s="32" t="s">
        <v>1225</v>
      </c>
      <c r="BU465" s="32" t="s">
        <v>1225</v>
      </c>
      <c r="BV465" s="32" t="s">
        <v>1225</v>
      </c>
      <c r="BW465" s="32" t="str">
        <f t="shared" si="14"/>
        <v>View Full Record in Web of Science</v>
      </c>
      <c r="BY465" s="41" t="str">
        <f>IF(Deletion!J465=TRUE,"Yes","No")</f>
        <v>No</v>
      </c>
    </row>
    <row r="466" spans="1:77" x14ac:dyDescent="0.15">
      <c r="A466" s="32">
        <f t="shared" si="15"/>
        <v>465</v>
      </c>
      <c r="D466" s="32" t="s">
        <v>1223</v>
      </c>
      <c r="E466" s="32" t="s">
        <v>4437</v>
      </c>
      <c r="F466" s="32" t="s">
        <v>1225</v>
      </c>
      <c r="G466" s="32" t="s">
        <v>1225</v>
      </c>
      <c r="H466" s="32" t="s">
        <v>1225</v>
      </c>
      <c r="I466" s="32" t="s">
        <v>4438</v>
      </c>
      <c r="J466" s="32" t="s">
        <v>1225</v>
      </c>
      <c r="K466" s="32" t="s">
        <v>1225</v>
      </c>
      <c r="L466" s="32" t="s">
        <v>4439</v>
      </c>
      <c r="M466" s="32" t="s">
        <v>422</v>
      </c>
      <c r="N466" s="32" t="s">
        <v>1225</v>
      </c>
      <c r="O466" s="32" t="s">
        <v>1225</v>
      </c>
      <c r="P466" s="32" t="s">
        <v>1225</v>
      </c>
      <c r="Q466" s="32" t="s">
        <v>1227</v>
      </c>
      <c r="R466" s="32" t="s">
        <v>1225</v>
      </c>
      <c r="S466" s="32" t="s">
        <v>1225</v>
      </c>
      <c r="T466" s="32" t="s">
        <v>1225</v>
      </c>
      <c r="U466" s="32" t="s">
        <v>1225</v>
      </c>
      <c r="V466" s="32" t="s">
        <v>1225</v>
      </c>
      <c r="W466" s="32" t="s">
        <v>4440</v>
      </c>
      <c r="X466" s="32" t="s">
        <v>4441</v>
      </c>
      <c r="Y466" s="32" t="s">
        <v>4442</v>
      </c>
      <c r="Z466" s="32" t="s">
        <v>1225</v>
      </c>
      <c r="AA466" s="32" t="s">
        <v>1225</v>
      </c>
      <c r="AB466" s="32" t="s">
        <v>1225</v>
      </c>
      <c r="AC466" s="32" t="s">
        <v>1225</v>
      </c>
      <c r="AD466" s="32" t="s">
        <v>1225</v>
      </c>
      <c r="AE466" s="32" t="s">
        <v>1225</v>
      </c>
      <c r="AF466" s="32" t="s">
        <v>1225</v>
      </c>
      <c r="AG466" s="32" t="s">
        <v>1225</v>
      </c>
      <c r="AH466" s="32" t="s">
        <v>1225</v>
      </c>
      <c r="AI466" s="32" t="s">
        <v>1225</v>
      </c>
      <c r="AJ466" s="32" t="s">
        <v>1225</v>
      </c>
      <c r="AK466" s="32" t="s">
        <v>1225</v>
      </c>
      <c r="AL466" s="32" t="s">
        <v>1225</v>
      </c>
      <c r="AM466" s="32" t="s">
        <v>1225</v>
      </c>
      <c r="AN466" s="32" t="s">
        <v>1225</v>
      </c>
      <c r="AO466" s="32" t="s">
        <v>1225</v>
      </c>
      <c r="AP466" s="32" t="s">
        <v>1225</v>
      </c>
      <c r="AQ466" s="32" t="s">
        <v>1225</v>
      </c>
      <c r="AR466" s="32" t="s">
        <v>1225</v>
      </c>
      <c r="AS466" s="32" t="s">
        <v>1225</v>
      </c>
      <c r="AT466" s="32" t="s">
        <v>1225</v>
      </c>
      <c r="AU466" s="32" t="s">
        <v>1225</v>
      </c>
      <c r="AV466" s="32" t="s">
        <v>1225</v>
      </c>
      <c r="AW466" s="32" t="s">
        <v>1256</v>
      </c>
      <c r="AX466" s="32">
        <v>2021</v>
      </c>
      <c r="AY466" s="32">
        <v>14</v>
      </c>
      <c r="AZ466" s="32">
        <v>24</v>
      </c>
      <c r="BA466" s="32" t="s">
        <v>1225</v>
      </c>
      <c r="BB466" s="32" t="s">
        <v>1225</v>
      </c>
      <c r="BC466" s="32" t="s">
        <v>1225</v>
      </c>
      <c r="BD466" s="32" t="s">
        <v>1225</v>
      </c>
      <c r="BE466" s="32" t="s">
        <v>1225</v>
      </c>
      <c r="BF466" s="32" t="s">
        <v>1225</v>
      </c>
      <c r="BG466" s="32">
        <v>8204</v>
      </c>
      <c r="BH466" s="32" t="s">
        <v>4443</v>
      </c>
      <c r="BI466" s="32" t="str">
        <f>HYPERLINK("http://dx.doi.org/10.3390/en14248204","http://dx.doi.org/10.3390/en14248204")</f>
        <v>http://dx.doi.org/10.3390/en14248204</v>
      </c>
      <c r="BJ466" s="32" t="s">
        <v>1225</v>
      </c>
      <c r="BK466" s="32" t="s">
        <v>1225</v>
      </c>
      <c r="BL466" s="32" t="s">
        <v>1225</v>
      </c>
      <c r="BM466" s="32" t="s">
        <v>1225</v>
      </c>
      <c r="BN466" s="32" t="s">
        <v>1225</v>
      </c>
      <c r="BO466" s="32" t="s">
        <v>1225</v>
      </c>
      <c r="BP466" s="32" t="s">
        <v>1225</v>
      </c>
      <c r="BQ466" s="32" t="s">
        <v>1225</v>
      </c>
      <c r="BR466" s="32" t="s">
        <v>1225</v>
      </c>
      <c r="BS466" s="32" t="s">
        <v>1225</v>
      </c>
      <c r="BT466" s="32" t="s">
        <v>1225</v>
      </c>
      <c r="BU466" s="32" t="s">
        <v>1225</v>
      </c>
      <c r="BV466" s="32" t="s">
        <v>1225</v>
      </c>
      <c r="BW466" s="32" t="str">
        <f t="shared" si="14"/>
        <v>View Full Record in Web of Science</v>
      </c>
      <c r="BY466" s="41" t="str">
        <f>IF(Deletion!J466=TRUE,"Yes","No")</f>
        <v>Yes</v>
      </c>
    </row>
    <row r="467" spans="1:77" x14ac:dyDescent="0.15">
      <c r="A467" s="32">
        <f t="shared" si="15"/>
        <v>466</v>
      </c>
      <c r="D467" s="32" t="s">
        <v>1223</v>
      </c>
      <c r="E467" s="32" t="s">
        <v>4444</v>
      </c>
      <c r="F467" s="32" t="s">
        <v>1225</v>
      </c>
      <c r="G467" s="32" t="s">
        <v>1225</v>
      </c>
      <c r="H467" s="32" t="s">
        <v>1225</v>
      </c>
      <c r="I467" s="32" t="s">
        <v>4445</v>
      </c>
      <c r="J467" s="32" t="s">
        <v>1225</v>
      </c>
      <c r="K467" s="32" t="s">
        <v>1225</v>
      </c>
      <c r="L467" s="32" t="s">
        <v>4446</v>
      </c>
      <c r="M467" s="32" t="s">
        <v>97</v>
      </c>
      <c r="N467" s="32" t="s">
        <v>1225</v>
      </c>
      <c r="O467" s="32" t="s">
        <v>1225</v>
      </c>
      <c r="P467" s="32" t="s">
        <v>1225</v>
      </c>
      <c r="Q467" s="32" t="s">
        <v>1227</v>
      </c>
      <c r="R467" s="32" t="s">
        <v>1225</v>
      </c>
      <c r="S467" s="32" t="s">
        <v>1225</v>
      </c>
      <c r="T467" s="32" t="s">
        <v>1225</v>
      </c>
      <c r="U467" s="32" t="s">
        <v>1225</v>
      </c>
      <c r="V467" s="32" t="s">
        <v>1225</v>
      </c>
      <c r="W467" s="32" t="s">
        <v>4447</v>
      </c>
      <c r="X467" s="32" t="s">
        <v>4448</v>
      </c>
      <c r="Y467" s="32" t="s">
        <v>4449</v>
      </c>
      <c r="Z467" s="32" t="s">
        <v>1225</v>
      </c>
      <c r="AA467" s="32" t="s">
        <v>1225</v>
      </c>
      <c r="AB467" s="32" t="s">
        <v>1225</v>
      </c>
      <c r="AC467" s="32" t="s">
        <v>1225</v>
      </c>
      <c r="AD467" s="32" t="s">
        <v>1225</v>
      </c>
      <c r="AE467" s="32" t="s">
        <v>1225</v>
      </c>
      <c r="AF467" s="32" t="s">
        <v>1225</v>
      </c>
      <c r="AG467" s="32" t="s">
        <v>1225</v>
      </c>
      <c r="AH467" s="32" t="s">
        <v>1225</v>
      </c>
      <c r="AI467" s="32" t="s">
        <v>1225</v>
      </c>
      <c r="AJ467" s="32" t="s">
        <v>1225</v>
      </c>
      <c r="AK467" s="32" t="s">
        <v>1225</v>
      </c>
      <c r="AL467" s="32" t="s">
        <v>1225</v>
      </c>
      <c r="AM467" s="32" t="s">
        <v>1225</v>
      </c>
      <c r="AN467" s="32" t="s">
        <v>1225</v>
      </c>
      <c r="AO467" s="32" t="s">
        <v>1225</v>
      </c>
      <c r="AP467" s="32" t="s">
        <v>1225</v>
      </c>
      <c r="AQ467" s="32" t="s">
        <v>1225</v>
      </c>
      <c r="AR467" s="32" t="s">
        <v>1225</v>
      </c>
      <c r="AS467" s="32" t="s">
        <v>1225</v>
      </c>
      <c r="AT467" s="32" t="s">
        <v>1225</v>
      </c>
      <c r="AU467" s="32" t="s">
        <v>1225</v>
      </c>
      <c r="AV467" s="32" t="s">
        <v>1225</v>
      </c>
      <c r="AW467" s="32" t="s">
        <v>2634</v>
      </c>
      <c r="AX467" s="32">
        <v>2019</v>
      </c>
      <c r="AY467" s="32">
        <v>235</v>
      </c>
      <c r="AZ467" s="32" t="s">
        <v>1225</v>
      </c>
      <c r="BA467" s="32" t="s">
        <v>1225</v>
      </c>
      <c r="BB467" s="32" t="s">
        <v>1225</v>
      </c>
      <c r="BC467" s="32" t="s">
        <v>1225</v>
      </c>
      <c r="BD467" s="32" t="s">
        <v>1225</v>
      </c>
      <c r="BE467" s="32">
        <v>1637</v>
      </c>
      <c r="BF467" s="32">
        <v>1650</v>
      </c>
      <c r="BG467" s="32" t="s">
        <v>1225</v>
      </c>
      <c r="BH467" s="32" t="s">
        <v>4450</v>
      </c>
      <c r="BI467" s="32" t="str">
        <f>HYPERLINK("http://dx.doi.org/10.1016/j.apenergy.2018.10.133","http://dx.doi.org/10.1016/j.apenergy.2018.10.133")</f>
        <v>http://dx.doi.org/10.1016/j.apenergy.2018.10.133</v>
      </c>
      <c r="BJ467" s="32" t="s">
        <v>1225</v>
      </c>
      <c r="BK467" s="32" t="s">
        <v>1225</v>
      </c>
      <c r="BL467" s="32" t="s">
        <v>1225</v>
      </c>
      <c r="BM467" s="32" t="s">
        <v>1225</v>
      </c>
      <c r="BN467" s="32" t="s">
        <v>1225</v>
      </c>
      <c r="BO467" s="32" t="s">
        <v>1225</v>
      </c>
      <c r="BP467" s="32" t="s">
        <v>1225</v>
      </c>
      <c r="BQ467" s="32" t="s">
        <v>1225</v>
      </c>
      <c r="BR467" s="32" t="s">
        <v>1225</v>
      </c>
      <c r="BS467" s="32" t="s">
        <v>1225</v>
      </c>
      <c r="BT467" s="32" t="s">
        <v>1225</v>
      </c>
      <c r="BU467" s="32" t="s">
        <v>1225</v>
      </c>
      <c r="BV467" s="32" t="s">
        <v>1225</v>
      </c>
      <c r="BW467" s="32" t="str">
        <f t="shared" si="14"/>
        <v>View Full Record in Web of Science</v>
      </c>
      <c r="BY467" s="41" t="str">
        <f>IF(Deletion!J467=TRUE,"Yes","No")</f>
        <v>Yes</v>
      </c>
    </row>
    <row r="468" spans="1:77" x14ac:dyDescent="0.15">
      <c r="A468" s="32">
        <f t="shared" si="15"/>
        <v>467</v>
      </c>
      <c r="D468" s="32" t="s">
        <v>1223</v>
      </c>
      <c r="E468" s="32" t="s">
        <v>4451</v>
      </c>
      <c r="F468" s="32" t="s">
        <v>1225</v>
      </c>
      <c r="G468" s="32" t="s">
        <v>1225</v>
      </c>
      <c r="H468" s="32" t="s">
        <v>1225</v>
      </c>
      <c r="I468" s="32" t="s">
        <v>4452</v>
      </c>
      <c r="J468" s="32" t="s">
        <v>1225</v>
      </c>
      <c r="K468" s="32" t="s">
        <v>1225</v>
      </c>
      <c r="L468" s="32" t="s">
        <v>4453</v>
      </c>
      <c r="M468" s="32" t="s">
        <v>124</v>
      </c>
      <c r="N468" s="32" t="s">
        <v>1225</v>
      </c>
      <c r="O468" s="32" t="s">
        <v>1225</v>
      </c>
      <c r="P468" s="32" t="s">
        <v>1225</v>
      </c>
      <c r="Q468" s="32" t="s">
        <v>1227</v>
      </c>
      <c r="R468" s="32" t="s">
        <v>1225</v>
      </c>
      <c r="S468" s="32" t="s">
        <v>1225</v>
      </c>
      <c r="T468" s="32" t="s">
        <v>1225</v>
      </c>
      <c r="U468" s="32" t="s">
        <v>1225</v>
      </c>
      <c r="V468" s="32" t="s">
        <v>1225</v>
      </c>
      <c r="W468" s="32" t="s">
        <v>4454</v>
      </c>
      <c r="X468" s="32" t="s">
        <v>1225</v>
      </c>
      <c r="Y468" s="32" t="s">
        <v>4455</v>
      </c>
      <c r="Z468" s="32" t="s">
        <v>1225</v>
      </c>
      <c r="AA468" s="32" t="s">
        <v>1225</v>
      </c>
      <c r="AB468" s="32" t="s">
        <v>1225</v>
      </c>
      <c r="AC468" s="32" t="s">
        <v>1225</v>
      </c>
      <c r="AD468" s="32" t="s">
        <v>1225</v>
      </c>
      <c r="AE468" s="32" t="s">
        <v>1225</v>
      </c>
      <c r="AF468" s="32" t="s">
        <v>1225</v>
      </c>
      <c r="AG468" s="32" t="s">
        <v>1225</v>
      </c>
      <c r="AH468" s="32" t="s">
        <v>1225</v>
      </c>
      <c r="AI468" s="32" t="s">
        <v>1225</v>
      </c>
      <c r="AJ468" s="32" t="s">
        <v>1225</v>
      </c>
      <c r="AK468" s="32" t="s">
        <v>1225</v>
      </c>
      <c r="AL468" s="32" t="s">
        <v>1225</v>
      </c>
      <c r="AM468" s="32" t="s">
        <v>1225</v>
      </c>
      <c r="AN468" s="32" t="s">
        <v>1225</v>
      </c>
      <c r="AO468" s="32" t="s">
        <v>1225</v>
      </c>
      <c r="AP468" s="32" t="s">
        <v>1225</v>
      </c>
      <c r="AQ468" s="32" t="s">
        <v>1225</v>
      </c>
      <c r="AR468" s="32" t="s">
        <v>1225</v>
      </c>
      <c r="AS468" s="32" t="s">
        <v>1225</v>
      </c>
      <c r="AT468" s="32" t="s">
        <v>1225</v>
      </c>
      <c r="AU468" s="32" t="s">
        <v>1225</v>
      </c>
      <c r="AV468" s="32" t="s">
        <v>1225</v>
      </c>
      <c r="AW468" s="32" t="s">
        <v>1317</v>
      </c>
      <c r="AX468" s="32">
        <v>2020</v>
      </c>
      <c r="AY468" s="32">
        <v>11</v>
      </c>
      <c r="AZ468" s="32">
        <v>1</v>
      </c>
      <c r="BA468" s="32" t="s">
        <v>1225</v>
      </c>
      <c r="BB468" s="32" t="s">
        <v>1225</v>
      </c>
      <c r="BC468" s="32" t="s">
        <v>1225</v>
      </c>
      <c r="BD468" s="32" t="s">
        <v>1225</v>
      </c>
      <c r="BE468" s="32">
        <v>161</v>
      </c>
      <c r="BF468" s="32">
        <v>170</v>
      </c>
      <c r="BG468" s="32" t="s">
        <v>1225</v>
      </c>
      <c r="BH468" s="32" t="s">
        <v>4456</v>
      </c>
      <c r="BI468" s="32" t="str">
        <f>HYPERLINK("http://dx.doi.org/10.1109/TSG.2019.2918524","http://dx.doi.org/10.1109/TSG.2019.2918524")</f>
        <v>http://dx.doi.org/10.1109/TSG.2019.2918524</v>
      </c>
      <c r="BJ468" s="32" t="s">
        <v>1225</v>
      </c>
      <c r="BK468" s="32" t="s">
        <v>1225</v>
      </c>
      <c r="BL468" s="32" t="s">
        <v>1225</v>
      </c>
      <c r="BM468" s="32" t="s">
        <v>1225</v>
      </c>
      <c r="BN468" s="32" t="s">
        <v>1225</v>
      </c>
      <c r="BO468" s="32" t="s">
        <v>1225</v>
      </c>
      <c r="BP468" s="32" t="s">
        <v>1225</v>
      </c>
      <c r="BQ468" s="32" t="s">
        <v>1225</v>
      </c>
      <c r="BR468" s="32" t="s">
        <v>1225</v>
      </c>
      <c r="BS468" s="32" t="s">
        <v>1225</v>
      </c>
      <c r="BT468" s="32" t="s">
        <v>1225</v>
      </c>
      <c r="BU468" s="32" t="s">
        <v>1225</v>
      </c>
      <c r="BV468" s="32" t="s">
        <v>1225</v>
      </c>
      <c r="BW468" s="32" t="str">
        <f t="shared" si="14"/>
        <v>View Full Record in Web of Science</v>
      </c>
      <c r="BY468" s="41" t="str">
        <f>IF(Deletion!J468=TRUE,"Yes","No")</f>
        <v>Yes</v>
      </c>
    </row>
    <row r="469" spans="1:77" x14ac:dyDescent="0.15">
      <c r="A469" s="32">
        <f t="shared" si="15"/>
        <v>468</v>
      </c>
      <c r="D469" s="32" t="s">
        <v>1223</v>
      </c>
      <c r="E469" s="32" t="s">
        <v>4457</v>
      </c>
      <c r="F469" s="32" t="s">
        <v>1225</v>
      </c>
      <c r="G469" s="32" t="s">
        <v>1225</v>
      </c>
      <c r="H469" s="32" t="s">
        <v>1225</v>
      </c>
      <c r="I469" s="32" t="s">
        <v>4458</v>
      </c>
      <c r="J469" s="32" t="s">
        <v>1225</v>
      </c>
      <c r="K469" s="32" t="s">
        <v>1225</v>
      </c>
      <c r="L469" s="32" t="s">
        <v>4459</v>
      </c>
      <c r="M469" s="32" t="s">
        <v>124</v>
      </c>
      <c r="N469" s="32" t="s">
        <v>1225</v>
      </c>
      <c r="O469" s="32" t="s">
        <v>1225</v>
      </c>
      <c r="P469" s="32" t="s">
        <v>1225</v>
      </c>
      <c r="Q469" s="32" t="s">
        <v>1227</v>
      </c>
      <c r="R469" s="32" t="s">
        <v>1225</v>
      </c>
      <c r="S469" s="32" t="s">
        <v>1225</v>
      </c>
      <c r="T469" s="32" t="s">
        <v>1225</v>
      </c>
      <c r="U469" s="32" t="s">
        <v>1225</v>
      </c>
      <c r="V469" s="32" t="s">
        <v>1225</v>
      </c>
      <c r="W469" s="32" t="s">
        <v>4460</v>
      </c>
      <c r="X469" s="32" t="s">
        <v>4461</v>
      </c>
      <c r="Y469" s="32" t="s">
        <v>4462</v>
      </c>
      <c r="Z469" s="32" t="s">
        <v>1225</v>
      </c>
      <c r="AA469" s="32" t="s">
        <v>1225</v>
      </c>
      <c r="AB469" s="32" t="s">
        <v>1225</v>
      </c>
      <c r="AC469" s="32" t="s">
        <v>1225</v>
      </c>
      <c r="AD469" s="32" t="s">
        <v>1225</v>
      </c>
      <c r="AE469" s="32" t="s">
        <v>1225</v>
      </c>
      <c r="AF469" s="32" t="s">
        <v>1225</v>
      </c>
      <c r="AG469" s="32" t="s">
        <v>1225</v>
      </c>
      <c r="AH469" s="32" t="s">
        <v>1225</v>
      </c>
      <c r="AI469" s="32" t="s">
        <v>1225</v>
      </c>
      <c r="AJ469" s="32" t="s">
        <v>1225</v>
      </c>
      <c r="AK469" s="32" t="s">
        <v>1225</v>
      </c>
      <c r="AL469" s="32" t="s">
        <v>1225</v>
      </c>
      <c r="AM469" s="32" t="s">
        <v>1225</v>
      </c>
      <c r="AN469" s="32" t="s">
        <v>1225</v>
      </c>
      <c r="AO469" s="32" t="s">
        <v>1225</v>
      </c>
      <c r="AP469" s="32" t="s">
        <v>1225</v>
      </c>
      <c r="AQ469" s="32" t="s">
        <v>1225</v>
      </c>
      <c r="AR469" s="32" t="s">
        <v>1225</v>
      </c>
      <c r="AS469" s="32" t="s">
        <v>1225</v>
      </c>
      <c r="AT469" s="32" t="s">
        <v>1225</v>
      </c>
      <c r="AU469" s="32" t="s">
        <v>1225</v>
      </c>
      <c r="AV469" s="32" t="s">
        <v>1225</v>
      </c>
      <c r="AW469" s="32" t="s">
        <v>1239</v>
      </c>
      <c r="AX469" s="32">
        <v>2019</v>
      </c>
      <c r="AY469" s="32">
        <v>10</v>
      </c>
      <c r="AZ469" s="32">
        <v>4</v>
      </c>
      <c r="BA469" s="32" t="s">
        <v>1225</v>
      </c>
      <c r="BB469" s="32" t="s">
        <v>1225</v>
      </c>
      <c r="BC469" s="32" t="s">
        <v>1225</v>
      </c>
      <c r="BD469" s="32" t="s">
        <v>1225</v>
      </c>
      <c r="BE469" s="32">
        <v>4683</v>
      </c>
      <c r="BF469" s="32">
        <v>4692</v>
      </c>
      <c r="BG469" s="32" t="s">
        <v>1225</v>
      </c>
      <c r="BH469" s="32" t="s">
        <v>4463</v>
      </c>
      <c r="BI469" s="32" t="str">
        <f>HYPERLINK("http://dx.doi.org/10.1109/TSG.2018.2866938","http://dx.doi.org/10.1109/TSG.2018.2866938")</f>
        <v>http://dx.doi.org/10.1109/TSG.2018.2866938</v>
      </c>
      <c r="BJ469" s="32" t="s">
        <v>1225</v>
      </c>
      <c r="BK469" s="32" t="s">
        <v>1225</v>
      </c>
      <c r="BL469" s="32" t="s">
        <v>1225</v>
      </c>
      <c r="BM469" s="32" t="s">
        <v>1225</v>
      </c>
      <c r="BN469" s="32" t="s">
        <v>1225</v>
      </c>
      <c r="BO469" s="32" t="s">
        <v>1225</v>
      </c>
      <c r="BP469" s="32" t="s">
        <v>1225</v>
      </c>
      <c r="BQ469" s="32" t="s">
        <v>1225</v>
      </c>
      <c r="BR469" s="32" t="s">
        <v>1225</v>
      </c>
      <c r="BS469" s="32" t="s">
        <v>1225</v>
      </c>
      <c r="BT469" s="32" t="s">
        <v>1225</v>
      </c>
      <c r="BU469" s="32" t="s">
        <v>1225</v>
      </c>
      <c r="BV469" s="32" t="s">
        <v>1225</v>
      </c>
      <c r="BW469" s="32" t="str">
        <f t="shared" si="14"/>
        <v>View Full Record in Web of Science</v>
      </c>
      <c r="BY469" s="41" t="str">
        <f>IF(Deletion!J469=TRUE,"Yes","No")</f>
        <v>Yes</v>
      </c>
    </row>
    <row r="470" spans="1:77" x14ac:dyDescent="0.15">
      <c r="A470" s="34">
        <f t="shared" si="15"/>
        <v>469</v>
      </c>
      <c r="B470" s="34" t="s">
        <v>4</v>
      </c>
      <c r="C470" s="34" t="s">
        <v>4</v>
      </c>
      <c r="D470" s="34" t="s">
        <v>1223</v>
      </c>
      <c r="E470" s="34" t="s">
        <v>4464</v>
      </c>
      <c r="F470" s="32" t="s">
        <v>1225</v>
      </c>
      <c r="G470" s="32" t="s">
        <v>1225</v>
      </c>
      <c r="H470" s="32" t="s">
        <v>1225</v>
      </c>
      <c r="I470" s="34" t="s">
        <v>4465</v>
      </c>
      <c r="J470" s="32" t="s">
        <v>1225</v>
      </c>
      <c r="K470" s="32" t="s">
        <v>1225</v>
      </c>
      <c r="L470" s="34" t="s">
        <v>4466</v>
      </c>
      <c r="M470" s="34" t="s">
        <v>4467</v>
      </c>
      <c r="N470" s="32" t="s">
        <v>1225</v>
      </c>
      <c r="O470" s="32" t="s">
        <v>1225</v>
      </c>
      <c r="P470" s="32" t="s">
        <v>1225</v>
      </c>
      <c r="Q470" s="34" t="s">
        <v>1227</v>
      </c>
      <c r="R470" s="32" t="s">
        <v>1225</v>
      </c>
      <c r="S470" s="32" t="s">
        <v>1225</v>
      </c>
      <c r="T470" s="32" t="s">
        <v>1225</v>
      </c>
      <c r="U470" s="32" t="s">
        <v>1225</v>
      </c>
      <c r="V470" s="32" t="s">
        <v>1225</v>
      </c>
      <c r="W470" s="34" t="s">
        <v>4468</v>
      </c>
      <c r="X470" s="34" t="s">
        <v>4469</v>
      </c>
      <c r="Y470" s="34" t="s">
        <v>4470</v>
      </c>
      <c r="Z470" s="32" t="s">
        <v>1225</v>
      </c>
      <c r="AA470" s="32" t="s">
        <v>1225</v>
      </c>
      <c r="AB470" s="32" t="s">
        <v>1225</v>
      </c>
      <c r="AC470" s="32" t="s">
        <v>1225</v>
      </c>
      <c r="AD470" s="32" t="s">
        <v>1225</v>
      </c>
      <c r="AE470" s="32" t="s">
        <v>1225</v>
      </c>
      <c r="AF470" s="32" t="s">
        <v>1225</v>
      </c>
      <c r="AG470" s="32" t="s">
        <v>1225</v>
      </c>
      <c r="AH470" s="32" t="s">
        <v>1225</v>
      </c>
      <c r="AI470" s="32" t="s">
        <v>1225</v>
      </c>
      <c r="AJ470" s="32" t="s">
        <v>1225</v>
      </c>
      <c r="AK470" s="32" t="s">
        <v>1225</v>
      </c>
      <c r="AL470" s="32" t="s">
        <v>1225</v>
      </c>
      <c r="AM470" s="32" t="s">
        <v>1225</v>
      </c>
      <c r="AN470" s="32" t="s">
        <v>1225</v>
      </c>
      <c r="AO470" s="32" t="s">
        <v>1225</v>
      </c>
      <c r="AP470" s="32" t="s">
        <v>1225</v>
      </c>
      <c r="AQ470" s="32" t="s">
        <v>1225</v>
      </c>
      <c r="AR470" s="32" t="s">
        <v>1225</v>
      </c>
      <c r="AS470" s="32" t="s">
        <v>1225</v>
      </c>
      <c r="AT470" s="32" t="s">
        <v>1225</v>
      </c>
      <c r="AU470" s="32" t="s">
        <v>1225</v>
      </c>
      <c r="AV470" s="32" t="s">
        <v>1225</v>
      </c>
      <c r="AW470" s="34" t="s">
        <v>2634</v>
      </c>
      <c r="AX470" s="34">
        <v>2021</v>
      </c>
      <c r="AY470" s="32">
        <v>147</v>
      </c>
      <c r="AZ470" s="32">
        <v>1</v>
      </c>
      <c r="BA470" s="32" t="s">
        <v>1225</v>
      </c>
      <c r="BB470" s="32" t="s">
        <v>1225</v>
      </c>
      <c r="BC470" s="32" t="s">
        <v>1225</v>
      </c>
      <c r="BD470" s="32" t="s">
        <v>1225</v>
      </c>
      <c r="BE470" s="32" t="s">
        <v>1225</v>
      </c>
      <c r="BF470" s="32" t="s">
        <v>1225</v>
      </c>
      <c r="BG470" s="32">
        <v>4020085</v>
      </c>
      <c r="BH470" s="34" t="s">
        <v>4471</v>
      </c>
      <c r="BI470" s="34" t="str">
        <f>HYPERLINK("http://dx.doi.org/10.1061/(ASCE)EY.1943-7897.0000734","http://dx.doi.org/10.1061/(ASCE)EY.1943-7897.0000734")</f>
        <v>http://dx.doi.org/10.1061/(ASCE)EY.1943-7897.0000734</v>
      </c>
      <c r="BJ470" s="32" t="s">
        <v>1225</v>
      </c>
      <c r="BK470" s="32" t="s">
        <v>1225</v>
      </c>
      <c r="BL470" s="32" t="s">
        <v>1225</v>
      </c>
      <c r="BM470" s="32" t="s">
        <v>1225</v>
      </c>
      <c r="BN470" s="32" t="s">
        <v>1225</v>
      </c>
      <c r="BO470" s="32" t="s">
        <v>1225</v>
      </c>
      <c r="BP470" s="32" t="s">
        <v>1225</v>
      </c>
      <c r="BQ470" s="32" t="s">
        <v>1225</v>
      </c>
      <c r="BR470" s="32" t="s">
        <v>1225</v>
      </c>
      <c r="BS470" s="32" t="s">
        <v>1225</v>
      </c>
      <c r="BT470" s="32" t="s">
        <v>1225</v>
      </c>
      <c r="BU470" s="32" t="s">
        <v>1225</v>
      </c>
      <c r="BV470" s="32" t="s">
        <v>1225</v>
      </c>
      <c r="BW470" s="32" t="str">
        <f t="shared" si="14"/>
        <v>View Full Record in Web of Science</v>
      </c>
      <c r="BY470" s="41" t="str">
        <f>IF(Deletion!J470=TRUE,"Yes","No")</f>
        <v>No</v>
      </c>
    </row>
    <row r="471" spans="1:77" x14ac:dyDescent="0.15">
      <c r="A471" s="32">
        <f t="shared" si="15"/>
        <v>470</v>
      </c>
      <c r="D471" s="32" t="s">
        <v>1223</v>
      </c>
      <c r="E471" s="32" t="s">
        <v>4472</v>
      </c>
      <c r="F471" s="32" t="s">
        <v>1225</v>
      </c>
      <c r="G471" s="32" t="s">
        <v>1225</v>
      </c>
      <c r="H471" s="32" t="s">
        <v>1225</v>
      </c>
      <c r="I471" s="32" t="s">
        <v>4473</v>
      </c>
      <c r="J471" s="32" t="s">
        <v>1225</v>
      </c>
      <c r="K471" s="32" t="s">
        <v>1225</v>
      </c>
      <c r="L471" s="32" t="s">
        <v>4474</v>
      </c>
      <c r="M471" s="32" t="s">
        <v>97</v>
      </c>
      <c r="N471" s="32" t="s">
        <v>1225</v>
      </c>
      <c r="O471" s="32" t="s">
        <v>1225</v>
      </c>
      <c r="P471" s="32" t="s">
        <v>1225</v>
      </c>
      <c r="Q471" s="32" t="s">
        <v>1227</v>
      </c>
      <c r="R471" s="32" t="s">
        <v>1225</v>
      </c>
      <c r="S471" s="32" t="s">
        <v>1225</v>
      </c>
      <c r="T471" s="32" t="s">
        <v>1225</v>
      </c>
      <c r="U471" s="32" t="s">
        <v>1225</v>
      </c>
      <c r="V471" s="32" t="s">
        <v>1225</v>
      </c>
      <c r="W471" s="32" t="s">
        <v>4475</v>
      </c>
      <c r="X471" s="32" t="s">
        <v>4476</v>
      </c>
      <c r="Y471" s="32" t="s">
        <v>4477</v>
      </c>
      <c r="Z471" s="32" t="s">
        <v>1225</v>
      </c>
      <c r="AA471" s="32" t="s">
        <v>1225</v>
      </c>
      <c r="AB471" s="32" t="s">
        <v>1225</v>
      </c>
      <c r="AC471" s="32" t="s">
        <v>1225</v>
      </c>
      <c r="AD471" s="32" t="s">
        <v>1225</v>
      </c>
      <c r="AE471" s="32" t="s">
        <v>1225</v>
      </c>
      <c r="AF471" s="32" t="s">
        <v>1225</v>
      </c>
      <c r="AG471" s="32" t="s">
        <v>1225</v>
      </c>
      <c r="AH471" s="32" t="s">
        <v>1225</v>
      </c>
      <c r="AI471" s="32" t="s">
        <v>1225</v>
      </c>
      <c r="AJ471" s="32" t="s">
        <v>1225</v>
      </c>
      <c r="AK471" s="32" t="s">
        <v>1225</v>
      </c>
      <c r="AL471" s="32" t="s">
        <v>1225</v>
      </c>
      <c r="AM471" s="32" t="s">
        <v>1225</v>
      </c>
      <c r="AN471" s="32" t="s">
        <v>1225</v>
      </c>
      <c r="AO471" s="32" t="s">
        <v>1225</v>
      </c>
      <c r="AP471" s="32" t="s">
        <v>1225</v>
      </c>
      <c r="AQ471" s="32" t="s">
        <v>1225</v>
      </c>
      <c r="AR471" s="32" t="s">
        <v>1225</v>
      </c>
      <c r="AS471" s="32" t="s">
        <v>1225</v>
      </c>
      <c r="AT471" s="32" t="s">
        <v>1225</v>
      </c>
      <c r="AU471" s="32" t="s">
        <v>1225</v>
      </c>
      <c r="AV471" s="32" t="s">
        <v>1225</v>
      </c>
      <c r="AW471" s="32" t="s">
        <v>1565</v>
      </c>
      <c r="AX471" s="32">
        <v>2022</v>
      </c>
      <c r="AY471" s="32">
        <v>308</v>
      </c>
      <c r="AZ471" s="32" t="s">
        <v>1225</v>
      </c>
      <c r="BA471" s="32" t="s">
        <v>1225</v>
      </c>
      <c r="BB471" s="32" t="s">
        <v>1225</v>
      </c>
      <c r="BC471" s="32" t="s">
        <v>1225</v>
      </c>
      <c r="BD471" s="32" t="s">
        <v>1225</v>
      </c>
      <c r="BE471" s="32" t="s">
        <v>1225</v>
      </c>
      <c r="BF471" s="32" t="s">
        <v>1225</v>
      </c>
      <c r="BG471" s="32">
        <v>118280</v>
      </c>
      <c r="BH471" s="32" t="s">
        <v>4478</v>
      </c>
      <c r="BI471" s="32" t="str">
        <f>HYPERLINK("http://dx.doi.org/10.1016/j.apenergy.2021.118280","http://dx.doi.org/10.1016/j.apenergy.2021.118280")</f>
        <v>http://dx.doi.org/10.1016/j.apenergy.2021.118280</v>
      </c>
      <c r="BJ471" s="32" t="s">
        <v>1225</v>
      </c>
      <c r="BK471" s="32" t="s">
        <v>1225</v>
      </c>
      <c r="BL471" s="32" t="s">
        <v>1225</v>
      </c>
      <c r="BM471" s="32" t="s">
        <v>1225</v>
      </c>
      <c r="BN471" s="32" t="s">
        <v>1225</v>
      </c>
      <c r="BO471" s="32" t="s">
        <v>1225</v>
      </c>
      <c r="BP471" s="32" t="s">
        <v>1225</v>
      </c>
      <c r="BQ471" s="32" t="s">
        <v>1225</v>
      </c>
      <c r="BR471" s="32" t="s">
        <v>1225</v>
      </c>
      <c r="BS471" s="32" t="s">
        <v>1225</v>
      </c>
      <c r="BT471" s="32" t="s">
        <v>1225</v>
      </c>
      <c r="BU471" s="32" t="s">
        <v>1225</v>
      </c>
      <c r="BV471" s="32" t="s">
        <v>1225</v>
      </c>
      <c r="BW471" s="32" t="str">
        <f t="shared" si="14"/>
        <v>View Full Record in Web of Science</v>
      </c>
      <c r="BY471" s="41" t="str">
        <f>IF(Deletion!J471=TRUE,"Yes","No")</f>
        <v>Yes</v>
      </c>
    </row>
    <row r="472" spans="1:77" x14ac:dyDescent="0.15">
      <c r="A472" s="32">
        <f t="shared" si="15"/>
        <v>471</v>
      </c>
      <c r="D472" s="32" t="s">
        <v>1223</v>
      </c>
      <c r="E472" s="32" t="s">
        <v>4479</v>
      </c>
      <c r="F472" s="32" t="s">
        <v>1225</v>
      </c>
      <c r="G472" s="32" t="s">
        <v>1225</v>
      </c>
      <c r="H472" s="32" t="s">
        <v>1225</v>
      </c>
      <c r="I472" s="32" t="s">
        <v>4480</v>
      </c>
      <c r="J472" s="32" t="s">
        <v>1225</v>
      </c>
      <c r="K472" s="32" t="s">
        <v>1225</v>
      </c>
      <c r="L472" s="32" t="s">
        <v>4481</v>
      </c>
      <c r="M472" s="32" t="s">
        <v>849</v>
      </c>
      <c r="N472" s="32" t="s">
        <v>1225</v>
      </c>
      <c r="O472" s="32" t="s">
        <v>1225</v>
      </c>
      <c r="P472" s="32" t="s">
        <v>1225</v>
      </c>
      <c r="Q472" s="32" t="s">
        <v>1227</v>
      </c>
      <c r="R472" s="32" t="s">
        <v>1225</v>
      </c>
      <c r="S472" s="32" t="s">
        <v>1225</v>
      </c>
      <c r="T472" s="32" t="s">
        <v>1225</v>
      </c>
      <c r="U472" s="32" t="s">
        <v>1225</v>
      </c>
      <c r="V472" s="32" t="s">
        <v>1225</v>
      </c>
      <c r="W472" s="32" t="s">
        <v>4482</v>
      </c>
      <c r="X472" s="32" t="s">
        <v>4483</v>
      </c>
      <c r="Y472" s="32" t="s">
        <v>4484</v>
      </c>
      <c r="Z472" s="32" t="s">
        <v>1225</v>
      </c>
      <c r="AA472" s="32" t="s">
        <v>1225</v>
      </c>
      <c r="AB472" s="32" t="s">
        <v>1225</v>
      </c>
      <c r="AC472" s="32" t="s">
        <v>1225</v>
      </c>
      <c r="AD472" s="32" t="s">
        <v>1225</v>
      </c>
      <c r="AE472" s="32" t="s">
        <v>1225</v>
      </c>
      <c r="AF472" s="32" t="s">
        <v>1225</v>
      </c>
      <c r="AG472" s="32" t="s">
        <v>1225</v>
      </c>
      <c r="AH472" s="32" t="s">
        <v>1225</v>
      </c>
      <c r="AI472" s="32" t="s">
        <v>1225</v>
      </c>
      <c r="AJ472" s="32" t="s">
        <v>1225</v>
      </c>
      <c r="AK472" s="32" t="s">
        <v>1225</v>
      </c>
      <c r="AL472" s="32" t="s">
        <v>1225</v>
      </c>
      <c r="AM472" s="32" t="s">
        <v>1225</v>
      </c>
      <c r="AN472" s="32" t="s">
        <v>1225</v>
      </c>
      <c r="AO472" s="32" t="s">
        <v>1225</v>
      </c>
      <c r="AP472" s="32" t="s">
        <v>1225</v>
      </c>
      <c r="AQ472" s="32" t="s">
        <v>1225</v>
      </c>
      <c r="AR472" s="32" t="s">
        <v>1225</v>
      </c>
      <c r="AS472" s="32" t="s">
        <v>1225</v>
      </c>
      <c r="AT472" s="32" t="s">
        <v>1225</v>
      </c>
      <c r="AU472" s="32" t="s">
        <v>1225</v>
      </c>
      <c r="AV472" s="32" t="s">
        <v>1225</v>
      </c>
      <c r="AW472" s="32" t="s">
        <v>1285</v>
      </c>
      <c r="AX472" s="32">
        <v>2021</v>
      </c>
      <c r="AY472" s="32">
        <v>36</v>
      </c>
      <c r="AZ472" s="32">
        <v>3</v>
      </c>
      <c r="BA472" s="32" t="s">
        <v>1225</v>
      </c>
      <c r="BB472" s="32" t="s">
        <v>1225</v>
      </c>
      <c r="BC472" s="32" t="s">
        <v>1225</v>
      </c>
      <c r="BD472" s="32" t="s">
        <v>1225</v>
      </c>
      <c r="BE472" s="32">
        <v>2197</v>
      </c>
      <c r="BF472" s="32">
        <v>2210</v>
      </c>
      <c r="BG472" s="32" t="s">
        <v>1225</v>
      </c>
      <c r="BH472" s="32" t="s">
        <v>4485</v>
      </c>
      <c r="BI472" s="32" t="str">
        <f>HYPERLINK("http://dx.doi.org/10.1109/TPWRS.2020.3040310","http://dx.doi.org/10.1109/TPWRS.2020.3040310")</f>
        <v>http://dx.doi.org/10.1109/TPWRS.2020.3040310</v>
      </c>
      <c r="BJ472" s="32" t="s">
        <v>1225</v>
      </c>
      <c r="BK472" s="32" t="s">
        <v>1225</v>
      </c>
      <c r="BL472" s="32" t="s">
        <v>1225</v>
      </c>
      <c r="BM472" s="32" t="s">
        <v>1225</v>
      </c>
      <c r="BN472" s="32" t="s">
        <v>1225</v>
      </c>
      <c r="BO472" s="32" t="s">
        <v>1225</v>
      </c>
      <c r="BP472" s="32" t="s">
        <v>1225</v>
      </c>
      <c r="BQ472" s="32" t="s">
        <v>1225</v>
      </c>
      <c r="BR472" s="32" t="s">
        <v>1225</v>
      </c>
      <c r="BS472" s="32" t="s">
        <v>1225</v>
      </c>
      <c r="BT472" s="32" t="s">
        <v>1225</v>
      </c>
      <c r="BU472" s="32" t="s">
        <v>1225</v>
      </c>
      <c r="BV472" s="32" t="s">
        <v>1225</v>
      </c>
      <c r="BW472" s="32" t="str">
        <f t="shared" si="14"/>
        <v>View Full Record in Web of Science</v>
      </c>
      <c r="BY472" s="41" t="str">
        <f>IF(Deletion!J472=TRUE,"Yes","No")</f>
        <v>Yes</v>
      </c>
    </row>
    <row r="473" spans="1:77" x14ac:dyDescent="0.15">
      <c r="A473" s="32">
        <f t="shared" si="15"/>
        <v>472</v>
      </c>
      <c r="D473" s="32" t="s">
        <v>1223</v>
      </c>
      <c r="E473" s="32" t="s">
        <v>4486</v>
      </c>
      <c r="F473" s="32" t="s">
        <v>1225</v>
      </c>
      <c r="G473" s="32" t="s">
        <v>1225</v>
      </c>
      <c r="H473" s="32" t="s">
        <v>1225</v>
      </c>
      <c r="I473" s="32" t="s">
        <v>4487</v>
      </c>
      <c r="J473" s="32" t="s">
        <v>1225</v>
      </c>
      <c r="K473" s="32" t="s">
        <v>1225</v>
      </c>
      <c r="L473" s="32" t="s">
        <v>4488</v>
      </c>
      <c r="M473" s="32" t="s">
        <v>553</v>
      </c>
      <c r="N473" s="32" t="s">
        <v>1225</v>
      </c>
      <c r="O473" s="32" t="s">
        <v>1225</v>
      </c>
      <c r="P473" s="32" t="s">
        <v>1225</v>
      </c>
      <c r="Q473" s="32" t="s">
        <v>1227</v>
      </c>
      <c r="R473" s="32" t="s">
        <v>1225</v>
      </c>
      <c r="S473" s="32" t="s">
        <v>1225</v>
      </c>
      <c r="T473" s="32" t="s">
        <v>1225</v>
      </c>
      <c r="U473" s="32" t="s">
        <v>1225</v>
      </c>
      <c r="V473" s="32" t="s">
        <v>1225</v>
      </c>
      <c r="W473" s="32" t="s">
        <v>4489</v>
      </c>
      <c r="X473" s="32" t="s">
        <v>4490</v>
      </c>
      <c r="Y473" s="32" t="s">
        <v>4491</v>
      </c>
      <c r="Z473" s="32" t="s">
        <v>1225</v>
      </c>
      <c r="AA473" s="32" t="s">
        <v>1225</v>
      </c>
      <c r="AB473" s="32" t="s">
        <v>1225</v>
      </c>
      <c r="AC473" s="32" t="s">
        <v>1225</v>
      </c>
      <c r="AD473" s="32" t="s">
        <v>1225</v>
      </c>
      <c r="AE473" s="32" t="s">
        <v>1225</v>
      </c>
      <c r="AF473" s="32" t="s">
        <v>1225</v>
      </c>
      <c r="AG473" s="32" t="s">
        <v>1225</v>
      </c>
      <c r="AH473" s="32" t="s">
        <v>1225</v>
      </c>
      <c r="AI473" s="32" t="s">
        <v>1225</v>
      </c>
      <c r="AJ473" s="32" t="s">
        <v>1225</v>
      </c>
      <c r="AK473" s="32" t="s">
        <v>1225</v>
      </c>
      <c r="AL473" s="32" t="s">
        <v>1225</v>
      </c>
      <c r="AM473" s="32" t="s">
        <v>1225</v>
      </c>
      <c r="AN473" s="32" t="s">
        <v>1225</v>
      </c>
      <c r="AO473" s="32" t="s">
        <v>1225</v>
      </c>
      <c r="AP473" s="32" t="s">
        <v>1225</v>
      </c>
      <c r="AQ473" s="32" t="s">
        <v>1225</v>
      </c>
      <c r="AR473" s="32" t="s">
        <v>1225</v>
      </c>
      <c r="AS473" s="32" t="s">
        <v>1225</v>
      </c>
      <c r="AT473" s="32" t="s">
        <v>1225</v>
      </c>
      <c r="AU473" s="32" t="s">
        <v>1225</v>
      </c>
      <c r="AV473" s="32" t="s">
        <v>1225</v>
      </c>
      <c r="AW473" s="32" t="s">
        <v>1276</v>
      </c>
      <c r="AX473" s="32">
        <v>2020</v>
      </c>
      <c r="AY473" s="32">
        <v>87</v>
      </c>
      <c r="AZ473" s="32" t="s">
        <v>1225</v>
      </c>
      <c r="BA473" s="32" t="s">
        <v>1225</v>
      </c>
      <c r="BB473" s="32" t="s">
        <v>1225</v>
      </c>
      <c r="BC473" s="32" t="s">
        <v>1225</v>
      </c>
      <c r="BD473" s="32" t="s">
        <v>1225</v>
      </c>
      <c r="BE473" s="32" t="s">
        <v>1225</v>
      </c>
      <c r="BF473" s="32" t="s">
        <v>1225</v>
      </c>
      <c r="BG473" s="32">
        <v>102504</v>
      </c>
      <c r="BH473" s="32" t="s">
        <v>4492</v>
      </c>
      <c r="BI473" s="32" t="str">
        <f>HYPERLINK("http://dx.doi.org/10.1016/j.trd.2020.102504","http://dx.doi.org/10.1016/j.trd.2020.102504")</f>
        <v>http://dx.doi.org/10.1016/j.trd.2020.102504</v>
      </c>
      <c r="BJ473" s="32" t="s">
        <v>1225</v>
      </c>
      <c r="BK473" s="32" t="s">
        <v>1225</v>
      </c>
      <c r="BL473" s="32" t="s">
        <v>1225</v>
      </c>
      <c r="BM473" s="32" t="s">
        <v>1225</v>
      </c>
      <c r="BN473" s="32" t="s">
        <v>1225</v>
      </c>
      <c r="BO473" s="32" t="s">
        <v>1225</v>
      </c>
      <c r="BP473" s="32" t="s">
        <v>1225</v>
      </c>
      <c r="BQ473" s="32" t="s">
        <v>1225</v>
      </c>
      <c r="BR473" s="32" t="s">
        <v>1225</v>
      </c>
      <c r="BS473" s="32" t="s">
        <v>1225</v>
      </c>
      <c r="BT473" s="32" t="s">
        <v>1225</v>
      </c>
      <c r="BU473" s="32" t="s">
        <v>1225</v>
      </c>
      <c r="BV473" s="32" t="s">
        <v>1225</v>
      </c>
      <c r="BW473" s="32" t="str">
        <f t="shared" si="14"/>
        <v>View Full Record in Web of Science</v>
      </c>
      <c r="BY473" s="41" t="str">
        <f>IF(Deletion!J473=TRUE,"Yes","No")</f>
        <v>Yes</v>
      </c>
    </row>
    <row r="474" spans="1:77" x14ac:dyDescent="0.15">
      <c r="A474" s="32">
        <f t="shared" si="15"/>
        <v>473</v>
      </c>
      <c r="D474" s="32" t="s">
        <v>1223</v>
      </c>
      <c r="E474" s="32" t="s">
        <v>4493</v>
      </c>
      <c r="F474" s="32" t="s">
        <v>1225</v>
      </c>
      <c r="G474" s="32" t="s">
        <v>1225</v>
      </c>
      <c r="H474" s="32" t="s">
        <v>1225</v>
      </c>
      <c r="I474" s="32" t="s">
        <v>4494</v>
      </c>
      <c r="J474" s="32" t="s">
        <v>1225</v>
      </c>
      <c r="K474" s="32" t="s">
        <v>1225</v>
      </c>
      <c r="L474" s="32" t="s">
        <v>4495</v>
      </c>
      <c r="M474" s="32" t="s">
        <v>68</v>
      </c>
      <c r="N474" s="32" t="s">
        <v>1225</v>
      </c>
      <c r="O474" s="32" t="s">
        <v>1225</v>
      </c>
      <c r="P474" s="32" t="s">
        <v>1225</v>
      </c>
      <c r="Q474" s="32" t="s">
        <v>1227</v>
      </c>
      <c r="R474" s="32" t="s">
        <v>1225</v>
      </c>
      <c r="S474" s="32" t="s">
        <v>1225</v>
      </c>
      <c r="T474" s="32" t="s">
        <v>1225</v>
      </c>
      <c r="U474" s="32" t="s">
        <v>1225</v>
      </c>
      <c r="V474" s="32" t="s">
        <v>1225</v>
      </c>
      <c r="W474" s="32" t="s">
        <v>4496</v>
      </c>
      <c r="X474" s="32" t="s">
        <v>4497</v>
      </c>
      <c r="Y474" s="32" t="s">
        <v>4498</v>
      </c>
      <c r="Z474" s="32" t="s">
        <v>1225</v>
      </c>
      <c r="AA474" s="32" t="s">
        <v>1225</v>
      </c>
      <c r="AB474" s="32" t="s">
        <v>1225</v>
      </c>
      <c r="AC474" s="32" t="s">
        <v>1225</v>
      </c>
      <c r="AD474" s="32" t="s">
        <v>1225</v>
      </c>
      <c r="AE474" s="32" t="s">
        <v>1225</v>
      </c>
      <c r="AF474" s="32" t="s">
        <v>1225</v>
      </c>
      <c r="AG474" s="32" t="s">
        <v>1225</v>
      </c>
      <c r="AH474" s="32" t="s">
        <v>1225</v>
      </c>
      <c r="AI474" s="32" t="s">
        <v>1225</v>
      </c>
      <c r="AJ474" s="32" t="s">
        <v>1225</v>
      </c>
      <c r="AK474" s="32" t="s">
        <v>1225</v>
      </c>
      <c r="AL474" s="32" t="s">
        <v>1225</v>
      </c>
      <c r="AM474" s="32" t="s">
        <v>1225</v>
      </c>
      <c r="AN474" s="32" t="s">
        <v>1225</v>
      </c>
      <c r="AO474" s="32" t="s">
        <v>1225</v>
      </c>
      <c r="AP474" s="32" t="s">
        <v>1225</v>
      </c>
      <c r="AQ474" s="32" t="s">
        <v>1225</v>
      </c>
      <c r="AR474" s="32" t="s">
        <v>1225</v>
      </c>
      <c r="AS474" s="32" t="s">
        <v>1225</v>
      </c>
      <c r="AT474" s="32" t="s">
        <v>1225</v>
      </c>
      <c r="AU474" s="32" t="s">
        <v>1225</v>
      </c>
      <c r="AV474" s="32" t="s">
        <v>1225</v>
      </c>
      <c r="AW474" s="32" t="s">
        <v>1225</v>
      </c>
      <c r="AX474" s="32">
        <v>2020</v>
      </c>
      <c r="AY474" s="32">
        <v>8</v>
      </c>
      <c r="AZ474" s="32" t="s">
        <v>1225</v>
      </c>
      <c r="BA474" s="32" t="s">
        <v>1225</v>
      </c>
      <c r="BB474" s="32" t="s">
        <v>1225</v>
      </c>
      <c r="BC474" s="32" t="s">
        <v>1225</v>
      </c>
      <c r="BD474" s="32" t="s">
        <v>1225</v>
      </c>
      <c r="BE474" s="32">
        <v>130576</v>
      </c>
      <c r="BF474" s="32">
        <v>130587</v>
      </c>
      <c r="BG474" s="32" t="s">
        <v>1225</v>
      </c>
      <c r="BH474" s="32" t="s">
        <v>4499</v>
      </c>
      <c r="BI474" s="32" t="str">
        <f>HYPERLINK("http://dx.doi.org/10.1109/ACCESS.2020.3009739","http://dx.doi.org/10.1109/ACCESS.2020.3009739")</f>
        <v>http://dx.doi.org/10.1109/ACCESS.2020.3009739</v>
      </c>
      <c r="BJ474" s="32" t="s">
        <v>1225</v>
      </c>
      <c r="BK474" s="32" t="s">
        <v>1225</v>
      </c>
      <c r="BL474" s="32" t="s">
        <v>1225</v>
      </c>
      <c r="BM474" s="32" t="s">
        <v>1225</v>
      </c>
      <c r="BN474" s="32" t="s">
        <v>1225</v>
      </c>
      <c r="BO474" s="32" t="s">
        <v>1225</v>
      </c>
      <c r="BP474" s="32" t="s">
        <v>1225</v>
      </c>
      <c r="BQ474" s="32" t="s">
        <v>1225</v>
      </c>
      <c r="BR474" s="32" t="s">
        <v>1225</v>
      </c>
      <c r="BS474" s="32" t="s">
        <v>1225</v>
      </c>
      <c r="BT474" s="32" t="s">
        <v>1225</v>
      </c>
      <c r="BU474" s="32" t="s">
        <v>1225</v>
      </c>
      <c r="BV474" s="32" t="s">
        <v>1225</v>
      </c>
      <c r="BW474" s="32" t="str">
        <f t="shared" si="14"/>
        <v>View Full Record in Web of Science</v>
      </c>
      <c r="BY474" s="41" t="str">
        <f>IF(Deletion!J474=TRUE,"Yes","No")</f>
        <v>Yes</v>
      </c>
    </row>
    <row r="475" spans="1:77" x14ac:dyDescent="0.15">
      <c r="A475" s="32">
        <f t="shared" si="15"/>
        <v>474</v>
      </c>
      <c r="D475" s="32" t="s">
        <v>1223</v>
      </c>
      <c r="E475" s="32" t="s">
        <v>4500</v>
      </c>
      <c r="F475" s="32" t="s">
        <v>1225</v>
      </c>
      <c r="G475" s="32" t="s">
        <v>1225</v>
      </c>
      <c r="H475" s="32" t="s">
        <v>1225</v>
      </c>
      <c r="I475" s="32" t="s">
        <v>4501</v>
      </c>
      <c r="J475" s="32" t="s">
        <v>1225</v>
      </c>
      <c r="K475" s="32" t="s">
        <v>1225</v>
      </c>
      <c r="L475" s="32" t="s">
        <v>4502</v>
      </c>
      <c r="M475" s="32" t="s">
        <v>124</v>
      </c>
      <c r="N475" s="32" t="s">
        <v>1225</v>
      </c>
      <c r="O475" s="32" t="s">
        <v>1225</v>
      </c>
      <c r="P475" s="32" t="s">
        <v>1225</v>
      </c>
      <c r="Q475" s="32" t="s">
        <v>1227</v>
      </c>
      <c r="R475" s="32" t="s">
        <v>1225</v>
      </c>
      <c r="S475" s="32" t="s">
        <v>1225</v>
      </c>
      <c r="T475" s="32" t="s">
        <v>1225</v>
      </c>
      <c r="U475" s="32" t="s">
        <v>1225</v>
      </c>
      <c r="V475" s="32" t="s">
        <v>1225</v>
      </c>
      <c r="W475" s="32" t="s">
        <v>4503</v>
      </c>
      <c r="X475" s="32" t="s">
        <v>1225</v>
      </c>
      <c r="Y475" s="32" t="s">
        <v>4504</v>
      </c>
      <c r="Z475" s="32" t="s">
        <v>1225</v>
      </c>
      <c r="AA475" s="32" t="s">
        <v>1225</v>
      </c>
      <c r="AB475" s="32" t="s">
        <v>1225</v>
      </c>
      <c r="AC475" s="32" t="s">
        <v>1225</v>
      </c>
      <c r="AD475" s="32" t="s">
        <v>1225</v>
      </c>
      <c r="AE475" s="32" t="s">
        <v>1225</v>
      </c>
      <c r="AF475" s="32" t="s">
        <v>1225</v>
      </c>
      <c r="AG475" s="32" t="s">
        <v>1225</v>
      </c>
      <c r="AH475" s="32" t="s">
        <v>1225</v>
      </c>
      <c r="AI475" s="32" t="s">
        <v>1225</v>
      </c>
      <c r="AJ475" s="32" t="s">
        <v>1225</v>
      </c>
      <c r="AK475" s="32" t="s">
        <v>1225</v>
      </c>
      <c r="AL475" s="32" t="s">
        <v>1225</v>
      </c>
      <c r="AM475" s="32" t="s">
        <v>1225</v>
      </c>
      <c r="AN475" s="32" t="s">
        <v>1225</v>
      </c>
      <c r="AO475" s="32" t="s">
        <v>1225</v>
      </c>
      <c r="AP475" s="32" t="s">
        <v>1225</v>
      </c>
      <c r="AQ475" s="32" t="s">
        <v>1225</v>
      </c>
      <c r="AR475" s="32" t="s">
        <v>1225</v>
      </c>
      <c r="AS475" s="32" t="s">
        <v>1225</v>
      </c>
      <c r="AT475" s="32" t="s">
        <v>1225</v>
      </c>
      <c r="AU475" s="32" t="s">
        <v>1225</v>
      </c>
      <c r="AV475" s="32" t="s">
        <v>1225</v>
      </c>
      <c r="AW475" s="32" t="s">
        <v>1285</v>
      </c>
      <c r="AX475" s="32">
        <v>2022</v>
      </c>
      <c r="AY475" s="32">
        <v>13</v>
      </c>
      <c r="AZ475" s="32">
        <v>3</v>
      </c>
      <c r="BA475" s="32" t="s">
        <v>1225</v>
      </c>
      <c r="BB475" s="32" t="s">
        <v>1225</v>
      </c>
      <c r="BC475" s="32" t="s">
        <v>1225</v>
      </c>
      <c r="BD475" s="32" t="s">
        <v>1225</v>
      </c>
      <c r="BE475" s="32">
        <v>2209</v>
      </c>
      <c r="BF475" s="32">
        <v>2217</v>
      </c>
      <c r="BG475" s="32" t="s">
        <v>1225</v>
      </c>
      <c r="BH475" s="32" t="s">
        <v>4505</v>
      </c>
      <c r="BI475" s="32" t="str">
        <f>HYPERLINK("http://dx.doi.org/10.1109/TSG.2021.3138615","http://dx.doi.org/10.1109/TSG.2021.3138615")</f>
        <v>http://dx.doi.org/10.1109/TSG.2021.3138615</v>
      </c>
      <c r="BJ475" s="32" t="s">
        <v>1225</v>
      </c>
      <c r="BK475" s="32" t="s">
        <v>1225</v>
      </c>
      <c r="BL475" s="32" t="s">
        <v>1225</v>
      </c>
      <c r="BM475" s="32" t="s">
        <v>1225</v>
      </c>
      <c r="BN475" s="32" t="s">
        <v>1225</v>
      </c>
      <c r="BO475" s="32" t="s">
        <v>1225</v>
      </c>
      <c r="BP475" s="32" t="s">
        <v>1225</v>
      </c>
      <c r="BQ475" s="32" t="s">
        <v>1225</v>
      </c>
      <c r="BR475" s="32" t="s">
        <v>1225</v>
      </c>
      <c r="BS475" s="32" t="s">
        <v>1225</v>
      </c>
      <c r="BT475" s="32" t="s">
        <v>1225</v>
      </c>
      <c r="BU475" s="32" t="s">
        <v>1225</v>
      </c>
      <c r="BV475" s="32" t="s">
        <v>1225</v>
      </c>
      <c r="BW475" s="32" t="str">
        <f t="shared" si="14"/>
        <v>View Full Record in Web of Science</v>
      </c>
      <c r="BY475" s="41" t="str">
        <f>IF(Deletion!J475=TRUE,"Yes","No")</f>
        <v>Yes</v>
      </c>
    </row>
    <row r="476" spans="1:77" x14ac:dyDescent="0.15">
      <c r="A476" s="32">
        <f t="shared" si="15"/>
        <v>475</v>
      </c>
      <c r="D476" s="32" t="s">
        <v>1223</v>
      </c>
      <c r="E476" s="32" t="s">
        <v>4506</v>
      </c>
      <c r="F476" s="32" t="s">
        <v>1225</v>
      </c>
      <c r="G476" s="32" t="s">
        <v>1225</v>
      </c>
      <c r="H476" s="32" t="s">
        <v>1225</v>
      </c>
      <c r="I476" s="32" t="s">
        <v>4507</v>
      </c>
      <c r="J476" s="32" t="s">
        <v>1225</v>
      </c>
      <c r="K476" s="32" t="s">
        <v>1225</v>
      </c>
      <c r="L476" s="32" t="s">
        <v>4508</v>
      </c>
      <c r="M476" s="32" t="s">
        <v>1771</v>
      </c>
      <c r="N476" s="32" t="s">
        <v>1225</v>
      </c>
      <c r="O476" s="32" t="s">
        <v>1225</v>
      </c>
      <c r="P476" s="32" t="s">
        <v>1225</v>
      </c>
      <c r="Q476" s="32" t="s">
        <v>1227</v>
      </c>
      <c r="R476" s="32" t="s">
        <v>1225</v>
      </c>
      <c r="S476" s="32" t="s">
        <v>1225</v>
      </c>
      <c r="T476" s="32" t="s">
        <v>1225</v>
      </c>
      <c r="U476" s="32" t="s">
        <v>1225</v>
      </c>
      <c r="V476" s="32" t="s">
        <v>1225</v>
      </c>
      <c r="W476" s="32" t="s">
        <v>4509</v>
      </c>
      <c r="X476" s="32" t="s">
        <v>4510</v>
      </c>
      <c r="Y476" s="32" t="s">
        <v>4511</v>
      </c>
      <c r="Z476" s="32" t="s">
        <v>1225</v>
      </c>
      <c r="AA476" s="32" t="s">
        <v>1225</v>
      </c>
      <c r="AB476" s="32" t="s">
        <v>1225</v>
      </c>
      <c r="AC476" s="32" t="s">
        <v>1225</v>
      </c>
      <c r="AD476" s="32" t="s">
        <v>1225</v>
      </c>
      <c r="AE476" s="32" t="s">
        <v>1225</v>
      </c>
      <c r="AF476" s="32" t="s">
        <v>1225</v>
      </c>
      <c r="AG476" s="32" t="s">
        <v>1225</v>
      </c>
      <c r="AH476" s="32" t="s">
        <v>1225</v>
      </c>
      <c r="AI476" s="32" t="s">
        <v>1225</v>
      </c>
      <c r="AJ476" s="32" t="s">
        <v>1225</v>
      </c>
      <c r="AK476" s="32" t="s">
        <v>1225</v>
      </c>
      <c r="AL476" s="32" t="s">
        <v>1225</v>
      </c>
      <c r="AM476" s="32" t="s">
        <v>1225</v>
      </c>
      <c r="AN476" s="32" t="s">
        <v>1225</v>
      </c>
      <c r="AO476" s="32" t="s">
        <v>1225</v>
      </c>
      <c r="AP476" s="32" t="s">
        <v>1225</v>
      </c>
      <c r="AQ476" s="32" t="s">
        <v>1225</v>
      </c>
      <c r="AR476" s="32" t="s">
        <v>1225</v>
      </c>
      <c r="AS476" s="32" t="s">
        <v>1225</v>
      </c>
      <c r="AT476" s="32" t="s">
        <v>1225</v>
      </c>
      <c r="AU476" s="32" t="s">
        <v>1225</v>
      </c>
      <c r="AV476" s="32" t="s">
        <v>1225</v>
      </c>
      <c r="AW476" s="32" t="s">
        <v>1298</v>
      </c>
      <c r="AX476" s="32">
        <v>2021</v>
      </c>
      <c r="AY476" s="32">
        <v>27</v>
      </c>
      <c r="AZ476" s="32" t="s">
        <v>1225</v>
      </c>
      <c r="BA476" s="32" t="s">
        <v>1225</v>
      </c>
      <c r="BB476" s="32" t="s">
        <v>1225</v>
      </c>
      <c r="BC476" s="32" t="s">
        <v>1225</v>
      </c>
      <c r="BD476" s="32" t="s">
        <v>1225</v>
      </c>
      <c r="BE476" s="32" t="s">
        <v>1225</v>
      </c>
      <c r="BF476" s="32" t="s">
        <v>1225</v>
      </c>
      <c r="BG476" s="32">
        <v>100470</v>
      </c>
      <c r="BH476" s="32" t="s">
        <v>4512</v>
      </c>
      <c r="BI476" s="32" t="str">
        <f>HYPERLINK("http://dx.doi.org/10.1016/j.segan.2021.100470","http://dx.doi.org/10.1016/j.segan.2021.100470")</f>
        <v>http://dx.doi.org/10.1016/j.segan.2021.100470</v>
      </c>
      <c r="BJ476" s="32" t="s">
        <v>1225</v>
      </c>
      <c r="BK476" s="32" t="s">
        <v>1395</v>
      </c>
      <c r="BL476" s="32" t="s">
        <v>1225</v>
      </c>
      <c r="BM476" s="32" t="s">
        <v>1225</v>
      </c>
      <c r="BN476" s="32" t="s">
        <v>1225</v>
      </c>
      <c r="BO476" s="32" t="s">
        <v>1225</v>
      </c>
      <c r="BP476" s="32" t="s">
        <v>1225</v>
      </c>
      <c r="BQ476" s="32" t="s">
        <v>1225</v>
      </c>
      <c r="BR476" s="32" t="s">
        <v>1225</v>
      </c>
      <c r="BS476" s="32" t="s">
        <v>1225</v>
      </c>
      <c r="BT476" s="32" t="s">
        <v>1225</v>
      </c>
      <c r="BU476" s="32" t="s">
        <v>1225</v>
      </c>
      <c r="BV476" s="32" t="s">
        <v>1225</v>
      </c>
      <c r="BW476" s="32" t="str">
        <f t="shared" si="14"/>
        <v>View Full Record in Web of Science</v>
      </c>
      <c r="BY476" s="41" t="str">
        <f>IF(Deletion!J476=TRUE,"Yes","No")</f>
        <v>Yes</v>
      </c>
    </row>
    <row r="477" spans="1:77" x14ac:dyDescent="0.15">
      <c r="A477" s="32">
        <f t="shared" si="15"/>
        <v>476</v>
      </c>
      <c r="D477" s="32" t="s">
        <v>1223</v>
      </c>
      <c r="E477" s="32" t="s">
        <v>4513</v>
      </c>
      <c r="F477" s="32" t="s">
        <v>1225</v>
      </c>
      <c r="G477" s="32" t="s">
        <v>1225</v>
      </c>
      <c r="H477" s="32" t="s">
        <v>1225</v>
      </c>
      <c r="I477" s="32" t="s">
        <v>4514</v>
      </c>
      <c r="J477" s="32" t="s">
        <v>1225</v>
      </c>
      <c r="K477" s="32" t="s">
        <v>1225</v>
      </c>
      <c r="L477" s="32" t="s">
        <v>4515</v>
      </c>
      <c r="M477" s="32" t="s">
        <v>89</v>
      </c>
      <c r="N477" s="32" t="s">
        <v>1225</v>
      </c>
      <c r="O477" s="32" t="s">
        <v>1225</v>
      </c>
      <c r="P477" s="32" t="s">
        <v>1225</v>
      </c>
      <c r="Q477" s="32" t="s">
        <v>1227</v>
      </c>
      <c r="R477" s="32" t="s">
        <v>1225</v>
      </c>
      <c r="S477" s="32" t="s">
        <v>1225</v>
      </c>
      <c r="T477" s="32" t="s">
        <v>1225</v>
      </c>
      <c r="U477" s="32" t="s">
        <v>1225</v>
      </c>
      <c r="V477" s="32" t="s">
        <v>1225</v>
      </c>
      <c r="W477" s="32" t="s">
        <v>4516</v>
      </c>
      <c r="X477" s="32" t="s">
        <v>4517</v>
      </c>
      <c r="Y477" s="32" t="s">
        <v>4518</v>
      </c>
      <c r="Z477" s="32" t="s">
        <v>1225</v>
      </c>
      <c r="AA477" s="32" t="s">
        <v>1225</v>
      </c>
      <c r="AB477" s="32" t="s">
        <v>1225</v>
      </c>
      <c r="AC477" s="32" t="s">
        <v>1225</v>
      </c>
      <c r="AD477" s="32" t="s">
        <v>1225</v>
      </c>
      <c r="AE477" s="32" t="s">
        <v>1225</v>
      </c>
      <c r="AF477" s="32" t="s">
        <v>1225</v>
      </c>
      <c r="AG477" s="32" t="s">
        <v>1225</v>
      </c>
      <c r="AH477" s="32" t="s">
        <v>1225</v>
      </c>
      <c r="AI477" s="32" t="s">
        <v>1225</v>
      </c>
      <c r="AJ477" s="32" t="s">
        <v>1225</v>
      </c>
      <c r="AK477" s="32" t="s">
        <v>1225</v>
      </c>
      <c r="AL477" s="32" t="s">
        <v>1225</v>
      </c>
      <c r="AM477" s="32" t="s">
        <v>1225</v>
      </c>
      <c r="AN477" s="32" t="s">
        <v>1225</v>
      </c>
      <c r="AO477" s="32" t="s">
        <v>1225</v>
      </c>
      <c r="AP477" s="32" t="s">
        <v>1225</v>
      </c>
      <c r="AQ477" s="32" t="s">
        <v>1225</v>
      </c>
      <c r="AR477" s="32" t="s">
        <v>1225</v>
      </c>
      <c r="AS477" s="32" t="s">
        <v>1225</v>
      </c>
      <c r="AT477" s="32" t="s">
        <v>1225</v>
      </c>
      <c r="AU477" s="32" t="s">
        <v>1225</v>
      </c>
      <c r="AV477" s="32" t="s">
        <v>1225</v>
      </c>
      <c r="AW477" s="32" t="s">
        <v>1465</v>
      </c>
      <c r="AX477" s="32">
        <v>2019</v>
      </c>
      <c r="AY477" s="32">
        <v>167</v>
      </c>
      <c r="AZ477" s="32" t="s">
        <v>1225</v>
      </c>
      <c r="BA477" s="32" t="s">
        <v>1225</v>
      </c>
      <c r="BB477" s="32" t="s">
        <v>1225</v>
      </c>
      <c r="BC477" s="32" t="s">
        <v>1225</v>
      </c>
      <c r="BD477" s="32" t="s">
        <v>1225</v>
      </c>
      <c r="BE477" s="32">
        <v>261</v>
      </c>
      <c r="BF477" s="32">
        <v>276</v>
      </c>
      <c r="BG477" s="32" t="s">
        <v>1225</v>
      </c>
      <c r="BH477" s="32" t="s">
        <v>4519</v>
      </c>
      <c r="BI477" s="32" t="str">
        <f>HYPERLINK("http://dx.doi.org/10.1016/j.epsr.2018.10.022","http://dx.doi.org/10.1016/j.epsr.2018.10.022")</f>
        <v>http://dx.doi.org/10.1016/j.epsr.2018.10.022</v>
      </c>
      <c r="BJ477" s="32" t="s">
        <v>1225</v>
      </c>
      <c r="BK477" s="32" t="s">
        <v>1225</v>
      </c>
      <c r="BL477" s="32" t="s">
        <v>1225</v>
      </c>
      <c r="BM477" s="32" t="s">
        <v>1225</v>
      </c>
      <c r="BN477" s="32" t="s">
        <v>1225</v>
      </c>
      <c r="BO477" s="32" t="s">
        <v>1225</v>
      </c>
      <c r="BP477" s="32" t="s">
        <v>1225</v>
      </c>
      <c r="BQ477" s="32" t="s">
        <v>1225</v>
      </c>
      <c r="BR477" s="32" t="s">
        <v>1225</v>
      </c>
      <c r="BS477" s="32" t="s">
        <v>1225</v>
      </c>
      <c r="BT477" s="32" t="s">
        <v>1225</v>
      </c>
      <c r="BU477" s="32" t="s">
        <v>1225</v>
      </c>
      <c r="BV477" s="32" t="s">
        <v>1225</v>
      </c>
      <c r="BW477" s="32" t="str">
        <f t="shared" si="14"/>
        <v>View Full Record in Web of Science</v>
      </c>
      <c r="BY477" s="41" t="str">
        <f>IF(Deletion!J477=TRUE,"Yes","No")</f>
        <v>Yes</v>
      </c>
    </row>
    <row r="478" spans="1:77" x14ac:dyDescent="0.15">
      <c r="A478" s="32">
        <f t="shared" si="15"/>
        <v>477</v>
      </c>
      <c r="D478" s="32" t="s">
        <v>1223</v>
      </c>
      <c r="E478" s="32" t="s">
        <v>4520</v>
      </c>
      <c r="F478" s="32" t="s">
        <v>1225</v>
      </c>
      <c r="G478" s="32" t="s">
        <v>1225</v>
      </c>
      <c r="H478" s="32" t="s">
        <v>1225</v>
      </c>
      <c r="I478" s="32" t="s">
        <v>4521</v>
      </c>
      <c r="J478" s="32" t="s">
        <v>1225</v>
      </c>
      <c r="K478" s="32" t="s">
        <v>1225</v>
      </c>
      <c r="L478" s="32" t="s">
        <v>4522</v>
      </c>
      <c r="M478" s="32" t="s">
        <v>97</v>
      </c>
      <c r="N478" s="32" t="s">
        <v>1225</v>
      </c>
      <c r="O478" s="32" t="s">
        <v>1225</v>
      </c>
      <c r="P478" s="32" t="s">
        <v>1225</v>
      </c>
      <c r="Q478" s="32" t="s">
        <v>1227</v>
      </c>
      <c r="R478" s="32" t="s">
        <v>1225</v>
      </c>
      <c r="S478" s="32" t="s">
        <v>1225</v>
      </c>
      <c r="T478" s="32" t="s">
        <v>1225</v>
      </c>
      <c r="U478" s="32" t="s">
        <v>1225</v>
      </c>
      <c r="V478" s="32" t="s">
        <v>1225</v>
      </c>
      <c r="W478" s="32" t="s">
        <v>4523</v>
      </c>
      <c r="X478" s="32" t="s">
        <v>4524</v>
      </c>
      <c r="Y478" s="32" t="s">
        <v>4525</v>
      </c>
      <c r="Z478" s="32" t="s">
        <v>1225</v>
      </c>
      <c r="AA478" s="32" t="s">
        <v>1225</v>
      </c>
      <c r="AB478" s="32" t="s">
        <v>1225</v>
      </c>
      <c r="AC478" s="32" t="s">
        <v>1225</v>
      </c>
      <c r="AD478" s="32" t="s">
        <v>1225</v>
      </c>
      <c r="AE478" s="32" t="s">
        <v>1225</v>
      </c>
      <c r="AF478" s="32" t="s">
        <v>1225</v>
      </c>
      <c r="AG478" s="32" t="s">
        <v>1225</v>
      </c>
      <c r="AH478" s="32" t="s">
        <v>1225</v>
      </c>
      <c r="AI478" s="32" t="s">
        <v>1225</v>
      </c>
      <c r="AJ478" s="32" t="s">
        <v>1225</v>
      </c>
      <c r="AK478" s="32" t="s">
        <v>1225</v>
      </c>
      <c r="AL478" s="32" t="s">
        <v>1225</v>
      </c>
      <c r="AM478" s="32" t="s">
        <v>1225</v>
      </c>
      <c r="AN478" s="32" t="s">
        <v>1225</v>
      </c>
      <c r="AO478" s="32" t="s">
        <v>1225</v>
      </c>
      <c r="AP478" s="32" t="s">
        <v>1225</v>
      </c>
      <c r="AQ478" s="32" t="s">
        <v>1225</v>
      </c>
      <c r="AR478" s="32" t="s">
        <v>1225</v>
      </c>
      <c r="AS478" s="32" t="s">
        <v>1225</v>
      </c>
      <c r="AT478" s="32" t="s">
        <v>1225</v>
      </c>
      <c r="AU478" s="32" t="s">
        <v>1225</v>
      </c>
      <c r="AV478" s="32" t="s">
        <v>1225</v>
      </c>
      <c r="AW478" s="32" t="s">
        <v>2918</v>
      </c>
      <c r="AX478" s="32">
        <v>2016</v>
      </c>
      <c r="AY478" s="32">
        <v>168</v>
      </c>
      <c r="AZ478" s="32" t="s">
        <v>1225</v>
      </c>
      <c r="BA478" s="32" t="s">
        <v>1225</v>
      </c>
      <c r="BB478" s="32" t="s">
        <v>1225</v>
      </c>
      <c r="BC478" s="32" t="s">
        <v>1225</v>
      </c>
      <c r="BD478" s="32" t="s">
        <v>1225</v>
      </c>
      <c r="BE478" s="32">
        <v>179</v>
      </c>
      <c r="BF478" s="32">
        <v>192</v>
      </c>
      <c r="BG478" s="32" t="s">
        <v>1225</v>
      </c>
      <c r="BH478" s="32" t="s">
        <v>4526</v>
      </c>
      <c r="BI478" s="32" t="str">
        <f>HYPERLINK("http://dx.doi.org/10.1016/j.apenergy.2016.01.089","http://dx.doi.org/10.1016/j.apenergy.2016.01.089")</f>
        <v>http://dx.doi.org/10.1016/j.apenergy.2016.01.089</v>
      </c>
      <c r="BJ478" s="32" t="s">
        <v>1225</v>
      </c>
      <c r="BK478" s="32" t="s">
        <v>1225</v>
      </c>
      <c r="BL478" s="32" t="s">
        <v>1225</v>
      </c>
      <c r="BM478" s="32" t="s">
        <v>1225</v>
      </c>
      <c r="BN478" s="32" t="s">
        <v>1225</v>
      </c>
      <c r="BO478" s="32" t="s">
        <v>1225</v>
      </c>
      <c r="BP478" s="32" t="s">
        <v>1225</v>
      </c>
      <c r="BQ478" s="32" t="s">
        <v>1225</v>
      </c>
      <c r="BR478" s="32" t="s">
        <v>1225</v>
      </c>
      <c r="BS478" s="32" t="s">
        <v>1225</v>
      </c>
      <c r="BT478" s="32" t="s">
        <v>1225</v>
      </c>
      <c r="BU478" s="32" t="s">
        <v>1225</v>
      </c>
      <c r="BV478" s="32" t="s">
        <v>1225</v>
      </c>
      <c r="BW478" s="32" t="str">
        <f t="shared" si="14"/>
        <v>View Full Record in Web of Science</v>
      </c>
      <c r="BY478" s="41" t="str">
        <f>IF(Deletion!J478=TRUE,"Yes","No")</f>
        <v>Yes</v>
      </c>
    </row>
    <row r="479" spans="1:77" x14ac:dyDescent="0.15">
      <c r="A479" s="34">
        <f t="shared" si="15"/>
        <v>478</v>
      </c>
      <c r="B479" s="34" t="s">
        <v>4</v>
      </c>
      <c r="C479" s="34" t="s">
        <v>4</v>
      </c>
      <c r="D479" s="34" t="s">
        <v>1223</v>
      </c>
      <c r="E479" s="34" t="s">
        <v>4527</v>
      </c>
      <c r="F479" s="32" t="s">
        <v>1225</v>
      </c>
      <c r="G479" s="32" t="s">
        <v>1225</v>
      </c>
      <c r="H479" s="32" t="s">
        <v>1225</v>
      </c>
      <c r="I479" s="34" t="s">
        <v>4528</v>
      </c>
      <c r="J479" s="32" t="s">
        <v>1225</v>
      </c>
      <c r="K479" s="32" t="s">
        <v>1225</v>
      </c>
      <c r="L479" s="34" t="s">
        <v>4529</v>
      </c>
      <c r="M479" s="34" t="s">
        <v>2684</v>
      </c>
      <c r="N479" s="32" t="s">
        <v>1225</v>
      </c>
      <c r="O479" s="32" t="s">
        <v>1225</v>
      </c>
      <c r="P479" s="32" t="s">
        <v>1225</v>
      </c>
      <c r="Q479" s="34" t="s">
        <v>1227</v>
      </c>
      <c r="R479" s="32" t="s">
        <v>1225</v>
      </c>
      <c r="S479" s="32" t="s">
        <v>1225</v>
      </c>
      <c r="T479" s="32" t="s">
        <v>1225</v>
      </c>
      <c r="U479" s="32" t="s">
        <v>1225</v>
      </c>
      <c r="V479" s="32" t="s">
        <v>1225</v>
      </c>
      <c r="W479" s="34" t="s">
        <v>4530</v>
      </c>
      <c r="X479" s="34" t="s">
        <v>4531</v>
      </c>
      <c r="Y479" s="34" t="s">
        <v>4532</v>
      </c>
      <c r="Z479" s="32" t="s">
        <v>1225</v>
      </c>
      <c r="AA479" s="32" t="s">
        <v>1225</v>
      </c>
      <c r="AB479" s="32" t="s">
        <v>1225</v>
      </c>
      <c r="AC479" s="32" t="s">
        <v>1225</v>
      </c>
      <c r="AD479" s="32" t="s">
        <v>1225</v>
      </c>
      <c r="AE479" s="32" t="s">
        <v>1225</v>
      </c>
      <c r="AF479" s="32" t="s">
        <v>1225</v>
      </c>
      <c r="AG479" s="32" t="s">
        <v>1225</v>
      </c>
      <c r="AH479" s="32" t="s">
        <v>1225</v>
      </c>
      <c r="AI479" s="32" t="s">
        <v>1225</v>
      </c>
      <c r="AJ479" s="32" t="s">
        <v>1225</v>
      </c>
      <c r="AK479" s="32" t="s">
        <v>1225</v>
      </c>
      <c r="AL479" s="32" t="s">
        <v>1225</v>
      </c>
      <c r="AM479" s="32" t="s">
        <v>1225</v>
      </c>
      <c r="AN479" s="32" t="s">
        <v>1225</v>
      </c>
      <c r="AO479" s="32" t="s">
        <v>1225</v>
      </c>
      <c r="AP479" s="32" t="s">
        <v>1225</v>
      </c>
      <c r="AQ479" s="32" t="s">
        <v>1225</v>
      </c>
      <c r="AR479" s="32" t="s">
        <v>1225</v>
      </c>
      <c r="AS479" s="32" t="s">
        <v>1225</v>
      </c>
      <c r="AT479" s="32" t="s">
        <v>1225</v>
      </c>
      <c r="AU479" s="32" t="s">
        <v>1225</v>
      </c>
      <c r="AV479" s="32" t="s">
        <v>1225</v>
      </c>
      <c r="AW479" s="34" t="s">
        <v>1239</v>
      </c>
      <c r="AX479" s="34">
        <v>2015</v>
      </c>
      <c r="AY479" s="32">
        <v>85</v>
      </c>
      <c r="AZ479" s="32" t="s">
        <v>1225</v>
      </c>
      <c r="BA479" s="32" t="s">
        <v>1225</v>
      </c>
      <c r="BB479" s="32" t="s">
        <v>1225</v>
      </c>
      <c r="BC479" s="32" t="s">
        <v>1225</v>
      </c>
      <c r="BD479" s="32" t="s">
        <v>1225</v>
      </c>
      <c r="BE479" s="32">
        <v>306</v>
      </c>
      <c r="BF479" s="32">
        <v>315</v>
      </c>
      <c r="BG479" s="32" t="s">
        <v>1225</v>
      </c>
      <c r="BH479" s="34" t="s">
        <v>4533</v>
      </c>
      <c r="BI479" s="34" t="str">
        <f>HYPERLINK("http://dx.doi.org/10.1016/j.cie.2015.04.002","http://dx.doi.org/10.1016/j.cie.2015.04.002")</f>
        <v>http://dx.doi.org/10.1016/j.cie.2015.04.002</v>
      </c>
      <c r="BJ479" s="32" t="s">
        <v>1225</v>
      </c>
      <c r="BK479" s="32" t="s">
        <v>1225</v>
      </c>
      <c r="BL479" s="32" t="s">
        <v>1225</v>
      </c>
      <c r="BM479" s="32" t="s">
        <v>1225</v>
      </c>
      <c r="BN479" s="32" t="s">
        <v>1225</v>
      </c>
      <c r="BO479" s="32" t="s">
        <v>1225</v>
      </c>
      <c r="BP479" s="32" t="s">
        <v>1225</v>
      </c>
      <c r="BQ479" s="32" t="s">
        <v>1225</v>
      </c>
      <c r="BR479" s="32" t="s">
        <v>1225</v>
      </c>
      <c r="BS479" s="32" t="s">
        <v>1225</v>
      </c>
      <c r="BT479" s="32" t="s">
        <v>1225</v>
      </c>
      <c r="BU479" s="32" t="s">
        <v>1225</v>
      </c>
      <c r="BV479" s="32" t="s">
        <v>1225</v>
      </c>
      <c r="BW479" s="32" t="str">
        <f t="shared" si="14"/>
        <v>View Full Record in Web of Science</v>
      </c>
      <c r="BY479" s="41" t="str">
        <f>IF(Deletion!J479=TRUE,"Yes","No")</f>
        <v>No</v>
      </c>
    </row>
    <row r="480" spans="1:77" x14ac:dyDescent="0.15">
      <c r="A480" s="32">
        <f t="shared" si="15"/>
        <v>479</v>
      </c>
      <c r="D480" s="32" t="s">
        <v>1223</v>
      </c>
      <c r="E480" s="32" t="s">
        <v>4534</v>
      </c>
      <c r="F480" s="32" t="s">
        <v>1225</v>
      </c>
      <c r="G480" s="32" t="s">
        <v>1225</v>
      </c>
      <c r="H480" s="32" t="s">
        <v>1225</v>
      </c>
      <c r="I480" s="32" t="s">
        <v>4535</v>
      </c>
      <c r="J480" s="32" t="s">
        <v>1225</v>
      </c>
      <c r="K480" s="32" t="s">
        <v>1225</v>
      </c>
      <c r="L480" s="32" t="s">
        <v>4536</v>
      </c>
      <c r="M480" s="32" t="s">
        <v>1634</v>
      </c>
      <c r="N480" s="32" t="s">
        <v>1225</v>
      </c>
      <c r="O480" s="32" t="s">
        <v>1225</v>
      </c>
      <c r="P480" s="32" t="s">
        <v>1225</v>
      </c>
      <c r="Q480" s="32" t="s">
        <v>1227</v>
      </c>
      <c r="R480" s="32" t="s">
        <v>1225</v>
      </c>
      <c r="S480" s="32" t="s">
        <v>1225</v>
      </c>
      <c r="T480" s="32" t="s">
        <v>1225</v>
      </c>
      <c r="U480" s="32" t="s">
        <v>1225</v>
      </c>
      <c r="V480" s="32" t="s">
        <v>1225</v>
      </c>
      <c r="W480" s="32" t="s">
        <v>4537</v>
      </c>
      <c r="X480" s="32" t="s">
        <v>1225</v>
      </c>
      <c r="Y480" s="32" t="s">
        <v>4538</v>
      </c>
      <c r="Z480" s="32" t="s">
        <v>1225</v>
      </c>
      <c r="AA480" s="32" t="s">
        <v>1225</v>
      </c>
      <c r="AB480" s="32" t="s">
        <v>1225</v>
      </c>
      <c r="AC480" s="32" t="s">
        <v>1225</v>
      </c>
      <c r="AD480" s="32" t="s">
        <v>1225</v>
      </c>
      <c r="AE480" s="32" t="s">
        <v>1225</v>
      </c>
      <c r="AF480" s="32" t="s">
        <v>1225</v>
      </c>
      <c r="AG480" s="32" t="s">
        <v>1225</v>
      </c>
      <c r="AH480" s="32" t="s">
        <v>1225</v>
      </c>
      <c r="AI480" s="32" t="s">
        <v>1225</v>
      </c>
      <c r="AJ480" s="32" t="s">
        <v>1225</v>
      </c>
      <c r="AK480" s="32" t="s">
        <v>1225</v>
      </c>
      <c r="AL480" s="32" t="s">
        <v>1225</v>
      </c>
      <c r="AM480" s="32" t="s">
        <v>1225</v>
      </c>
      <c r="AN480" s="32" t="s">
        <v>1225</v>
      </c>
      <c r="AO480" s="32" t="s">
        <v>1225</v>
      </c>
      <c r="AP480" s="32" t="s">
        <v>1225</v>
      </c>
      <c r="AQ480" s="32" t="s">
        <v>1225</v>
      </c>
      <c r="AR480" s="32" t="s">
        <v>1225</v>
      </c>
      <c r="AS480" s="32" t="s">
        <v>1225</v>
      </c>
      <c r="AT480" s="32" t="s">
        <v>1225</v>
      </c>
      <c r="AU480" s="32" t="s">
        <v>1225</v>
      </c>
      <c r="AV480" s="32" t="s">
        <v>1225</v>
      </c>
      <c r="AW480" s="32" t="s">
        <v>1393</v>
      </c>
      <c r="AX480" s="32">
        <v>2020</v>
      </c>
      <c r="AY480" s="32">
        <v>10</v>
      </c>
      <c r="AZ480" s="32">
        <v>11</v>
      </c>
      <c r="BA480" s="32" t="s">
        <v>1225</v>
      </c>
      <c r="BB480" s="32" t="s">
        <v>1225</v>
      </c>
      <c r="BC480" s="32" t="s">
        <v>1225</v>
      </c>
      <c r="BD480" s="32" t="s">
        <v>1225</v>
      </c>
      <c r="BE480" s="32" t="s">
        <v>1225</v>
      </c>
      <c r="BF480" s="32" t="s">
        <v>1225</v>
      </c>
      <c r="BG480" s="32">
        <v>3665</v>
      </c>
      <c r="BH480" s="32" t="s">
        <v>4539</v>
      </c>
      <c r="BI480" s="32" t="str">
        <f>HYPERLINK("http://dx.doi.org/10.3390/app10113665","http://dx.doi.org/10.3390/app10113665")</f>
        <v>http://dx.doi.org/10.3390/app10113665</v>
      </c>
      <c r="BJ480" s="32" t="s">
        <v>1225</v>
      </c>
      <c r="BK480" s="32" t="s">
        <v>1225</v>
      </c>
      <c r="BL480" s="32" t="s">
        <v>1225</v>
      </c>
      <c r="BM480" s="32" t="s">
        <v>1225</v>
      </c>
      <c r="BN480" s="32" t="s">
        <v>1225</v>
      </c>
      <c r="BO480" s="32" t="s">
        <v>1225</v>
      </c>
      <c r="BP480" s="32" t="s">
        <v>1225</v>
      </c>
      <c r="BQ480" s="32" t="s">
        <v>1225</v>
      </c>
      <c r="BR480" s="32" t="s">
        <v>1225</v>
      </c>
      <c r="BS480" s="32" t="s">
        <v>1225</v>
      </c>
      <c r="BT480" s="32" t="s">
        <v>1225</v>
      </c>
      <c r="BU480" s="32" t="s">
        <v>1225</v>
      </c>
      <c r="BV480" s="32" t="s">
        <v>1225</v>
      </c>
      <c r="BW480" s="32" t="str">
        <f t="shared" si="14"/>
        <v>View Full Record in Web of Science</v>
      </c>
      <c r="BY480" s="41" t="str">
        <f>IF(Deletion!J480=TRUE,"Yes","No")</f>
        <v>Yes</v>
      </c>
    </row>
    <row r="481" spans="1:77" x14ac:dyDescent="0.15">
      <c r="A481" s="34">
        <f t="shared" si="15"/>
        <v>480</v>
      </c>
      <c r="B481" s="34" t="s">
        <v>4</v>
      </c>
      <c r="C481" s="34" t="s">
        <v>4</v>
      </c>
      <c r="D481" s="34" t="s">
        <v>1223</v>
      </c>
      <c r="E481" s="34" t="s">
        <v>4513</v>
      </c>
      <c r="F481" s="32" t="s">
        <v>1225</v>
      </c>
      <c r="G481" s="32" t="s">
        <v>1225</v>
      </c>
      <c r="H481" s="32" t="s">
        <v>1225</v>
      </c>
      <c r="I481" s="34" t="s">
        <v>4514</v>
      </c>
      <c r="J481" s="32" t="s">
        <v>1225</v>
      </c>
      <c r="K481" s="32" t="s">
        <v>1225</v>
      </c>
      <c r="L481" s="34" t="s">
        <v>4540</v>
      </c>
      <c r="M481" s="34" t="s">
        <v>313</v>
      </c>
      <c r="N481" s="32" t="s">
        <v>1225</v>
      </c>
      <c r="O481" s="32" t="s">
        <v>1225</v>
      </c>
      <c r="P481" s="32" t="s">
        <v>1225</v>
      </c>
      <c r="Q481" s="34" t="s">
        <v>1227</v>
      </c>
      <c r="R481" s="32" t="s">
        <v>1225</v>
      </c>
      <c r="S481" s="32" t="s">
        <v>1225</v>
      </c>
      <c r="T481" s="32" t="s">
        <v>1225</v>
      </c>
      <c r="U481" s="32" t="s">
        <v>1225</v>
      </c>
      <c r="V481" s="32" t="s">
        <v>1225</v>
      </c>
      <c r="W481" s="34" t="s">
        <v>4541</v>
      </c>
      <c r="X481" s="34" t="s">
        <v>4542</v>
      </c>
      <c r="Y481" s="34" t="s">
        <v>4543</v>
      </c>
      <c r="Z481" s="32" t="s">
        <v>1225</v>
      </c>
      <c r="AA481" s="32" t="s">
        <v>1225</v>
      </c>
      <c r="AB481" s="32" t="s">
        <v>1225</v>
      </c>
      <c r="AC481" s="32" t="s">
        <v>1225</v>
      </c>
      <c r="AD481" s="32" t="s">
        <v>1225</v>
      </c>
      <c r="AE481" s="32" t="s">
        <v>1225</v>
      </c>
      <c r="AF481" s="32" t="s">
        <v>1225</v>
      </c>
      <c r="AG481" s="32" t="s">
        <v>1225</v>
      </c>
      <c r="AH481" s="32" t="s">
        <v>1225</v>
      </c>
      <c r="AI481" s="32" t="s">
        <v>1225</v>
      </c>
      <c r="AJ481" s="32" t="s">
        <v>1225</v>
      </c>
      <c r="AK481" s="32" t="s">
        <v>1225</v>
      </c>
      <c r="AL481" s="32" t="s">
        <v>1225</v>
      </c>
      <c r="AM481" s="32" t="s">
        <v>1225</v>
      </c>
      <c r="AN481" s="32" t="s">
        <v>1225</v>
      </c>
      <c r="AO481" s="32" t="s">
        <v>1225</v>
      </c>
      <c r="AP481" s="32" t="s">
        <v>1225</v>
      </c>
      <c r="AQ481" s="32" t="s">
        <v>1225</v>
      </c>
      <c r="AR481" s="32" t="s">
        <v>1225</v>
      </c>
      <c r="AS481" s="32" t="s">
        <v>1225</v>
      </c>
      <c r="AT481" s="32" t="s">
        <v>1225</v>
      </c>
      <c r="AU481" s="32" t="s">
        <v>1225</v>
      </c>
      <c r="AV481" s="32" t="s">
        <v>1225</v>
      </c>
      <c r="AW481" s="34" t="s">
        <v>1239</v>
      </c>
      <c r="AX481" s="34">
        <v>2019</v>
      </c>
      <c r="AY481" s="32">
        <v>109</v>
      </c>
      <c r="AZ481" s="32" t="s">
        <v>1225</v>
      </c>
      <c r="BA481" s="32" t="s">
        <v>1225</v>
      </c>
      <c r="BB481" s="32" t="s">
        <v>1225</v>
      </c>
      <c r="BC481" s="32" t="s">
        <v>1225</v>
      </c>
      <c r="BD481" s="32" t="s">
        <v>1225</v>
      </c>
      <c r="BE481" s="32">
        <v>369</v>
      </c>
      <c r="BF481" s="32">
        <v>383</v>
      </c>
      <c r="BG481" s="32" t="s">
        <v>1225</v>
      </c>
      <c r="BH481" s="34" t="s">
        <v>4544</v>
      </c>
      <c r="BI481" s="34" t="str">
        <f>HYPERLINK("http://dx.doi.org/10.1016/j.ijepes.2019.02.020","http://dx.doi.org/10.1016/j.ijepes.2019.02.020")</f>
        <v>http://dx.doi.org/10.1016/j.ijepes.2019.02.020</v>
      </c>
      <c r="BJ481" s="32" t="s">
        <v>1225</v>
      </c>
      <c r="BK481" s="32" t="s">
        <v>1225</v>
      </c>
      <c r="BL481" s="32" t="s">
        <v>1225</v>
      </c>
      <c r="BM481" s="32" t="s">
        <v>1225</v>
      </c>
      <c r="BN481" s="32" t="s">
        <v>1225</v>
      </c>
      <c r="BO481" s="32" t="s">
        <v>1225</v>
      </c>
      <c r="BP481" s="32" t="s">
        <v>1225</v>
      </c>
      <c r="BQ481" s="32" t="s">
        <v>1225</v>
      </c>
      <c r="BR481" s="32" t="s">
        <v>1225</v>
      </c>
      <c r="BS481" s="32" t="s">
        <v>1225</v>
      </c>
      <c r="BT481" s="32" t="s">
        <v>1225</v>
      </c>
      <c r="BU481" s="32" t="s">
        <v>1225</v>
      </c>
      <c r="BV481" s="32" t="s">
        <v>1225</v>
      </c>
      <c r="BW481" s="32" t="str">
        <f t="shared" si="14"/>
        <v>View Full Record in Web of Science</v>
      </c>
      <c r="BY481" s="41" t="str">
        <f>IF(Deletion!J481=TRUE,"Yes","No")</f>
        <v>No</v>
      </c>
    </row>
    <row r="482" spans="1:77" x14ac:dyDescent="0.15">
      <c r="A482" s="32">
        <f t="shared" si="15"/>
        <v>481</v>
      </c>
      <c r="D482" s="32" t="s">
        <v>1223</v>
      </c>
      <c r="E482" s="32" t="s">
        <v>4545</v>
      </c>
      <c r="F482" s="32" t="s">
        <v>1225</v>
      </c>
      <c r="G482" s="32" t="s">
        <v>1225</v>
      </c>
      <c r="H482" s="32" t="s">
        <v>1225</v>
      </c>
      <c r="I482" s="32" t="s">
        <v>4546</v>
      </c>
      <c r="J482" s="32" t="s">
        <v>1225</v>
      </c>
      <c r="K482" s="32" t="s">
        <v>1225</v>
      </c>
      <c r="L482" s="32" t="s">
        <v>4547</v>
      </c>
      <c r="M482" s="32" t="s">
        <v>97</v>
      </c>
      <c r="N482" s="32" t="s">
        <v>1225</v>
      </c>
      <c r="O482" s="32" t="s">
        <v>1225</v>
      </c>
      <c r="P482" s="32" t="s">
        <v>1225</v>
      </c>
      <c r="Q482" s="32" t="s">
        <v>1227</v>
      </c>
      <c r="R482" s="32" t="s">
        <v>1225</v>
      </c>
      <c r="S482" s="32" t="s">
        <v>1225</v>
      </c>
      <c r="T482" s="32" t="s">
        <v>1225</v>
      </c>
      <c r="U482" s="32" t="s">
        <v>1225</v>
      </c>
      <c r="V482" s="32" t="s">
        <v>1225</v>
      </c>
      <c r="W482" s="32" t="s">
        <v>4548</v>
      </c>
      <c r="X482" s="32" t="s">
        <v>4549</v>
      </c>
      <c r="Y482" s="32" t="s">
        <v>4550</v>
      </c>
      <c r="Z482" s="32" t="s">
        <v>1225</v>
      </c>
      <c r="AA482" s="32" t="s">
        <v>1225</v>
      </c>
      <c r="AB482" s="32" t="s">
        <v>1225</v>
      </c>
      <c r="AC482" s="32" t="s">
        <v>1225</v>
      </c>
      <c r="AD482" s="32" t="s">
        <v>1225</v>
      </c>
      <c r="AE482" s="32" t="s">
        <v>1225</v>
      </c>
      <c r="AF482" s="32" t="s">
        <v>1225</v>
      </c>
      <c r="AG482" s="32" t="s">
        <v>1225</v>
      </c>
      <c r="AH482" s="32" t="s">
        <v>1225</v>
      </c>
      <c r="AI482" s="32" t="s">
        <v>1225</v>
      </c>
      <c r="AJ482" s="32" t="s">
        <v>1225</v>
      </c>
      <c r="AK482" s="32" t="s">
        <v>1225</v>
      </c>
      <c r="AL482" s="32" t="s">
        <v>1225</v>
      </c>
      <c r="AM482" s="32" t="s">
        <v>1225</v>
      </c>
      <c r="AN482" s="32" t="s">
        <v>1225</v>
      </c>
      <c r="AO482" s="32" t="s">
        <v>1225</v>
      </c>
      <c r="AP482" s="32" t="s">
        <v>1225</v>
      </c>
      <c r="AQ482" s="32" t="s">
        <v>1225</v>
      </c>
      <c r="AR482" s="32" t="s">
        <v>1225</v>
      </c>
      <c r="AS482" s="32" t="s">
        <v>1225</v>
      </c>
      <c r="AT482" s="32" t="s">
        <v>1225</v>
      </c>
      <c r="AU482" s="32" t="s">
        <v>1225</v>
      </c>
      <c r="AV482" s="32" t="s">
        <v>1225</v>
      </c>
      <c r="AW482" s="32" t="s">
        <v>1647</v>
      </c>
      <c r="AX482" s="32">
        <v>2022</v>
      </c>
      <c r="AY482" s="32">
        <v>317</v>
      </c>
      <c r="AZ482" s="32" t="s">
        <v>1225</v>
      </c>
      <c r="BA482" s="32" t="s">
        <v>1225</v>
      </c>
      <c r="BB482" s="32" t="s">
        <v>1225</v>
      </c>
      <c r="BC482" s="32" t="s">
        <v>1225</v>
      </c>
      <c r="BD482" s="32" t="s">
        <v>1225</v>
      </c>
      <c r="BE482" s="32" t="s">
        <v>1225</v>
      </c>
      <c r="BF482" s="32" t="s">
        <v>1225</v>
      </c>
      <c r="BG482" s="32">
        <v>119060</v>
      </c>
      <c r="BH482" s="32" t="s">
        <v>4551</v>
      </c>
      <c r="BI482" s="32" t="str">
        <f>HYPERLINK("http://dx.doi.org/10.1016/j.apenergy.2022.119060","http://dx.doi.org/10.1016/j.apenergy.2022.119060")</f>
        <v>http://dx.doi.org/10.1016/j.apenergy.2022.119060</v>
      </c>
      <c r="BJ482" s="32" t="s">
        <v>1225</v>
      </c>
      <c r="BK482" s="32" t="s">
        <v>1225</v>
      </c>
      <c r="BL482" s="32" t="s">
        <v>1225</v>
      </c>
      <c r="BM482" s="32" t="s">
        <v>1225</v>
      </c>
      <c r="BN482" s="32" t="s">
        <v>1225</v>
      </c>
      <c r="BO482" s="32" t="s">
        <v>1225</v>
      </c>
      <c r="BP482" s="32" t="s">
        <v>1225</v>
      </c>
      <c r="BQ482" s="32" t="s">
        <v>1225</v>
      </c>
      <c r="BR482" s="32" t="s">
        <v>1225</v>
      </c>
      <c r="BS482" s="32" t="s">
        <v>1225</v>
      </c>
      <c r="BT482" s="32" t="s">
        <v>1225</v>
      </c>
      <c r="BU482" s="32" t="s">
        <v>1225</v>
      </c>
      <c r="BV482" s="32" t="s">
        <v>1225</v>
      </c>
      <c r="BW482" s="32" t="str">
        <f t="shared" si="14"/>
        <v>View Full Record in Web of Science</v>
      </c>
      <c r="BY482" s="41" t="str">
        <f>IF(Deletion!J482=TRUE,"Yes","No")</f>
        <v>Yes</v>
      </c>
    </row>
    <row r="483" spans="1:77" x14ac:dyDescent="0.15">
      <c r="A483" s="32">
        <f t="shared" si="15"/>
        <v>482</v>
      </c>
      <c r="D483" s="32" t="s">
        <v>1223</v>
      </c>
      <c r="E483" s="32" t="s">
        <v>4552</v>
      </c>
      <c r="F483" s="32" t="s">
        <v>1225</v>
      </c>
      <c r="G483" s="32" t="s">
        <v>1225</v>
      </c>
      <c r="H483" s="32" t="s">
        <v>1225</v>
      </c>
      <c r="I483" s="32" t="s">
        <v>4553</v>
      </c>
      <c r="J483" s="32" t="s">
        <v>1225</v>
      </c>
      <c r="K483" s="32" t="s">
        <v>1225</v>
      </c>
      <c r="L483" s="32" t="s">
        <v>4554</v>
      </c>
      <c r="M483" s="32" t="s">
        <v>1803</v>
      </c>
      <c r="N483" s="32" t="s">
        <v>1225</v>
      </c>
      <c r="O483" s="32" t="s">
        <v>1225</v>
      </c>
      <c r="P483" s="32" t="s">
        <v>1225</v>
      </c>
      <c r="Q483" s="32" t="s">
        <v>1227</v>
      </c>
      <c r="R483" s="32" t="s">
        <v>1225</v>
      </c>
      <c r="S483" s="32" t="s">
        <v>1225</v>
      </c>
      <c r="T483" s="32" t="s">
        <v>1225</v>
      </c>
      <c r="U483" s="32" t="s">
        <v>1225</v>
      </c>
      <c r="V483" s="32" t="s">
        <v>1225</v>
      </c>
      <c r="W483" s="32" t="s">
        <v>4555</v>
      </c>
      <c r="X483" s="32" t="s">
        <v>4556</v>
      </c>
      <c r="Y483" s="32" t="s">
        <v>4557</v>
      </c>
      <c r="Z483" s="32" t="s">
        <v>1225</v>
      </c>
      <c r="AA483" s="32" t="s">
        <v>1225</v>
      </c>
      <c r="AB483" s="32" t="s">
        <v>1225</v>
      </c>
      <c r="AC483" s="32" t="s">
        <v>1225</v>
      </c>
      <c r="AD483" s="32" t="s">
        <v>1225</v>
      </c>
      <c r="AE483" s="32" t="s">
        <v>1225</v>
      </c>
      <c r="AF483" s="32" t="s">
        <v>1225</v>
      </c>
      <c r="AG483" s="32" t="s">
        <v>1225</v>
      </c>
      <c r="AH483" s="32" t="s">
        <v>1225</v>
      </c>
      <c r="AI483" s="32" t="s">
        <v>1225</v>
      </c>
      <c r="AJ483" s="32" t="s">
        <v>1225</v>
      </c>
      <c r="AK483" s="32" t="s">
        <v>1225</v>
      </c>
      <c r="AL483" s="32" t="s">
        <v>1225</v>
      </c>
      <c r="AM483" s="32" t="s">
        <v>1225</v>
      </c>
      <c r="AN483" s="32" t="s">
        <v>1225</v>
      </c>
      <c r="AO483" s="32" t="s">
        <v>1225</v>
      </c>
      <c r="AP483" s="32" t="s">
        <v>1225</v>
      </c>
      <c r="AQ483" s="32" t="s">
        <v>1225</v>
      </c>
      <c r="AR483" s="32" t="s">
        <v>1225</v>
      </c>
      <c r="AS483" s="32" t="s">
        <v>1225</v>
      </c>
      <c r="AT483" s="32" t="s">
        <v>1225</v>
      </c>
      <c r="AU483" s="32" t="s">
        <v>1225</v>
      </c>
      <c r="AV483" s="32" t="s">
        <v>1225</v>
      </c>
      <c r="AW483" s="32" t="s">
        <v>4558</v>
      </c>
      <c r="AX483" s="32">
        <v>2021</v>
      </c>
      <c r="AY483" s="32">
        <v>307</v>
      </c>
      <c r="AZ483" s="32" t="s">
        <v>1225</v>
      </c>
      <c r="BA483" s="32" t="s">
        <v>1225</v>
      </c>
      <c r="BB483" s="32" t="s">
        <v>1225</v>
      </c>
      <c r="BC483" s="32" t="s">
        <v>1225</v>
      </c>
      <c r="BD483" s="32" t="s">
        <v>1225</v>
      </c>
      <c r="BE483" s="32" t="s">
        <v>1225</v>
      </c>
      <c r="BF483" s="32" t="s">
        <v>1225</v>
      </c>
      <c r="BG483" s="32">
        <v>127297</v>
      </c>
      <c r="BH483" s="32" t="s">
        <v>4559</v>
      </c>
      <c r="BI483" s="32" t="str">
        <f>HYPERLINK("http://dx.doi.org/10.1016/j.jclepro.2021.127297","http://dx.doi.org/10.1016/j.jclepro.2021.127297")</f>
        <v>http://dx.doi.org/10.1016/j.jclepro.2021.127297</v>
      </c>
      <c r="BJ483" s="32" t="s">
        <v>1225</v>
      </c>
      <c r="BK483" s="32" t="s">
        <v>2207</v>
      </c>
      <c r="BL483" s="32" t="s">
        <v>1225</v>
      </c>
      <c r="BM483" s="32" t="s">
        <v>1225</v>
      </c>
      <c r="BN483" s="32" t="s">
        <v>1225</v>
      </c>
      <c r="BO483" s="32" t="s">
        <v>1225</v>
      </c>
      <c r="BP483" s="32" t="s">
        <v>1225</v>
      </c>
      <c r="BQ483" s="32" t="s">
        <v>1225</v>
      </c>
      <c r="BR483" s="32" t="s">
        <v>1225</v>
      </c>
      <c r="BS483" s="32" t="s">
        <v>1225</v>
      </c>
      <c r="BT483" s="32" t="s">
        <v>1225</v>
      </c>
      <c r="BU483" s="32" t="s">
        <v>1225</v>
      </c>
      <c r="BV483" s="32" t="s">
        <v>1225</v>
      </c>
      <c r="BW483" s="32" t="str">
        <f t="shared" si="14"/>
        <v>View Full Record in Web of Science</v>
      </c>
      <c r="BY483" s="41" t="str">
        <f>IF(Deletion!J483=TRUE,"Yes","No")</f>
        <v>Yes</v>
      </c>
    </row>
    <row r="484" spans="1:77" x14ac:dyDescent="0.15">
      <c r="A484" s="32">
        <f t="shared" si="15"/>
        <v>483</v>
      </c>
      <c r="D484" s="32" t="s">
        <v>1223</v>
      </c>
      <c r="E484" s="32" t="s">
        <v>3521</v>
      </c>
      <c r="F484" s="32" t="s">
        <v>1225</v>
      </c>
      <c r="G484" s="32" t="s">
        <v>1225</v>
      </c>
      <c r="H484" s="32" t="s">
        <v>1225</v>
      </c>
      <c r="I484" s="32" t="s">
        <v>3522</v>
      </c>
      <c r="J484" s="32" t="s">
        <v>1225</v>
      </c>
      <c r="K484" s="32" t="s">
        <v>1225</v>
      </c>
      <c r="L484" s="32" t="s">
        <v>4560</v>
      </c>
      <c r="M484" s="32" t="s">
        <v>124</v>
      </c>
      <c r="N484" s="32" t="s">
        <v>1225</v>
      </c>
      <c r="O484" s="32" t="s">
        <v>1225</v>
      </c>
      <c r="P484" s="32" t="s">
        <v>1225</v>
      </c>
      <c r="Q484" s="32" t="s">
        <v>1227</v>
      </c>
      <c r="R484" s="32" t="s">
        <v>1225</v>
      </c>
      <c r="S484" s="32" t="s">
        <v>1225</v>
      </c>
      <c r="T484" s="32" t="s">
        <v>1225</v>
      </c>
      <c r="U484" s="32" t="s">
        <v>1225</v>
      </c>
      <c r="V484" s="32" t="s">
        <v>1225</v>
      </c>
      <c r="W484" s="32" t="s">
        <v>4561</v>
      </c>
      <c r="X484" s="32" t="s">
        <v>4562</v>
      </c>
      <c r="Y484" s="32" t="s">
        <v>4563</v>
      </c>
      <c r="Z484" s="32" t="s">
        <v>1225</v>
      </c>
      <c r="AA484" s="32" t="s">
        <v>1225</v>
      </c>
      <c r="AB484" s="32" t="s">
        <v>1225</v>
      </c>
      <c r="AC484" s="32" t="s">
        <v>1225</v>
      </c>
      <c r="AD484" s="32" t="s">
        <v>1225</v>
      </c>
      <c r="AE484" s="32" t="s">
        <v>1225</v>
      </c>
      <c r="AF484" s="32" t="s">
        <v>1225</v>
      </c>
      <c r="AG484" s="32" t="s">
        <v>1225</v>
      </c>
      <c r="AH484" s="32" t="s">
        <v>1225</v>
      </c>
      <c r="AI484" s="32" t="s">
        <v>1225</v>
      </c>
      <c r="AJ484" s="32" t="s">
        <v>1225</v>
      </c>
      <c r="AK484" s="32" t="s">
        <v>1225</v>
      </c>
      <c r="AL484" s="32" t="s">
        <v>1225</v>
      </c>
      <c r="AM484" s="32" t="s">
        <v>1225</v>
      </c>
      <c r="AN484" s="32" t="s">
        <v>1225</v>
      </c>
      <c r="AO484" s="32" t="s">
        <v>1225</v>
      </c>
      <c r="AP484" s="32" t="s">
        <v>1225</v>
      </c>
      <c r="AQ484" s="32" t="s">
        <v>1225</v>
      </c>
      <c r="AR484" s="32" t="s">
        <v>1225</v>
      </c>
      <c r="AS484" s="32" t="s">
        <v>1225</v>
      </c>
      <c r="AT484" s="32" t="s">
        <v>1225</v>
      </c>
      <c r="AU484" s="32" t="s">
        <v>1225</v>
      </c>
      <c r="AV484" s="32" t="s">
        <v>1225</v>
      </c>
      <c r="AW484" s="32" t="s">
        <v>1317</v>
      </c>
      <c r="AX484" s="32">
        <v>2018</v>
      </c>
      <c r="AY484" s="32">
        <v>9</v>
      </c>
      <c r="AZ484" s="32">
        <v>1</v>
      </c>
      <c r="BA484" s="32" t="s">
        <v>1225</v>
      </c>
      <c r="BB484" s="32" t="s">
        <v>1225</v>
      </c>
      <c r="BC484" s="32" t="s">
        <v>1225</v>
      </c>
      <c r="BD484" s="32" t="s">
        <v>1225</v>
      </c>
      <c r="BE484" s="32">
        <v>261</v>
      </c>
      <c r="BF484" s="32">
        <v>273</v>
      </c>
      <c r="BG484" s="32" t="s">
        <v>1225</v>
      </c>
      <c r="BH484" s="32" t="s">
        <v>4564</v>
      </c>
      <c r="BI484" s="32" t="str">
        <f>HYPERLINK("http://dx.doi.org/10.1109/TSG.2016.2550219","http://dx.doi.org/10.1109/TSG.2016.2550219")</f>
        <v>http://dx.doi.org/10.1109/TSG.2016.2550219</v>
      </c>
      <c r="BJ484" s="32" t="s">
        <v>1225</v>
      </c>
      <c r="BK484" s="32" t="s">
        <v>1225</v>
      </c>
      <c r="BL484" s="32" t="s">
        <v>1225</v>
      </c>
      <c r="BM484" s="32" t="s">
        <v>1225</v>
      </c>
      <c r="BN484" s="32" t="s">
        <v>1225</v>
      </c>
      <c r="BO484" s="32" t="s">
        <v>1225</v>
      </c>
      <c r="BP484" s="32" t="s">
        <v>1225</v>
      </c>
      <c r="BQ484" s="32" t="s">
        <v>1225</v>
      </c>
      <c r="BR484" s="32" t="s">
        <v>1225</v>
      </c>
      <c r="BS484" s="32" t="s">
        <v>1225</v>
      </c>
      <c r="BT484" s="32" t="s">
        <v>1225</v>
      </c>
      <c r="BU484" s="32" t="s">
        <v>1225</v>
      </c>
      <c r="BV484" s="32" t="s">
        <v>1225</v>
      </c>
      <c r="BW484" s="32" t="str">
        <f t="shared" si="14"/>
        <v>View Full Record in Web of Science</v>
      </c>
      <c r="BY484" s="41" t="str">
        <f>IF(Deletion!J484=TRUE,"Yes","No")</f>
        <v>Yes</v>
      </c>
    </row>
    <row r="485" spans="1:77" x14ac:dyDescent="0.15">
      <c r="A485" s="32">
        <f t="shared" si="15"/>
        <v>484</v>
      </c>
      <c r="D485" s="32" t="s">
        <v>1223</v>
      </c>
      <c r="E485" s="32" t="s">
        <v>4565</v>
      </c>
      <c r="F485" s="32" t="s">
        <v>1225</v>
      </c>
      <c r="G485" s="32" t="s">
        <v>1225</v>
      </c>
      <c r="H485" s="32" t="s">
        <v>1225</v>
      </c>
      <c r="I485" s="32" t="s">
        <v>4566</v>
      </c>
      <c r="J485" s="32" t="s">
        <v>1225</v>
      </c>
      <c r="K485" s="32" t="s">
        <v>1225</v>
      </c>
      <c r="L485" s="32" t="s">
        <v>4567</v>
      </c>
      <c r="M485" s="32" t="s">
        <v>2044</v>
      </c>
      <c r="N485" s="32" t="s">
        <v>1225</v>
      </c>
      <c r="O485" s="32" t="s">
        <v>1225</v>
      </c>
      <c r="P485" s="32" t="s">
        <v>1225</v>
      </c>
      <c r="Q485" s="32" t="s">
        <v>1227</v>
      </c>
      <c r="R485" s="32" t="s">
        <v>1225</v>
      </c>
      <c r="S485" s="32" t="s">
        <v>1225</v>
      </c>
      <c r="T485" s="32" t="s">
        <v>1225</v>
      </c>
      <c r="U485" s="32" t="s">
        <v>1225</v>
      </c>
      <c r="V485" s="32" t="s">
        <v>1225</v>
      </c>
      <c r="W485" s="32" t="s">
        <v>4568</v>
      </c>
      <c r="X485" s="32" t="s">
        <v>4569</v>
      </c>
      <c r="Y485" s="32" t="s">
        <v>4570</v>
      </c>
      <c r="Z485" s="32" t="s">
        <v>1225</v>
      </c>
      <c r="AA485" s="32" t="s">
        <v>1225</v>
      </c>
      <c r="AB485" s="32" t="s">
        <v>1225</v>
      </c>
      <c r="AC485" s="32" t="s">
        <v>1225</v>
      </c>
      <c r="AD485" s="32" t="s">
        <v>1225</v>
      </c>
      <c r="AE485" s="32" t="s">
        <v>1225</v>
      </c>
      <c r="AF485" s="32" t="s">
        <v>1225</v>
      </c>
      <c r="AG485" s="32" t="s">
        <v>1225</v>
      </c>
      <c r="AH485" s="32" t="s">
        <v>1225</v>
      </c>
      <c r="AI485" s="32" t="s">
        <v>1225</v>
      </c>
      <c r="AJ485" s="32" t="s">
        <v>1225</v>
      </c>
      <c r="AK485" s="32" t="s">
        <v>1225</v>
      </c>
      <c r="AL485" s="32" t="s">
        <v>1225</v>
      </c>
      <c r="AM485" s="32" t="s">
        <v>1225</v>
      </c>
      <c r="AN485" s="32" t="s">
        <v>1225</v>
      </c>
      <c r="AO485" s="32" t="s">
        <v>1225</v>
      </c>
      <c r="AP485" s="32" t="s">
        <v>1225</v>
      </c>
      <c r="AQ485" s="32" t="s">
        <v>1225</v>
      </c>
      <c r="AR485" s="32" t="s">
        <v>1225</v>
      </c>
      <c r="AS485" s="32" t="s">
        <v>1225</v>
      </c>
      <c r="AT485" s="32" t="s">
        <v>1225</v>
      </c>
      <c r="AU485" s="32" t="s">
        <v>1225</v>
      </c>
      <c r="AV485" s="32" t="s">
        <v>1225</v>
      </c>
      <c r="AW485" s="32" t="s">
        <v>1285</v>
      </c>
      <c r="AX485" s="32">
        <v>2017</v>
      </c>
      <c r="AY485" s="32">
        <v>66</v>
      </c>
      <c r="AZ485" s="32">
        <v>5</v>
      </c>
      <c r="BA485" s="32" t="s">
        <v>1225</v>
      </c>
      <c r="BB485" s="32" t="s">
        <v>1225</v>
      </c>
      <c r="BC485" s="32" t="s">
        <v>1225</v>
      </c>
      <c r="BD485" s="32" t="s">
        <v>1225</v>
      </c>
      <c r="BE485" s="32">
        <v>3674</v>
      </c>
      <c r="BF485" s="32">
        <v>3684</v>
      </c>
      <c r="BG485" s="32" t="s">
        <v>1225</v>
      </c>
      <c r="BH485" s="32" t="s">
        <v>4571</v>
      </c>
      <c r="BI485" s="32" t="str">
        <f>HYPERLINK("http://dx.doi.org/10.1109/TVT.2016.2603536","http://dx.doi.org/10.1109/TVT.2016.2603536")</f>
        <v>http://dx.doi.org/10.1109/TVT.2016.2603536</v>
      </c>
      <c r="BJ485" s="32" t="s">
        <v>1225</v>
      </c>
      <c r="BK485" s="32" t="s">
        <v>1225</v>
      </c>
      <c r="BL485" s="32" t="s">
        <v>1225</v>
      </c>
      <c r="BM485" s="32" t="s">
        <v>1225</v>
      </c>
      <c r="BN485" s="32" t="s">
        <v>1225</v>
      </c>
      <c r="BO485" s="32" t="s">
        <v>1225</v>
      </c>
      <c r="BP485" s="32" t="s">
        <v>1225</v>
      </c>
      <c r="BQ485" s="32" t="s">
        <v>1225</v>
      </c>
      <c r="BR485" s="32" t="s">
        <v>1225</v>
      </c>
      <c r="BS485" s="32" t="s">
        <v>1225</v>
      </c>
      <c r="BT485" s="32" t="s">
        <v>1225</v>
      </c>
      <c r="BU485" s="32" t="s">
        <v>1225</v>
      </c>
      <c r="BV485" s="32" t="s">
        <v>1225</v>
      </c>
      <c r="BW485" s="32" t="str">
        <f t="shared" si="14"/>
        <v>View Full Record in Web of Science</v>
      </c>
      <c r="BY485" s="41" t="str">
        <f>IF(Deletion!J485=TRUE,"Yes","No")</f>
        <v>Yes</v>
      </c>
    </row>
    <row r="486" spans="1:77" x14ac:dyDescent="0.15">
      <c r="A486" s="32">
        <f t="shared" si="15"/>
        <v>485</v>
      </c>
      <c r="D486" s="32" t="s">
        <v>1223</v>
      </c>
      <c r="E486" s="32" t="s">
        <v>4572</v>
      </c>
      <c r="F486" s="32" t="s">
        <v>1225</v>
      </c>
      <c r="G486" s="32" t="s">
        <v>1225</v>
      </c>
      <c r="H486" s="32" t="s">
        <v>1225</v>
      </c>
      <c r="I486" s="32" t="s">
        <v>4573</v>
      </c>
      <c r="J486" s="32" t="s">
        <v>1225</v>
      </c>
      <c r="K486" s="32" t="s">
        <v>1225</v>
      </c>
      <c r="L486" s="32" t="s">
        <v>4574</v>
      </c>
      <c r="M486" s="32" t="s">
        <v>1803</v>
      </c>
      <c r="N486" s="32" t="s">
        <v>1225</v>
      </c>
      <c r="O486" s="32" t="s">
        <v>1225</v>
      </c>
      <c r="P486" s="32" t="s">
        <v>1225</v>
      </c>
      <c r="Q486" s="32" t="s">
        <v>1227</v>
      </c>
      <c r="R486" s="32" t="s">
        <v>1225</v>
      </c>
      <c r="S486" s="32" t="s">
        <v>1225</v>
      </c>
      <c r="T486" s="32" t="s">
        <v>1225</v>
      </c>
      <c r="U486" s="32" t="s">
        <v>1225</v>
      </c>
      <c r="V486" s="32" t="s">
        <v>1225</v>
      </c>
      <c r="W486" s="32" t="s">
        <v>4575</v>
      </c>
      <c r="X486" s="32" t="s">
        <v>1225</v>
      </c>
      <c r="Y486" s="32" t="s">
        <v>4576</v>
      </c>
      <c r="Z486" s="32" t="s">
        <v>1225</v>
      </c>
      <c r="AA486" s="32" t="s">
        <v>1225</v>
      </c>
      <c r="AB486" s="32" t="s">
        <v>1225</v>
      </c>
      <c r="AC486" s="32" t="s">
        <v>1225</v>
      </c>
      <c r="AD486" s="32" t="s">
        <v>1225</v>
      </c>
      <c r="AE486" s="32" t="s">
        <v>1225</v>
      </c>
      <c r="AF486" s="32" t="s">
        <v>1225</v>
      </c>
      <c r="AG486" s="32" t="s">
        <v>1225</v>
      </c>
      <c r="AH486" s="32" t="s">
        <v>1225</v>
      </c>
      <c r="AI486" s="32" t="s">
        <v>1225</v>
      </c>
      <c r="AJ486" s="32" t="s">
        <v>1225</v>
      </c>
      <c r="AK486" s="32" t="s">
        <v>1225</v>
      </c>
      <c r="AL486" s="32" t="s">
        <v>1225</v>
      </c>
      <c r="AM486" s="32" t="s">
        <v>1225</v>
      </c>
      <c r="AN486" s="32" t="s">
        <v>1225</v>
      </c>
      <c r="AO486" s="32" t="s">
        <v>1225</v>
      </c>
      <c r="AP486" s="32" t="s">
        <v>1225</v>
      </c>
      <c r="AQ486" s="32" t="s">
        <v>1225</v>
      </c>
      <c r="AR486" s="32" t="s">
        <v>1225</v>
      </c>
      <c r="AS486" s="32" t="s">
        <v>1225</v>
      </c>
      <c r="AT486" s="32" t="s">
        <v>1225</v>
      </c>
      <c r="AU486" s="32" t="s">
        <v>1225</v>
      </c>
      <c r="AV486" s="32" t="s">
        <v>1225</v>
      </c>
      <c r="AW486" s="32" t="s">
        <v>1276</v>
      </c>
      <c r="AX486" s="32">
        <v>2012</v>
      </c>
      <c r="AY486" s="32">
        <v>34</v>
      </c>
      <c r="AZ486" s="32" t="s">
        <v>1225</v>
      </c>
      <c r="BA486" s="32" t="s">
        <v>1225</v>
      </c>
      <c r="BB486" s="32" t="s">
        <v>1225</v>
      </c>
      <c r="BC486" s="32" t="s">
        <v>1511</v>
      </c>
      <c r="BD486" s="32" t="s">
        <v>1225</v>
      </c>
      <c r="BE486" s="32">
        <v>125</v>
      </c>
      <c r="BF486" s="32">
        <v>137</v>
      </c>
      <c r="BG486" s="32" t="s">
        <v>1225</v>
      </c>
      <c r="BH486" s="32" t="s">
        <v>4577</v>
      </c>
      <c r="BI486" s="32" t="str">
        <f>HYPERLINK("http://dx.doi.org/10.1016/j.jclepro.2011.12.021","http://dx.doi.org/10.1016/j.jclepro.2011.12.021")</f>
        <v>http://dx.doi.org/10.1016/j.jclepro.2011.12.021</v>
      </c>
      <c r="BJ486" s="32" t="s">
        <v>1225</v>
      </c>
      <c r="BK486" s="32" t="s">
        <v>1225</v>
      </c>
      <c r="BL486" s="32" t="s">
        <v>1225</v>
      </c>
      <c r="BM486" s="32" t="s">
        <v>1225</v>
      </c>
      <c r="BN486" s="32" t="s">
        <v>1225</v>
      </c>
      <c r="BO486" s="32" t="s">
        <v>1225</v>
      </c>
      <c r="BP486" s="32" t="s">
        <v>1225</v>
      </c>
      <c r="BQ486" s="32" t="s">
        <v>1225</v>
      </c>
      <c r="BR486" s="32" t="s">
        <v>1225</v>
      </c>
      <c r="BS486" s="32" t="s">
        <v>1225</v>
      </c>
      <c r="BT486" s="32" t="s">
        <v>1225</v>
      </c>
      <c r="BU486" s="32" t="s">
        <v>1225</v>
      </c>
      <c r="BV486" s="32" t="s">
        <v>1225</v>
      </c>
      <c r="BW486" s="32" t="str">
        <f t="shared" si="14"/>
        <v>View Full Record in Web of Science</v>
      </c>
      <c r="BY486" s="41" t="str">
        <f>IF(Deletion!J486=TRUE,"Yes","No")</f>
        <v>Yes</v>
      </c>
    </row>
    <row r="487" spans="1:77" x14ac:dyDescent="0.15">
      <c r="A487" s="32">
        <f t="shared" si="15"/>
        <v>486</v>
      </c>
      <c r="D487" s="32" t="s">
        <v>1223</v>
      </c>
      <c r="E487" s="32" t="s">
        <v>4578</v>
      </c>
      <c r="F487" s="32" t="s">
        <v>1225</v>
      </c>
      <c r="G487" s="32" t="s">
        <v>1225</v>
      </c>
      <c r="H487" s="32" t="s">
        <v>1225</v>
      </c>
      <c r="I487" s="32" t="s">
        <v>4579</v>
      </c>
      <c r="J487" s="32" t="s">
        <v>1225</v>
      </c>
      <c r="K487" s="32" t="s">
        <v>1225</v>
      </c>
      <c r="L487" s="32" t="s">
        <v>4580</v>
      </c>
      <c r="M487" s="32" t="s">
        <v>3649</v>
      </c>
      <c r="N487" s="32" t="s">
        <v>1225</v>
      </c>
      <c r="O487" s="32" t="s">
        <v>1225</v>
      </c>
      <c r="P487" s="32" t="s">
        <v>1225</v>
      </c>
      <c r="Q487" s="32" t="s">
        <v>1227</v>
      </c>
      <c r="R487" s="32" t="s">
        <v>1225</v>
      </c>
      <c r="S487" s="32" t="s">
        <v>1225</v>
      </c>
      <c r="T487" s="32" t="s">
        <v>1225</v>
      </c>
      <c r="U487" s="32" t="s">
        <v>1225</v>
      </c>
      <c r="V487" s="32" t="s">
        <v>1225</v>
      </c>
      <c r="W487" s="32" t="s">
        <v>4581</v>
      </c>
      <c r="X487" s="32" t="s">
        <v>4582</v>
      </c>
      <c r="Y487" s="32" t="s">
        <v>4583</v>
      </c>
      <c r="Z487" s="32" t="s">
        <v>1225</v>
      </c>
      <c r="AA487" s="32" t="s">
        <v>1225</v>
      </c>
      <c r="AB487" s="32" t="s">
        <v>1225</v>
      </c>
      <c r="AC487" s="32" t="s">
        <v>1225</v>
      </c>
      <c r="AD487" s="32" t="s">
        <v>1225</v>
      </c>
      <c r="AE487" s="32" t="s">
        <v>1225</v>
      </c>
      <c r="AF487" s="32" t="s">
        <v>1225</v>
      </c>
      <c r="AG487" s="32" t="s">
        <v>1225</v>
      </c>
      <c r="AH487" s="32" t="s">
        <v>1225</v>
      </c>
      <c r="AI487" s="32" t="s">
        <v>1225</v>
      </c>
      <c r="AJ487" s="32" t="s">
        <v>1225</v>
      </c>
      <c r="AK487" s="32" t="s">
        <v>1225</v>
      </c>
      <c r="AL487" s="32" t="s">
        <v>1225</v>
      </c>
      <c r="AM487" s="32" t="s">
        <v>1225</v>
      </c>
      <c r="AN487" s="32" t="s">
        <v>1225</v>
      </c>
      <c r="AO487" s="32" t="s">
        <v>1225</v>
      </c>
      <c r="AP487" s="32" t="s">
        <v>1225</v>
      </c>
      <c r="AQ487" s="32" t="s">
        <v>1225</v>
      </c>
      <c r="AR487" s="32" t="s">
        <v>1225</v>
      </c>
      <c r="AS487" s="32" t="s">
        <v>1225</v>
      </c>
      <c r="AT487" s="32" t="s">
        <v>1225</v>
      </c>
      <c r="AU487" s="32" t="s">
        <v>1225</v>
      </c>
      <c r="AV487" s="32" t="s">
        <v>1225</v>
      </c>
      <c r="AW487" s="32" t="s">
        <v>1317</v>
      </c>
      <c r="AX487" s="32">
        <v>2020</v>
      </c>
      <c r="AY487" s="32">
        <v>136</v>
      </c>
      <c r="AZ487" s="32" t="s">
        <v>1225</v>
      </c>
      <c r="BA487" s="32" t="s">
        <v>1225</v>
      </c>
      <c r="BB487" s="32" t="s">
        <v>1225</v>
      </c>
      <c r="BC487" s="32" t="s">
        <v>1225</v>
      </c>
      <c r="BD487" s="32" t="s">
        <v>1225</v>
      </c>
      <c r="BE487" s="32" t="s">
        <v>1225</v>
      </c>
      <c r="BF487" s="32" t="s">
        <v>1225</v>
      </c>
      <c r="BG487" s="32">
        <v>111051</v>
      </c>
      <c r="BH487" s="32" t="s">
        <v>4584</v>
      </c>
      <c r="BI487" s="32" t="str">
        <f>HYPERLINK("http://dx.doi.org/10.1016/j.enpol.2019.111051","http://dx.doi.org/10.1016/j.enpol.2019.111051")</f>
        <v>http://dx.doi.org/10.1016/j.enpol.2019.111051</v>
      </c>
      <c r="BJ487" s="32" t="s">
        <v>1225</v>
      </c>
      <c r="BK487" s="32" t="s">
        <v>1225</v>
      </c>
      <c r="BL487" s="32" t="s">
        <v>1225</v>
      </c>
      <c r="BM487" s="32" t="s">
        <v>1225</v>
      </c>
      <c r="BN487" s="32" t="s">
        <v>1225</v>
      </c>
      <c r="BO487" s="32" t="s">
        <v>1225</v>
      </c>
      <c r="BP487" s="32" t="s">
        <v>1225</v>
      </c>
      <c r="BQ487" s="32" t="s">
        <v>1225</v>
      </c>
      <c r="BR487" s="32" t="s">
        <v>1225</v>
      </c>
      <c r="BS487" s="32" t="s">
        <v>1225</v>
      </c>
      <c r="BT487" s="32" t="s">
        <v>1225</v>
      </c>
      <c r="BU487" s="32" t="s">
        <v>1225</v>
      </c>
      <c r="BV487" s="32" t="s">
        <v>1225</v>
      </c>
      <c r="BW487" s="32" t="str">
        <f t="shared" si="14"/>
        <v>View Full Record in Web of Science</v>
      </c>
      <c r="BY487" s="41" t="str">
        <f>IF(Deletion!J487=TRUE,"Yes","No")</f>
        <v>Yes</v>
      </c>
    </row>
    <row r="488" spans="1:77" x14ac:dyDescent="0.15">
      <c r="A488" s="32">
        <f t="shared" si="15"/>
        <v>487</v>
      </c>
      <c r="D488" s="32" t="s">
        <v>1223</v>
      </c>
      <c r="E488" s="32" t="s">
        <v>4585</v>
      </c>
      <c r="F488" s="32" t="s">
        <v>1225</v>
      </c>
      <c r="G488" s="32" t="s">
        <v>1225</v>
      </c>
      <c r="H488" s="32" t="s">
        <v>1225</v>
      </c>
      <c r="I488" s="32" t="s">
        <v>4586</v>
      </c>
      <c r="J488" s="32" t="s">
        <v>1225</v>
      </c>
      <c r="K488" s="32" t="s">
        <v>1225</v>
      </c>
      <c r="L488" s="32" t="s">
        <v>4587</v>
      </c>
      <c r="M488" s="32" t="s">
        <v>124</v>
      </c>
      <c r="N488" s="32" t="s">
        <v>1225</v>
      </c>
      <c r="O488" s="32" t="s">
        <v>1225</v>
      </c>
      <c r="P488" s="32" t="s">
        <v>1225</v>
      </c>
      <c r="Q488" s="32" t="s">
        <v>1227</v>
      </c>
      <c r="R488" s="32" t="s">
        <v>1225</v>
      </c>
      <c r="S488" s="32" t="s">
        <v>1225</v>
      </c>
      <c r="T488" s="32" t="s">
        <v>1225</v>
      </c>
      <c r="U488" s="32" t="s">
        <v>1225</v>
      </c>
      <c r="V488" s="32" t="s">
        <v>1225</v>
      </c>
      <c r="W488" s="32" t="s">
        <v>4588</v>
      </c>
      <c r="X488" s="32" t="s">
        <v>4589</v>
      </c>
      <c r="Y488" s="32" t="s">
        <v>4590</v>
      </c>
      <c r="Z488" s="32" t="s">
        <v>1225</v>
      </c>
      <c r="AA488" s="32" t="s">
        <v>1225</v>
      </c>
      <c r="AB488" s="32" t="s">
        <v>1225</v>
      </c>
      <c r="AC488" s="32" t="s">
        <v>1225</v>
      </c>
      <c r="AD488" s="32" t="s">
        <v>1225</v>
      </c>
      <c r="AE488" s="32" t="s">
        <v>1225</v>
      </c>
      <c r="AF488" s="32" t="s">
        <v>1225</v>
      </c>
      <c r="AG488" s="32" t="s">
        <v>1225</v>
      </c>
      <c r="AH488" s="32" t="s">
        <v>1225</v>
      </c>
      <c r="AI488" s="32" t="s">
        <v>1225</v>
      </c>
      <c r="AJ488" s="32" t="s">
        <v>1225</v>
      </c>
      <c r="AK488" s="32" t="s">
        <v>1225</v>
      </c>
      <c r="AL488" s="32" t="s">
        <v>1225</v>
      </c>
      <c r="AM488" s="32" t="s">
        <v>1225</v>
      </c>
      <c r="AN488" s="32" t="s">
        <v>1225</v>
      </c>
      <c r="AO488" s="32" t="s">
        <v>1225</v>
      </c>
      <c r="AP488" s="32" t="s">
        <v>1225</v>
      </c>
      <c r="AQ488" s="32" t="s">
        <v>1225</v>
      </c>
      <c r="AR488" s="32" t="s">
        <v>1225</v>
      </c>
      <c r="AS488" s="32" t="s">
        <v>1225</v>
      </c>
      <c r="AT488" s="32" t="s">
        <v>1225</v>
      </c>
      <c r="AU488" s="32" t="s">
        <v>1225</v>
      </c>
      <c r="AV488" s="32" t="s">
        <v>1225</v>
      </c>
      <c r="AW488" s="32" t="s">
        <v>1317</v>
      </c>
      <c r="AX488" s="32">
        <v>2020</v>
      </c>
      <c r="AY488" s="32">
        <v>11</v>
      </c>
      <c r="AZ488" s="32">
        <v>1</v>
      </c>
      <c r="BA488" s="32" t="s">
        <v>1225</v>
      </c>
      <c r="BB488" s="32" t="s">
        <v>1225</v>
      </c>
      <c r="BC488" s="32" t="s">
        <v>1225</v>
      </c>
      <c r="BD488" s="32" t="s">
        <v>1225</v>
      </c>
      <c r="BE488" s="32">
        <v>665</v>
      </c>
      <c r="BF488" s="32">
        <v>672</v>
      </c>
      <c r="BG488" s="32" t="s">
        <v>1225</v>
      </c>
      <c r="BH488" s="32" t="s">
        <v>4591</v>
      </c>
      <c r="BI488" s="32" t="str">
        <f>HYPERLINK("http://dx.doi.org/10.1109/TSG.2019.2927701","http://dx.doi.org/10.1109/TSG.2019.2927701")</f>
        <v>http://dx.doi.org/10.1109/TSG.2019.2927701</v>
      </c>
      <c r="BJ488" s="32" t="s">
        <v>1225</v>
      </c>
      <c r="BK488" s="32" t="s">
        <v>1225</v>
      </c>
      <c r="BL488" s="32" t="s">
        <v>1225</v>
      </c>
      <c r="BM488" s="32" t="s">
        <v>1225</v>
      </c>
      <c r="BN488" s="32" t="s">
        <v>1225</v>
      </c>
      <c r="BO488" s="32" t="s">
        <v>1225</v>
      </c>
      <c r="BP488" s="32" t="s">
        <v>1225</v>
      </c>
      <c r="BQ488" s="32" t="s">
        <v>1225</v>
      </c>
      <c r="BR488" s="32" t="s">
        <v>1225</v>
      </c>
      <c r="BS488" s="32" t="s">
        <v>1225</v>
      </c>
      <c r="BT488" s="32" t="s">
        <v>1225</v>
      </c>
      <c r="BU488" s="32" t="s">
        <v>1225</v>
      </c>
      <c r="BV488" s="32" t="s">
        <v>1225</v>
      </c>
      <c r="BW488" s="32" t="str">
        <f t="shared" si="14"/>
        <v>View Full Record in Web of Science</v>
      </c>
      <c r="BY488" s="41" t="str">
        <f>IF(Deletion!J488=TRUE,"Yes","No")</f>
        <v>Yes</v>
      </c>
    </row>
    <row r="489" spans="1:77" x14ac:dyDescent="0.15">
      <c r="A489" s="32">
        <f t="shared" si="15"/>
        <v>488</v>
      </c>
      <c r="D489" s="32" t="s">
        <v>1223</v>
      </c>
      <c r="E489" s="32" t="s">
        <v>4592</v>
      </c>
      <c r="F489" s="32" t="s">
        <v>1225</v>
      </c>
      <c r="G489" s="32" t="s">
        <v>1225</v>
      </c>
      <c r="H489" s="32" t="s">
        <v>1225</v>
      </c>
      <c r="I489" s="32" t="s">
        <v>4593</v>
      </c>
      <c r="J489" s="32" t="s">
        <v>1225</v>
      </c>
      <c r="K489" s="32" t="s">
        <v>1225</v>
      </c>
      <c r="L489" s="32" t="s">
        <v>4594</v>
      </c>
      <c r="M489" s="32" t="s">
        <v>422</v>
      </c>
      <c r="N489" s="32" t="s">
        <v>1225</v>
      </c>
      <c r="O489" s="32" t="s">
        <v>1225</v>
      </c>
      <c r="P489" s="32" t="s">
        <v>1225</v>
      </c>
      <c r="Q489" s="32" t="s">
        <v>1227</v>
      </c>
      <c r="R489" s="32" t="s">
        <v>1225</v>
      </c>
      <c r="S489" s="32" t="s">
        <v>1225</v>
      </c>
      <c r="T489" s="32" t="s">
        <v>1225</v>
      </c>
      <c r="U489" s="32" t="s">
        <v>1225</v>
      </c>
      <c r="V489" s="32" t="s">
        <v>1225</v>
      </c>
      <c r="W489" s="32" t="s">
        <v>4595</v>
      </c>
      <c r="X489" s="32" t="s">
        <v>1225</v>
      </c>
      <c r="Y489" s="32" t="s">
        <v>4596</v>
      </c>
      <c r="Z489" s="32" t="s">
        <v>1225</v>
      </c>
      <c r="AA489" s="32" t="s">
        <v>1225</v>
      </c>
      <c r="AB489" s="32" t="s">
        <v>1225</v>
      </c>
      <c r="AC489" s="32" t="s">
        <v>1225</v>
      </c>
      <c r="AD489" s="32" t="s">
        <v>1225</v>
      </c>
      <c r="AE489" s="32" t="s">
        <v>1225</v>
      </c>
      <c r="AF489" s="32" t="s">
        <v>1225</v>
      </c>
      <c r="AG489" s="32" t="s">
        <v>1225</v>
      </c>
      <c r="AH489" s="32" t="s">
        <v>1225</v>
      </c>
      <c r="AI489" s="32" t="s">
        <v>1225</v>
      </c>
      <c r="AJ489" s="32" t="s">
        <v>1225</v>
      </c>
      <c r="AK489" s="32" t="s">
        <v>1225</v>
      </c>
      <c r="AL489" s="32" t="s">
        <v>1225</v>
      </c>
      <c r="AM489" s="32" t="s">
        <v>1225</v>
      </c>
      <c r="AN489" s="32" t="s">
        <v>1225</v>
      </c>
      <c r="AO489" s="32" t="s">
        <v>1225</v>
      </c>
      <c r="AP489" s="32" t="s">
        <v>1225</v>
      </c>
      <c r="AQ489" s="32" t="s">
        <v>1225</v>
      </c>
      <c r="AR489" s="32" t="s">
        <v>1225</v>
      </c>
      <c r="AS489" s="32" t="s">
        <v>1225</v>
      </c>
      <c r="AT489" s="32" t="s">
        <v>1225</v>
      </c>
      <c r="AU489" s="32" t="s">
        <v>1225</v>
      </c>
      <c r="AV489" s="32" t="s">
        <v>1225</v>
      </c>
      <c r="AW489" s="32" t="s">
        <v>1239</v>
      </c>
      <c r="AX489" s="32">
        <v>2021</v>
      </c>
      <c r="AY489" s="32">
        <v>14</v>
      </c>
      <c r="AZ489" s="32">
        <v>13</v>
      </c>
      <c r="BA489" s="32" t="s">
        <v>1225</v>
      </c>
      <c r="BB489" s="32" t="s">
        <v>1225</v>
      </c>
      <c r="BC489" s="32" t="s">
        <v>1225</v>
      </c>
      <c r="BD489" s="32" t="s">
        <v>1225</v>
      </c>
      <c r="BE489" s="32" t="s">
        <v>1225</v>
      </c>
      <c r="BF489" s="32" t="s">
        <v>1225</v>
      </c>
      <c r="BG489" s="32">
        <v>3816</v>
      </c>
      <c r="BH489" s="32" t="s">
        <v>4597</v>
      </c>
      <c r="BI489" s="32" t="str">
        <f>HYPERLINK("http://dx.doi.org/10.3390/en14133816","http://dx.doi.org/10.3390/en14133816")</f>
        <v>http://dx.doi.org/10.3390/en14133816</v>
      </c>
      <c r="BJ489" s="32" t="s">
        <v>1225</v>
      </c>
      <c r="BK489" s="32" t="s">
        <v>1225</v>
      </c>
      <c r="BL489" s="32" t="s">
        <v>1225</v>
      </c>
      <c r="BM489" s="32" t="s">
        <v>1225</v>
      </c>
      <c r="BN489" s="32" t="s">
        <v>1225</v>
      </c>
      <c r="BO489" s="32" t="s">
        <v>1225</v>
      </c>
      <c r="BP489" s="32" t="s">
        <v>1225</v>
      </c>
      <c r="BQ489" s="32" t="s">
        <v>1225</v>
      </c>
      <c r="BR489" s="32" t="s">
        <v>1225</v>
      </c>
      <c r="BS489" s="32" t="s">
        <v>1225</v>
      </c>
      <c r="BT489" s="32" t="s">
        <v>1225</v>
      </c>
      <c r="BU489" s="32" t="s">
        <v>1225</v>
      </c>
      <c r="BV489" s="32" t="s">
        <v>1225</v>
      </c>
      <c r="BW489" s="32" t="str">
        <f t="shared" si="14"/>
        <v>View Full Record in Web of Science</v>
      </c>
      <c r="BY489" s="41" t="str">
        <f>IF(Deletion!J489=TRUE,"Yes","No")</f>
        <v>Yes</v>
      </c>
    </row>
    <row r="490" spans="1:77" x14ac:dyDescent="0.15">
      <c r="A490" s="32">
        <f t="shared" si="15"/>
        <v>489</v>
      </c>
      <c r="D490" s="32" t="s">
        <v>1223</v>
      </c>
      <c r="E490" s="32" t="s">
        <v>4598</v>
      </c>
      <c r="F490" s="32" t="s">
        <v>1225</v>
      </c>
      <c r="G490" s="32" t="s">
        <v>1225</v>
      </c>
      <c r="H490" s="32" t="s">
        <v>1225</v>
      </c>
      <c r="I490" s="32" t="s">
        <v>4599</v>
      </c>
      <c r="J490" s="32" t="s">
        <v>1225</v>
      </c>
      <c r="K490" s="32" t="s">
        <v>1225</v>
      </c>
      <c r="L490" s="32" t="s">
        <v>4600</v>
      </c>
      <c r="M490" s="32" t="s">
        <v>89</v>
      </c>
      <c r="N490" s="32" t="s">
        <v>1225</v>
      </c>
      <c r="O490" s="32" t="s">
        <v>1225</v>
      </c>
      <c r="P490" s="32" t="s">
        <v>1225</v>
      </c>
      <c r="Q490" s="32" t="s">
        <v>1227</v>
      </c>
      <c r="R490" s="32" t="s">
        <v>1225</v>
      </c>
      <c r="S490" s="32" t="s">
        <v>1225</v>
      </c>
      <c r="T490" s="32" t="s">
        <v>1225</v>
      </c>
      <c r="U490" s="32" t="s">
        <v>1225</v>
      </c>
      <c r="V490" s="32" t="s">
        <v>1225</v>
      </c>
      <c r="W490" s="32" t="s">
        <v>4601</v>
      </c>
      <c r="X490" s="32" t="s">
        <v>1225</v>
      </c>
      <c r="Y490" s="32" t="s">
        <v>4602</v>
      </c>
      <c r="Z490" s="32" t="s">
        <v>1225</v>
      </c>
      <c r="AA490" s="32" t="s">
        <v>1225</v>
      </c>
      <c r="AB490" s="32" t="s">
        <v>1225</v>
      </c>
      <c r="AC490" s="32" t="s">
        <v>1225</v>
      </c>
      <c r="AD490" s="32" t="s">
        <v>1225</v>
      </c>
      <c r="AE490" s="32" t="s">
        <v>1225</v>
      </c>
      <c r="AF490" s="32" t="s">
        <v>1225</v>
      </c>
      <c r="AG490" s="32" t="s">
        <v>1225</v>
      </c>
      <c r="AH490" s="32" t="s">
        <v>1225</v>
      </c>
      <c r="AI490" s="32" t="s">
        <v>1225</v>
      </c>
      <c r="AJ490" s="32" t="s">
        <v>1225</v>
      </c>
      <c r="AK490" s="32" t="s">
        <v>1225</v>
      </c>
      <c r="AL490" s="32" t="s">
        <v>1225</v>
      </c>
      <c r="AM490" s="32" t="s">
        <v>1225</v>
      </c>
      <c r="AN490" s="32" t="s">
        <v>1225</v>
      </c>
      <c r="AO490" s="32" t="s">
        <v>1225</v>
      </c>
      <c r="AP490" s="32" t="s">
        <v>1225</v>
      </c>
      <c r="AQ490" s="32" t="s">
        <v>1225</v>
      </c>
      <c r="AR490" s="32" t="s">
        <v>1225</v>
      </c>
      <c r="AS490" s="32" t="s">
        <v>1225</v>
      </c>
      <c r="AT490" s="32" t="s">
        <v>1225</v>
      </c>
      <c r="AU490" s="32" t="s">
        <v>1225</v>
      </c>
      <c r="AV490" s="32" t="s">
        <v>1225</v>
      </c>
      <c r="AW490" s="32" t="s">
        <v>1239</v>
      </c>
      <c r="AX490" s="32">
        <v>2022</v>
      </c>
      <c r="AY490" s="32">
        <v>208</v>
      </c>
      <c r="AZ490" s="32" t="s">
        <v>1225</v>
      </c>
      <c r="BA490" s="32" t="s">
        <v>1225</v>
      </c>
      <c r="BB490" s="32" t="s">
        <v>1225</v>
      </c>
      <c r="BC490" s="32" t="s">
        <v>1225</v>
      </c>
      <c r="BD490" s="32" t="s">
        <v>1225</v>
      </c>
      <c r="BE490" s="32" t="s">
        <v>1225</v>
      </c>
      <c r="BF490" s="32" t="s">
        <v>1225</v>
      </c>
      <c r="BG490" s="32">
        <v>107909</v>
      </c>
      <c r="BH490" s="32" t="s">
        <v>4603</v>
      </c>
      <c r="BI490" s="32" t="str">
        <f>HYPERLINK("http://dx.doi.org/10.1016/j.epsr.2022.107909","http://dx.doi.org/10.1016/j.epsr.2022.107909")</f>
        <v>http://dx.doi.org/10.1016/j.epsr.2022.107909</v>
      </c>
      <c r="BJ490" s="32" t="s">
        <v>1225</v>
      </c>
      <c r="BK490" s="32" t="s">
        <v>1225</v>
      </c>
      <c r="BL490" s="32" t="s">
        <v>1225</v>
      </c>
      <c r="BM490" s="32" t="s">
        <v>1225</v>
      </c>
      <c r="BN490" s="32" t="s">
        <v>1225</v>
      </c>
      <c r="BO490" s="32" t="s">
        <v>1225</v>
      </c>
      <c r="BP490" s="32" t="s">
        <v>1225</v>
      </c>
      <c r="BQ490" s="32" t="s">
        <v>1225</v>
      </c>
      <c r="BR490" s="32" t="s">
        <v>1225</v>
      </c>
      <c r="BS490" s="32" t="s">
        <v>1225</v>
      </c>
      <c r="BT490" s="32" t="s">
        <v>1225</v>
      </c>
      <c r="BU490" s="32" t="s">
        <v>1225</v>
      </c>
      <c r="BV490" s="32" t="s">
        <v>1225</v>
      </c>
      <c r="BW490" s="32" t="str">
        <f t="shared" si="14"/>
        <v>View Full Record in Web of Science</v>
      </c>
      <c r="BY490" s="41" t="str">
        <f>IF(Deletion!J490=TRUE,"Yes","No")</f>
        <v>Yes</v>
      </c>
    </row>
    <row r="491" spans="1:77" x14ac:dyDescent="0.15">
      <c r="A491" s="32">
        <f t="shared" si="15"/>
        <v>490</v>
      </c>
      <c r="D491" s="32" t="s">
        <v>1223</v>
      </c>
      <c r="E491" s="32" t="s">
        <v>4604</v>
      </c>
      <c r="F491" s="32" t="s">
        <v>1225</v>
      </c>
      <c r="G491" s="32" t="s">
        <v>1225</v>
      </c>
      <c r="H491" s="32" t="s">
        <v>1225</v>
      </c>
      <c r="I491" s="32" t="s">
        <v>4605</v>
      </c>
      <c r="J491" s="32" t="s">
        <v>1225</v>
      </c>
      <c r="K491" s="32" t="s">
        <v>1225</v>
      </c>
      <c r="L491" s="32" t="s">
        <v>4606</v>
      </c>
      <c r="M491" s="32" t="s">
        <v>124</v>
      </c>
      <c r="N491" s="32" t="s">
        <v>1225</v>
      </c>
      <c r="O491" s="32" t="s">
        <v>1225</v>
      </c>
      <c r="P491" s="32" t="s">
        <v>1225</v>
      </c>
      <c r="Q491" s="32" t="s">
        <v>1227</v>
      </c>
      <c r="R491" s="32" t="s">
        <v>1225</v>
      </c>
      <c r="S491" s="32" t="s">
        <v>1225</v>
      </c>
      <c r="T491" s="32" t="s">
        <v>1225</v>
      </c>
      <c r="U491" s="32" t="s">
        <v>1225</v>
      </c>
      <c r="V491" s="32" t="s">
        <v>1225</v>
      </c>
      <c r="W491" s="32" t="s">
        <v>4607</v>
      </c>
      <c r="X491" s="32" t="s">
        <v>4608</v>
      </c>
      <c r="Y491" s="32" t="s">
        <v>4609</v>
      </c>
      <c r="Z491" s="32" t="s">
        <v>1225</v>
      </c>
      <c r="AA491" s="32" t="s">
        <v>1225</v>
      </c>
      <c r="AB491" s="32" t="s">
        <v>1225</v>
      </c>
      <c r="AC491" s="32" t="s">
        <v>1225</v>
      </c>
      <c r="AD491" s="32" t="s">
        <v>1225</v>
      </c>
      <c r="AE491" s="32" t="s">
        <v>1225</v>
      </c>
      <c r="AF491" s="32" t="s">
        <v>1225</v>
      </c>
      <c r="AG491" s="32" t="s">
        <v>1225</v>
      </c>
      <c r="AH491" s="32" t="s">
        <v>1225</v>
      </c>
      <c r="AI491" s="32" t="s">
        <v>1225</v>
      </c>
      <c r="AJ491" s="32" t="s">
        <v>1225</v>
      </c>
      <c r="AK491" s="32" t="s">
        <v>1225</v>
      </c>
      <c r="AL491" s="32" t="s">
        <v>1225</v>
      </c>
      <c r="AM491" s="32" t="s">
        <v>1225</v>
      </c>
      <c r="AN491" s="32" t="s">
        <v>1225</v>
      </c>
      <c r="AO491" s="32" t="s">
        <v>1225</v>
      </c>
      <c r="AP491" s="32" t="s">
        <v>1225</v>
      </c>
      <c r="AQ491" s="32" t="s">
        <v>1225</v>
      </c>
      <c r="AR491" s="32" t="s">
        <v>1225</v>
      </c>
      <c r="AS491" s="32" t="s">
        <v>1225</v>
      </c>
      <c r="AT491" s="32" t="s">
        <v>1225</v>
      </c>
      <c r="AU491" s="32" t="s">
        <v>1225</v>
      </c>
      <c r="AV491" s="32" t="s">
        <v>1225</v>
      </c>
      <c r="AW491" s="32" t="s">
        <v>1285</v>
      </c>
      <c r="AX491" s="32">
        <v>2020</v>
      </c>
      <c r="AY491" s="32">
        <v>11</v>
      </c>
      <c r="AZ491" s="32">
        <v>3</v>
      </c>
      <c r="BA491" s="32" t="s">
        <v>1225</v>
      </c>
      <c r="BB491" s="32" t="s">
        <v>1225</v>
      </c>
      <c r="BC491" s="32" t="s">
        <v>1225</v>
      </c>
      <c r="BD491" s="32" t="s">
        <v>1225</v>
      </c>
      <c r="BE491" s="32">
        <v>2427</v>
      </c>
      <c r="BF491" s="32">
        <v>2439</v>
      </c>
      <c r="BG491" s="32" t="s">
        <v>1225</v>
      </c>
      <c r="BH491" s="32" t="s">
        <v>4610</v>
      </c>
      <c r="BI491" s="32" t="str">
        <f>HYPERLINK("http://dx.doi.org/10.1109/TSG.2019.2955437","http://dx.doi.org/10.1109/TSG.2019.2955437")</f>
        <v>http://dx.doi.org/10.1109/TSG.2019.2955437</v>
      </c>
      <c r="BJ491" s="32" t="s">
        <v>1225</v>
      </c>
      <c r="BK491" s="32" t="s">
        <v>1225</v>
      </c>
      <c r="BL491" s="32" t="s">
        <v>1225</v>
      </c>
      <c r="BM491" s="32" t="s">
        <v>1225</v>
      </c>
      <c r="BN491" s="32" t="s">
        <v>1225</v>
      </c>
      <c r="BO491" s="32" t="s">
        <v>1225</v>
      </c>
      <c r="BP491" s="32" t="s">
        <v>1225</v>
      </c>
      <c r="BQ491" s="32" t="s">
        <v>1225</v>
      </c>
      <c r="BR491" s="32" t="s">
        <v>1225</v>
      </c>
      <c r="BS491" s="32" t="s">
        <v>1225</v>
      </c>
      <c r="BT491" s="32" t="s">
        <v>1225</v>
      </c>
      <c r="BU491" s="32" t="s">
        <v>1225</v>
      </c>
      <c r="BV491" s="32" t="s">
        <v>1225</v>
      </c>
      <c r="BW491" s="32" t="str">
        <f t="shared" si="14"/>
        <v>View Full Record in Web of Science</v>
      </c>
      <c r="BY491" s="41" t="str">
        <f>IF(Deletion!J491=TRUE,"Yes","No")</f>
        <v>Yes</v>
      </c>
    </row>
    <row r="492" spans="1:77" x14ac:dyDescent="0.15">
      <c r="A492" s="34">
        <f t="shared" si="15"/>
        <v>491</v>
      </c>
      <c r="B492" s="34" t="s">
        <v>4</v>
      </c>
      <c r="C492" s="34" t="s">
        <v>4</v>
      </c>
      <c r="D492" s="34" t="s">
        <v>1223</v>
      </c>
      <c r="E492" s="34" t="s">
        <v>4611</v>
      </c>
      <c r="F492" s="32" t="s">
        <v>1225</v>
      </c>
      <c r="G492" s="32" t="s">
        <v>1225</v>
      </c>
      <c r="H492" s="32" t="s">
        <v>1225</v>
      </c>
      <c r="I492" s="34" t="s">
        <v>4612</v>
      </c>
      <c r="J492" s="32" t="s">
        <v>1225</v>
      </c>
      <c r="K492" s="32" t="s">
        <v>1225</v>
      </c>
      <c r="L492" s="34" t="s">
        <v>4613</v>
      </c>
      <c r="M492" s="34" t="s">
        <v>4614</v>
      </c>
      <c r="N492" s="32" t="s">
        <v>1225</v>
      </c>
      <c r="O492" s="32" t="s">
        <v>1225</v>
      </c>
      <c r="P492" s="32" t="s">
        <v>1225</v>
      </c>
      <c r="Q492" s="34" t="s">
        <v>1227</v>
      </c>
      <c r="R492" s="32" t="s">
        <v>1225</v>
      </c>
      <c r="S492" s="32" t="s">
        <v>1225</v>
      </c>
      <c r="T492" s="32" t="s">
        <v>1225</v>
      </c>
      <c r="U492" s="32" t="s">
        <v>1225</v>
      </c>
      <c r="V492" s="32" t="s">
        <v>1225</v>
      </c>
      <c r="W492" s="34" t="s">
        <v>4615</v>
      </c>
      <c r="X492" s="34" t="s">
        <v>4616</v>
      </c>
      <c r="Y492" s="34" t="s">
        <v>4617</v>
      </c>
      <c r="Z492" s="32" t="s">
        <v>1225</v>
      </c>
      <c r="AA492" s="32" t="s">
        <v>1225</v>
      </c>
      <c r="AB492" s="32" t="s">
        <v>1225</v>
      </c>
      <c r="AC492" s="32" t="s">
        <v>1225</v>
      </c>
      <c r="AD492" s="32" t="s">
        <v>1225</v>
      </c>
      <c r="AE492" s="32" t="s">
        <v>1225</v>
      </c>
      <c r="AF492" s="32" t="s">
        <v>1225</v>
      </c>
      <c r="AG492" s="32" t="s">
        <v>1225</v>
      </c>
      <c r="AH492" s="32" t="s">
        <v>1225</v>
      </c>
      <c r="AI492" s="32" t="s">
        <v>1225</v>
      </c>
      <c r="AJ492" s="32" t="s">
        <v>1225</v>
      </c>
      <c r="AK492" s="32" t="s">
        <v>1225</v>
      </c>
      <c r="AL492" s="32" t="s">
        <v>1225</v>
      </c>
      <c r="AM492" s="32" t="s">
        <v>1225</v>
      </c>
      <c r="AN492" s="32" t="s">
        <v>1225</v>
      </c>
      <c r="AO492" s="32" t="s">
        <v>1225</v>
      </c>
      <c r="AP492" s="32" t="s">
        <v>1225</v>
      </c>
      <c r="AQ492" s="32" t="s">
        <v>1225</v>
      </c>
      <c r="AR492" s="32" t="s">
        <v>1225</v>
      </c>
      <c r="AS492" s="32" t="s">
        <v>1225</v>
      </c>
      <c r="AT492" s="32" t="s">
        <v>1225</v>
      </c>
      <c r="AU492" s="32" t="s">
        <v>1225</v>
      </c>
      <c r="AV492" s="32" t="s">
        <v>1225</v>
      </c>
      <c r="AW492" s="34" t="s">
        <v>4618</v>
      </c>
      <c r="AX492" s="34">
        <v>2019</v>
      </c>
      <c r="AY492" s="32">
        <v>13</v>
      </c>
      <c r="AZ492" s="32">
        <v>8</v>
      </c>
      <c r="BA492" s="32" t="s">
        <v>1225</v>
      </c>
      <c r="BB492" s="32" t="s">
        <v>1225</v>
      </c>
      <c r="BC492" s="32" t="s">
        <v>1225</v>
      </c>
      <c r="BD492" s="32" t="s">
        <v>1225</v>
      </c>
      <c r="BE492" s="32">
        <v>1025</v>
      </c>
      <c r="BF492" s="32">
        <v>1033</v>
      </c>
      <c r="BG492" s="32" t="s">
        <v>1225</v>
      </c>
      <c r="BH492" s="34" t="s">
        <v>4619</v>
      </c>
      <c r="BI492" s="34" t="str">
        <f>HYPERLINK("http://dx.doi.org/10.1049/iet-com.2018.5408","http://dx.doi.org/10.1049/iet-com.2018.5408")</f>
        <v>http://dx.doi.org/10.1049/iet-com.2018.5408</v>
      </c>
      <c r="BJ492" s="32" t="s">
        <v>1225</v>
      </c>
      <c r="BK492" s="32" t="s">
        <v>1225</v>
      </c>
      <c r="BL492" s="32" t="s">
        <v>1225</v>
      </c>
      <c r="BM492" s="32" t="s">
        <v>1225</v>
      </c>
      <c r="BN492" s="32" t="s">
        <v>1225</v>
      </c>
      <c r="BO492" s="32" t="s">
        <v>1225</v>
      </c>
      <c r="BP492" s="32" t="s">
        <v>1225</v>
      </c>
      <c r="BQ492" s="32" t="s">
        <v>1225</v>
      </c>
      <c r="BR492" s="32" t="s">
        <v>1225</v>
      </c>
      <c r="BS492" s="32" t="s">
        <v>1225</v>
      </c>
      <c r="BT492" s="32" t="s">
        <v>1225</v>
      </c>
      <c r="BU492" s="32" t="s">
        <v>1225</v>
      </c>
      <c r="BV492" s="32" t="s">
        <v>1225</v>
      </c>
      <c r="BW492" s="32" t="str">
        <f t="shared" si="14"/>
        <v>View Full Record in Web of Science</v>
      </c>
      <c r="BY492" s="41" t="str">
        <f>IF(Deletion!J492=TRUE,"Yes","No")</f>
        <v>No</v>
      </c>
    </row>
    <row r="493" spans="1:77" x14ac:dyDescent="0.15">
      <c r="A493" s="32">
        <f t="shared" si="15"/>
        <v>492</v>
      </c>
      <c r="D493" s="32" t="s">
        <v>1223</v>
      </c>
      <c r="E493" s="32" t="s">
        <v>4620</v>
      </c>
      <c r="F493" s="32" t="s">
        <v>1225</v>
      </c>
      <c r="G493" s="32" t="s">
        <v>1225</v>
      </c>
      <c r="H493" s="32" t="s">
        <v>1225</v>
      </c>
      <c r="I493" s="32" t="s">
        <v>4621</v>
      </c>
      <c r="J493" s="32" t="s">
        <v>1225</v>
      </c>
      <c r="K493" s="32" t="s">
        <v>1225</v>
      </c>
      <c r="L493" s="32" t="s">
        <v>4622</v>
      </c>
      <c r="M493" s="32" t="s">
        <v>1484</v>
      </c>
      <c r="N493" s="32" t="s">
        <v>1225</v>
      </c>
      <c r="O493" s="32" t="s">
        <v>1225</v>
      </c>
      <c r="P493" s="32" t="s">
        <v>1225</v>
      </c>
      <c r="Q493" s="32" t="s">
        <v>1227</v>
      </c>
      <c r="R493" s="32" t="s">
        <v>1225</v>
      </c>
      <c r="S493" s="32" t="s">
        <v>1225</v>
      </c>
      <c r="T493" s="32" t="s">
        <v>1225</v>
      </c>
      <c r="U493" s="32" t="s">
        <v>1225</v>
      </c>
      <c r="V493" s="32" t="s">
        <v>1225</v>
      </c>
      <c r="W493" s="32" t="s">
        <v>4623</v>
      </c>
      <c r="X493" s="32" t="s">
        <v>4624</v>
      </c>
      <c r="Y493" s="32" t="s">
        <v>4625</v>
      </c>
      <c r="Z493" s="32" t="s">
        <v>1225</v>
      </c>
      <c r="AA493" s="32" t="s">
        <v>1225</v>
      </c>
      <c r="AB493" s="32" t="s">
        <v>1225</v>
      </c>
      <c r="AC493" s="32" t="s">
        <v>1225</v>
      </c>
      <c r="AD493" s="32" t="s">
        <v>1225</v>
      </c>
      <c r="AE493" s="32" t="s">
        <v>1225</v>
      </c>
      <c r="AF493" s="32" t="s">
        <v>1225</v>
      </c>
      <c r="AG493" s="32" t="s">
        <v>1225</v>
      </c>
      <c r="AH493" s="32" t="s">
        <v>1225</v>
      </c>
      <c r="AI493" s="32" t="s">
        <v>1225</v>
      </c>
      <c r="AJ493" s="32" t="s">
        <v>1225</v>
      </c>
      <c r="AK493" s="32" t="s">
        <v>1225</v>
      </c>
      <c r="AL493" s="32" t="s">
        <v>1225</v>
      </c>
      <c r="AM493" s="32" t="s">
        <v>1225</v>
      </c>
      <c r="AN493" s="32" t="s">
        <v>1225</v>
      </c>
      <c r="AO493" s="32" t="s">
        <v>1225</v>
      </c>
      <c r="AP493" s="32" t="s">
        <v>1225</v>
      </c>
      <c r="AQ493" s="32" t="s">
        <v>1225</v>
      </c>
      <c r="AR493" s="32" t="s">
        <v>1225</v>
      </c>
      <c r="AS493" s="32" t="s">
        <v>1225</v>
      </c>
      <c r="AT493" s="32" t="s">
        <v>1225</v>
      </c>
      <c r="AU493" s="32" t="s">
        <v>1225</v>
      </c>
      <c r="AV493" s="32" t="s">
        <v>1225</v>
      </c>
      <c r="AW493" s="32" t="s">
        <v>4626</v>
      </c>
      <c r="AX493" s="32">
        <v>2021</v>
      </c>
      <c r="AY493" s="32">
        <v>9</v>
      </c>
      <c r="AZ493" s="32" t="s">
        <v>1225</v>
      </c>
      <c r="BA493" s="32" t="s">
        <v>1225</v>
      </c>
      <c r="BB493" s="32" t="s">
        <v>1225</v>
      </c>
      <c r="BC493" s="32" t="s">
        <v>1225</v>
      </c>
      <c r="BD493" s="32" t="s">
        <v>1225</v>
      </c>
      <c r="BE493" s="32" t="s">
        <v>1225</v>
      </c>
      <c r="BF493" s="32" t="s">
        <v>1225</v>
      </c>
      <c r="BG493" s="32">
        <v>716389</v>
      </c>
      <c r="BH493" s="32" t="s">
        <v>4627</v>
      </c>
      <c r="BI493" s="32" t="str">
        <f>HYPERLINK("http://dx.doi.org/10.3389/fenrg.2021.716389","http://dx.doi.org/10.3389/fenrg.2021.716389")</f>
        <v>http://dx.doi.org/10.3389/fenrg.2021.716389</v>
      </c>
      <c r="BJ493" s="32" t="s">
        <v>1225</v>
      </c>
      <c r="BK493" s="32" t="s">
        <v>1225</v>
      </c>
      <c r="BL493" s="32" t="s">
        <v>1225</v>
      </c>
      <c r="BM493" s="32" t="s">
        <v>1225</v>
      </c>
      <c r="BN493" s="32" t="s">
        <v>1225</v>
      </c>
      <c r="BO493" s="32" t="s">
        <v>1225</v>
      </c>
      <c r="BP493" s="32" t="s">
        <v>1225</v>
      </c>
      <c r="BQ493" s="32" t="s">
        <v>1225</v>
      </c>
      <c r="BR493" s="32" t="s">
        <v>1225</v>
      </c>
      <c r="BS493" s="32" t="s">
        <v>1225</v>
      </c>
      <c r="BT493" s="32" t="s">
        <v>1225</v>
      </c>
      <c r="BU493" s="32" t="s">
        <v>1225</v>
      </c>
      <c r="BV493" s="32" t="s">
        <v>1225</v>
      </c>
      <c r="BW493" s="32" t="str">
        <f t="shared" si="14"/>
        <v>View Full Record in Web of Science</v>
      </c>
      <c r="BY493" s="41" t="str">
        <f>IF(Deletion!J493=TRUE,"Yes","No")</f>
        <v>Yes</v>
      </c>
    </row>
    <row r="494" spans="1:77" x14ac:dyDescent="0.15">
      <c r="A494" s="32">
        <f t="shared" si="15"/>
        <v>493</v>
      </c>
      <c r="D494" s="32" t="s">
        <v>1223</v>
      </c>
      <c r="E494" s="32" t="s">
        <v>4628</v>
      </c>
      <c r="F494" s="32" t="s">
        <v>1225</v>
      </c>
      <c r="G494" s="32" t="s">
        <v>1225</v>
      </c>
      <c r="H494" s="32" t="s">
        <v>1225</v>
      </c>
      <c r="I494" s="32" t="s">
        <v>4629</v>
      </c>
      <c r="J494" s="32" t="s">
        <v>1225</v>
      </c>
      <c r="K494" s="32" t="s">
        <v>1225</v>
      </c>
      <c r="L494" s="32" t="s">
        <v>4630</v>
      </c>
      <c r="M494" s="32" t="s">
        <v>124</v>
      </c>
      <c r="N494" s="32" t="s">
        <v>1225</v>
      </c>
      <c r="O494" s="32" t="s">
        <v>1225</v>
      </c>
      <c r="P494" s="32" t="s">
        <v>1225</v>
      </c>
      <c r="Q494" s="32" t="s">
        <v>1227</v>
      </c>
      <c r="R494" s="32" t="s">
        <v>1225</v>
      </c>
      <c r="S494" s="32" t="s">
        <v>1225</v>
      </c>
      <c r="T494" s="32" t="s">
        <v>1225</v>
      </c>
      <c r="U494" s="32" t="s">
        <v>1225</v>
      </c>
      <c r="V494" s="32" t="s">
        <v>1225</v>
      </c>
      <c r="W494" s="32" t="s">
        <v>4631</v>
      </c>
      <c r="X494" s="32" t="s">
        <v>4632</v>
      </c>
      <c r="Y494" s="32" t="s">
        <v>4633</v>
      </c>
      <c r="Z494" s="32" t="s">
        <v>1225</v>
      </c>
      <c r="AA494" s="32" t="s">
        <v>1225</v>
      </c>
      <c r="AB494" s="32" t="s">
        <v>1225</v>
      </c>
      <c r="AC494" s="32" t="s">
        <v>1225</v>
      </c>
      <c r="AD494" s="32" t="s">
        <v>1225</v>
      </c>
      <c r="AE494" s="32" t="s">
        <v>1225</v>
      </c>
      <c r="AF494" s="32" t="s">
        <v>1225</v>
      </c>
      <c r="AG494" s="32" t="s">
        <v>1225</v>
      </c>
      <c r="AH494" s="32" t="s">
        <v>1225</v>
      </c>
      <c r="AI494" s="32" t="s">
        <v>1225</v>
      </c>
      <c r="AJ494" s="32" t="s">
        <v>1225</v>
      </c>
      <c r="AK494" s="32" t="s">
        <v>1225</v>
      </c>
      <c r="AL494" s="32" t="s">
        <v>1225</v>
      </c>
      <c r="AM494" s="32" t="s">
        <v>1225</v>
      </c>
      <c r="AN494" s="32" t="s">
        <v>1225</v>
      </c>
      <c r="AO494" s="32" t="s">
        <v>1225</v>
      </c>
      <c r="AP494" s="32" t="s">
        <v>1225</v>
      </c>
      <c r="AQ494" s="32" t="s">
        <v>1225</v>
      </c>
      <c r="AR494" s="32" t="s">
        <v>1225</v>
      </c>
      <c r="AS494" s="32" t="s">
        <v>1225</v>
      </c>
      <c r="AT494" s="32" t="s">
        <v>1225</v>
      </c>
      <c r="AU494" s="32" t="s">
        <v>1225</v>
      </c>
      <c r="AV494" s="32" t="s">
        <v>1225</v>
      </c>
      <c r="AW494" s="32" t="s">
        <v>1285</v>
      </c>
      <c r="AX494" s="32">
        <v>2020</v>
      </c>
      <c r="AY494" s="32">
        <v>11</v>
      </c>
      <c r="AZ494" s="32">
        <v>3</v>
      </c>
      <c r="BA494" s="32" t="s">
        <v>1225</v>
      </c>
      <c r="BB494" s="32" t="s">
        <v>1225</v>
      </c>
      <c r="BC494" s="32" t="s">
        <v>1225</v>
      </c>
      <c r="BD494" s="32" t="s">
        <v>1225</v>
      </c>
      <c r="BE494" s="32">
        <v>1854</v>
      </c>
      <c r="BF494" s="32">
        <v>1865</v>
      </c>
      <c r="BG494" s="32" t="s">
        <v>1225</v>
      </c>
      <c r="BH494" s="32" t="s">
        <v>4634</v>
      </c>
      <c r="BI494" s="32" t="str">
        <f>HYPERLINK("http://dx.doi.org/10.1109/TSG.2019.2943912","http://dx.doi.org/10.1109/TSG.2019.2943912")</f>
        <v>http://dx.doi.org/10.1109/TSG.2019.2943912</v>
      </c>
      <c r="BJ494" s="32" t="s">
        <v>1225</v>
      </c>
      <c r="BK494" s="32" t="s">
        <v>1225</v>
      </c>
      <c r="BL494" s="32" t="s">
        <v>1225</v>
      </c>
      <c r="BM494" s="32" t="s">
        <v>1225</v>
      </c>
      <c r="BN494" s="32" t="s">
        <v>1225</v>
      </c>
      <c r="BO494" s="32" t="s">
        <v>1225</v>
      </c>
      <c r="BP494" s="32" t="s">
        <v>1225</v>
      </c>
      <c r="BQ494" s="32" t="s">
        <v>1225</v>
      </c>
      <c r="BR494" s="32" t="s">
        <v>1225</v>
      </c>
      <c r="BS494" s="32" t="s">
        <v>1225</v>
      </c>
      <c r="BT494" s="32" t="s">
        <v>1225</v>
      </c>
      <c r="BU494" s="32" t="s">
        <v>1225</v>
      </c>
      <c r="BV494" s="32" t="s">
        <v>1225</v>
      </c>
      <c r="BW494" s="32" t="str">
        <f t="shared" si="14"/>
        <v>View Full Record in Web of Science</v>
      </c>
      <c r="BY494" s="41" t="str">
        <f>IF(Deletion!J494=TRUE,"Yes","No")</f>
        <v>Yes</v>
      </c>
    </row>
    <row r="495" spans="1:77" x14ac:dyDescent="0.15">
      <c r="A495" s="32">
        <f t="shared" si="15"/>
        <v>494</v>
      </c>
      <c r="D495" s="32" t="s">
        <v>1223</v>
      </c>
      <c r="E495" s="32" t="s">
        <v>4635</v>
      </c>
      <c r="F495" s="32" t="s">
        <v>1225</v>
      </c>
      <c r="G495" s="32" t="s">
        <v>1225</v>
      </c>
      <c r="H495" s="32" t="s">
        <v>1225</v>
      </c>
      <c r="I495" s="32" t="s">
        <v>4636</v>
      </c>
      <c r="J495" s="32" t="s">
        <v>1225</v>
      </c>
      <c r="K495" s="32" t="s">
        <v>1225</v>
      </c>
      <c r="L495" s="32" t="s">
        <v>4637</v>
      </c>
      <c r="M495" s="32" t="s">
        <v>114</v>
      </c>
      <c r="N495" s="32" t="s">
        <v>1225</v>
      </c>
      <c r="O495" s="32" t="s">
        <v>1225</v>
      </c>
      <c r="P495" s="32" t="s">
        <v>1225</v>
      </c>
      <c r="Q495" s="32" t="s">
        <v>1688</v>
      </c>
      <c r="R495" s="32" t="s">
        <v>1225</v>
      </c>
      <c r="S495" s="32" t="s">
        <v>1225</v>
      </c>
      <c r="T495" s="32" t="s">
        <v>1225</v>
      </c>
      <c r="U495" s="32" t="s">
        <v>1225</v>
      </c>
      <c r="V495" s="32" t="s">
        <v>1225</v>
      </c>
      <c r="W495" s="32" t="s">
        <v>4638</v>
      </c>
      <c r="X495" s="32" t="s">
        <v>4639</v>
      </c>
      <c r="Y495" s="32" t="s">
        <v>4640</v>
      </c>
      <c r="Z495" s="32" t="s">
        <v>1225</v>
      </c>
      <c r="AA495" s="32" t="s">
        <v>1225</v>
      </c>
      <c r="AB495" s="32" t="s">
        <v>1225</v>
      </c>
      <c r="AC495" s="32" t="s">
        <v>1225</v>
      </c>
      <c r="AD495" s="32" t="s">
        <v>1225</v>
      </c>
      <c r="AE495" s="32" t="s">
        <v>1225</v>
      </c>
      <c r="AF495" s="32" t="s">
        <v>1225</v>
      </c>
      <c r="AG495" s="32" t="s">
        <v>1225</v>
      </c>
      <c r="AH495" s="32" t="s">
        <v>1225</v>
      </c>
      <c r="AI495" s="32" t="s">
        <v>1225</v>
      </c>
      <c r="AJ495" s="32" t="s">
        <v>1225</v>
      </c>
      <c r="AK495" s="32" t="s">
        <v>1225</v>
      </c>
      <c r="AL495" s="32" t="s">
        <v>1225</v>
      </c>
      <c r="AM495" s="32" t="s">
        <v>1225</v>
      </c>
      <c r="AN495" s="32" t="s">
        <v>1225</v>
      </c>
      <c r="AO495" s="32" t="s">
        <v>1225</v>
      </c>
      <c r="AP495" s="32" t="s">
        <v>1225</v>
      </c>
      <c r="AQ495" s="32" t="s">
        <v>1225</v>
      </c>
      <c r="AR495" s="32" t="s">
        <v>1225</v>
      </c>
      <c r="AS495" s="32" t="s">
        <v>1225</v>
      </c>
      <c r="AT495" s="32" t="s">
        <v>1225</v>
      </c>
      <c r="AU495" s="32" t="s">
        <v>1225</v>
      </c>
      <c r="AV495" s="32" t="s">
        <v>1225</v>
      </c>
      <c r="AW495" s="32" t="s">
        <v>1225</v>
      </c>
      <c r="AX495" s="32" t="s">
        <v>1225</v>
      </c>
      <c r="AY495" s="32" t="s">
        <v>1225</v>
      </c>
      <c r="AZ495" s="32" t="s">
        <v>1225</v>
      </c>
      <c r="BA495" s="32" t="s">
        <v>1225</v>
      </c>
      <c r="BB495" s="32" t="s">
        <v>1225</v>
      </c>
      <c r="BC495" s="32" t="s">
        <v>1225</v>
      </c>
      <c r="BD495" s="32" t="s">
        <v>1225</v>
      </c>
      <c r="BE495" s="32" t="s">
        <v>1225</v>
      </c>
      <c r="BF495" s="32" t="s">
        <v>1225</v>
      </c>
      <c r="BG495" s="32" t="s">
        <v>1225</v>
      </c>
      <c r="BH495" s="32" t="s">
        <v>4641</v>
      </c>
      <c r="BI495" s="32" t="str">
        <f>HYPERLINK("http://dx.doi.org/10.1109/TITS.2021.3103970","http://dx.doi.org/10.1109/TITS.2021.3103970")</f>
        <v>http://dx.doi.org/10.1109/TITS.2021.3103970</v>
      </c>
      <c r="BJ495" s="32" t="s">
        <v>1225</v>
      </c>
      <c r="BK495" s="32" t="s">
        <v>3335</v>
      </c>
      <c r="BL495" s="32" t="s">
        <v>1225</v>
      </c>
      <c r="BM495" s="32" t="s">
        <v>1225</v>
      </c>
      <c r="BN495" s="32" t="s">
        <v>1225</v>
      </c>
      <c r="BO495" s="32" t="s">
        <v>1225</v>
      </c>
      <c r="BP495" s="32" t="s">
        <v>1225</v>
      </c>
      <c r="BQ495" s="32" t="s">
        <v>1225</v>
      </c>
      <c r="BR495" s="32" t="s">
        <v>1225</v>
      </c>
      <c r="BS495" s="32" t="s">
        <v>1225</v>
      </c>
      <c r="BT495" s="32" t="s">
        <v>1225</v>
      </c>
      <c r="BU495" s="32" t="s">
        <v>1225</v>
      </c>
      <c r="BV495" s="32" t="s">
        <v>1225</v>
      </c>
      <c r="BW495" s="32" t="str">
        <f t="shared" si="14"/>
        <v>View Full Record in Web of Science</v>
      </c>
      <c r="BY495" s="41" t="str">
        <f>IF(Deletion!J495=TRUE,"Yes","No")</f>
        <v>Yes</v>
      </c>
    </row>
    <row r="496" spans="1:77" x14ac:dyDescent="0.15">
      <c r="A496" s="32">
        <f t="shared" si="15"/>
        <v>495</v>
      </c>
      <c r="D496" s="32" t="s">
        <v>1223</v>
      </c>
      <c r="E496" s="32" t="s">
        <v>4642</v>
      </c>
      <c r="F496" s="32" t="s">
        <v>1225</v>
      </c>
      <c r="G496" s="32" t="s">
        <v>1225</v>
      </c>
      <c r="H496" s="32" t="s">
        <v>1225</v>
      </c>
      <c r="I496" s="32" t="s">
        <v>4643</v>
      </c>
      <c r="J496" s="32" t="s">
        <v>1225</v>
      </c>
      <c r="K496" s="32" t="s">
        <v>1225</v>
      </c>
      <c r="L496" s="32" t="s">
        <v>4644</v>
      </c>
      <c r="M496" s="32" t="s">
        <v>882</v>
      </c>
      <c r="N496" s="32" t="s">
        <v>1225</v>
      </c>
      <c r="O496" s="32" t="s">
        <v>1225</v>
      </c>
      <c r="P496" s="32" t="s">
        <v>1225</v>
      </c>
      <c r="Q496" s="32" t="s">
        <v>1227</v>
      </c>
      <c r="R496" s="32" t="s">
        <v>1225</v>
      </c>
      <c r="S496" s="32" t="s">
        <v>1225</v>
      </c>
      <c r="T496" s="32" t="s">
        <v>1225</v>
      </c>
      <c r="U496" s="32" t="s">
        <v>1225</v>
      </c>
      <c r="V496" s="32" t="s">
        <v>1225</v>
      </c>
      <c r="W496" s="32" t="s">
        <v>4645</v>
      </c>
      <c r="X496" s="32" t="s">
        <v>4646</v>
      </c>
      <c r="Y496" s="32" t="s">
        <v>4647</v>
      </c>
      <c r="Z496" s="32" t="s">
        <v>1225</v>
      </c>
      <c r="AA496" s="32" t="s">
        <v>1225</v>
      </c>
      <c r="AB496" s="32" t="s">
        <v>1225</v>
      </c>
      <c r="AC496" s="32" t="s">
        <v>1225</v>
      </c>
      <c r="AD496" s="32" t="s">
        <v>1225</v>
      </c>
      <c r="AE496" s="32" t="s">
        <v>1225</v>
      </c>
      <c r="AF496" s="32" t="s">
        <v>1225</v>
      </c>
      <c r="AG496" s="32" t="s">
        <v>1225</v>
      </c>
      <c r="AH496" s="32" t="s">
        <v>1225</v>
      </c>
      <c r="AI496" s="32" t="s">
        <v>1225</v>
      </c>
      <c r="AJ496" s="32" t="s">
        <v>1225</v>
      </c>
      <c r="AK496" s="32" t="s">
        <v>1225</v>
      </c>
      <c r="AL496" s="32" t="s">
        <v>1225</v>
      </c>
      <c r="AM496" s="32" t="s">
        <v>1225</v>
      </c>
      <c r="AN496" s="32" t="s">
        <v>1225</v>
      </c>
      <c r="AO496" s="32" t="s">
        <v>1225</v>
      </c>
      <c r="AP496" s="32" t="s">
        <v>1225</v>
      </c>
      <c r="AQ496" s="32" t="s">
        <v>1225</v>
      </c>
      <c r="AR496" s="32" t="s">
        <v>1225</v>
      </c>
      <c r="AS496" s="32" t="s">
        <v>1225</v>
      </c>
      <c r="AT496" s="32" t="s">
        <v>1225</v>
      </c>
      <c r="AU496" s="32" t="s">
        <v>1225</v>
      </c>
      <c r="AV496" s="32" t="s">
        <v>1225</v>
      </c>
      <c r="AW496" s="32" t="s">
        <v>4648</v>
      </c>
      <c r="AX496" s="32">
        <v>2020</v>
      </c>
      <c r="AY496" s="32">
        <v>14</v>
      </c>
      <c r="AZ496" s="32">
        <v>17</v>
      </c>
      <c r="BA496" s="32" t="s">
        <v>1225</v>
      </c>
      <c r="BB496" s="32" t="s">
        <v>1225</v>
      </c>
      <c r="BC496" s="32" t="s">
        <v>1225</v>
      </c>
      <c r="BD496" s="32" t="s">
        <v>1225</v>
      </c>
      <c r="BE496" s="32">
        <v>3444</v>
      </c>
      <c r="BF496" s="32">
        <v>3457</v>
      </c>
      <c r="BG496" s="32" t="s">
        <v>1225</v>
      </c>
      <c r="BH496" s="32" t="s">
        <v>4649</v>
      </c>
      <c r="BI496" s="32" t="str">
        <f>HYPERLINK("http://dx.doi.org/10.1049/iet-gtd.2020.0415","http://dx.doi.org/10.1049/iet-gtd.2020.0415")</f>
        <v>http://dx.doi.org/10.1049/iet-gtd.2020.0415</v>
      </c>
      <c r="BJ496" s="32" t="s">
        <v>1225</v>
      </c>
      <c r="BK496" s="32" t="s">
        <v>1225</v>
      </c>
      <c r="BL496" s="32" t="s">
        <v>1225</v>
      </c>
      <c r="BM496" s="32" t="s">
        <v>1225</v>
      </c>
      <c r="BN496" s="32" t="s">
        <v>1225</v>
      </c>
      <c r="BO496" s="32" t="s">
        <v>1225</v>
      </c>
      <c r="BP496" s="32" t="s">
        <v>1225</v>
      </c>
      <c r="BQ496" s="32" t="s">
        <v>1225</v>
      </c>
      <c r="BR496" s="32" t="s">
        <v>1225</v>
      </c>
      <c r="BS496" s="32" t="s">
        <v>1225</v>
      </c>
      <c r="BT496" s="32" t="s">
        <v>1225</v>
      </c>
      <c r="BU496" s="32" t="s">
        <v>1225</v>
      </c>
      <c r="BV496" s="32" t="s">
        <v>1225</v>
      </c>
      <c r="BW496" s="32" t="str">
        <f t="shared" si="14"/>
        <v>View Full Record in Web of Science</v>
      </c>
      <c r="BY496" s="41" t="str">
        <f>IF(Deletion!J496=TRUE,"Yes","No")</f>
        <v>Yes</v>
      </c>
    </row>
    <row r="497" spans="1:77" x14ac:dyDescent="0.15">
      <c r="A497" s="32">
        <f t="shared" si="15"/>
        <v>496</v>
      </c>
      <c r="D497" s="32" t="s">
        <v>1223</v>
      </c>
      <c r="E497" s="32" t="s">
        <v>4650</v>
      </c>
      <c r="F497" s="32" t="s">
        <v>1225</v>
      </c>
      <c r="G497" s="32" t="s">
        <v>1225</v>
      </c>
      <c r="H497" s="32" t="s">
        <v>1225</v>
      </c>
      <c r="I497" s="32" t="s">
        <v>4651</v>
      </c>
      <c r="J497" s="32" t="s">
        <v>1225</v>
      </c>
      <c r="K497" s="32" t="s">
        <v>1225</v>
      </c>
      <c r="L497" s="32" t="s">
        <v>4652</v>
      </c>
      <c r="M497" s="32" t="s">
        <v>3431</v>
      </c>
      <c r="N497" s="32" t="s">
        <v>1225</v>
      </c>
      <c r="O497" s="32" t="s">
        <v>1225</v>
      </c>
      <c r="P497" s="32" t="s">
        <v>1225</v>
      </c>
      <c r="Q497" s="32" t="s">
        <v>1227</v>
      </c>
      <c r="R497" s="32" t="s">
        <v>1225</v>
      </c>
      <c r="S497" s="32" t="s">
        <v>1225</v>
      </c>
      <c r="T497" s="32" t="s">
        <v>1225</v>
      </c>
      <c r="U497" s="32" t="s">
        <v>1225</v>
      </c>
      <c r="V497" s="32" t="s">
        <v>1225</v>
      </c>
      <c r="W497" s="32" t="s">
        <v>4653</v>
      </c>
      <c r="X497" s="32" t="s">
        <v>3001</v>
      </c>
      <c r="Y497" s="32" t="s">
        <v>4654</v>
      </c>
      <c r="Z497" s="32" t="s">
        <v>1225</v>
      </c>
      <c r="AA497" s="32" t="s">
        <v>1225</v>
      </c>
      <c r="AB497" s="32" t="s">
        <v>1225</v>
      </c>
      <c r="AC497" s="32" t="s">
        <v>1225</v>
      </c>
      <c r="AD497" s="32" t="s">
        <v>1225</v>
      </c>
      <c r="AE497" s="32" t="s">
        <v>1225</v>
      </c>
      <c r="AF497" s="32" t="s">
        <v>1225</v>
      </c>
      <c r="AG497" s="32" t="s">
        <v>1225</v>
      </c>
      <c r="AH497" s="32" t="s">
        <v>1225</v>
      </c>
      <c r="AI497" s="32" t="s">
        <v>1225</v>
      </c>
      <c r="AJ497" s="32" t="s">
        <v>1225</v>
      </c>
      <c r="AK497" s="32" t="s">
        <v>1225</v>
      </c>
      <c r="AL497" s="32" t="s">
        <v>1225</v>
      </c>
      <c r="AM497" s="32" t="s">
        <v>1225</v>
      </c>
      <c r="AN497" s="32" t="s">
        <v>1225</v>
      </c>
      <c r="AO497" s="32" t="s">
        <v>1225</v>
      </c>
      <c r="AP497" s="32" t="s">
        <v>1225</v>
      </c>
      <c r="AQ497" s="32" t="s">
        <v>1225</v>
      </c>
      <c r="AR497" s="32" t="s">
        <v>1225</v>
      </c>
      <c r="AS497" s="32" t="s">
        <v>1225</v>
      </c>
      <c r="AT497" s="32" t="s">
        <v>1225</v>
      </c>
      <c r="AU497" s="32" t="s">
        <v>1225</v>
      </c>
      <c r="AV497" s="32" t="s">
        <v>1225</v>
      </c>
      <c r="AW497" s="32" t="s">
        <v>4655</v>
      </c>
      <c r="AX497" s="32">
        <v>2017</v>
      </c>
      <c r="AY497" s="32">
        <v>2</v>
      </c>
      <c r="AZ497" s="32">
        <v>1</v>
      </c>
      <c r="BA497" s="32" t="s">
        <v>1225</v>
      </c>
      <c r="BB497" s="32" t="s">
        <v>1225</v>
      </c>
      <c r="BC497" s="32" t="s">
        <v>1225</v>
      </c>
      <c r="BD497" s="32" t="s">
        <v>1225</v>
      </c>
      <c r="BE497" s="32" t="s">
        <v>1225</v>
      </c>
      <c r="BF497" s="32" t="s">
        <v>1225</v>
      </c>
      <c r="BG497" s="32">
        <v>34</v>
      </c>
      <c r="BH497" s="32" t="s">
        <v>4656</v>
      </c>
      <c r="BI497" s="32" t="str">
        <f>HYPERLINK("http://dx.doi.org/10.1186/s41601-017-0065-x","http://dx.doi.org/10.1186/s41601-017-0065-x")</f>
        <v>http://dx.doi.org/10.1186/s41601-017-0065-x</v>
      </c>
      <c r="BJ497" s="32" t="s">
        <v>1225</v>
      </c>
      <c r="BK497" s="32" t="s">
        <v>1225</v>
      </c>
      <c r="BL497" s="32" t="s">
        <v>1225</v>
      </c>
      <c r="BM497" s="32" t="s">
        <v>1225</v>
      </c>
      <c r="BN497" s="32" t="s">
        <v>1225</v>
      </c>
      <c r="BO497" s="32" t="s">
        <v>1225</v>
      </c>
      <c r="BP497" s="32" t="s">
        <v>1225</v>
      </c>
      <c r="BQ497" s="32" t="s">
        <v>1225</v>
      </c>
      <c r="BR497" s="32" t="s">
        <v>1225</v>
      </c>
      <c r="BS497" s="32" t="s">
        <v>1225</v>
      </c>
      <c r="BT497" s="32" t="s">
        <v>1225</v>
      </c>
      <c r="BU497" s="32" t="s">
        <v>1225</v>
      </c>
      <c r="BV497" s="32" t="s">
        <v>1225</v>
      </c>
      <c r="BW497" s="32" t="str">
        <f t="shared" si="14"/>
        <v>View Full Record in Web of Science</v>
      </c>
      <c r="BY497" s="41" t="str">
        <f>IF(Deletion!J497=TRUE,"Yes","No")</f>
        <v>Yes</v>
      </c>
    </row>
    <row r="498" spans="1:77" x14ac:dyDescent="0.15">
      <c r="A498" s="32">
        <f t="shared" si="15"/>
        <v>497</v>
      </c>
      <c r="D498" s="32" t="s">
        <v>1223</v>
      </c>
      <c r="E498" s="32" t="s">
        <v>4657</v>
      </c>
      <c r="F498" s="32" t="s">
        <v>1225</v>
      </c>
      <c r="G498" s="32" t="s">
        <v>1225</v>
      </c>
      <c r="H498" s="32" t="s">
        <v>1225</v>
      </c>
      <c r="I498" s="32" t="s">
        <v>4658</v>
      </c>
      <c r="J498" s="32" t="s">
        <v>1225</v>
      </c>
      <c r="K498" s="32" t="s">
        <v>1225</v>
      </c>
      <c r="L498" s="32" t="s">
        <v>4659</v>
      </c>
      <c r="M498" s="32" t="s">
        <v>882</v>
      </c>
      <c r="N498" s="32" t="s">
        <v>1225</v>
      </c>
      <c r="O498" s="32" t="s">
        <v>1225</v>
      </c>
      <c r="P498" s="32" t="s">
        <v>1225</v>
      </c>
      <c r="Q498" s="32" t="s">
        <v>1227</v>
      </c>
      <c r="R498" s="32" t="s">
        <v>1225</v>
      </c>
      <c r="S498" s="32" t="s">
        <v>1225</v>
      </c>
      <c r="T498" s="32" t="s">
        <v>1225</v>
      </c>
      <c r="U498" s="32" t="s">
        <v>1225</v>
      </c>
      <c r="V498" s="32" t="s">
        <v>1225</v>
      </c>
      <c r="W498" s="32" t="s">
        <v>4660</v>
      </c>
      <c r="X498" s="32" t="s">
        <v>4661</v>
      </c>
      <c r="Y498" s="32" t="s">
        <v>4662</v>
      </c>
      <c r="Z498" s="32" t="s">
        <v>1225</v>
      </c>
      <c r="AA498" s="32" t="s">
        <v>1225</v>
      </c>
      <c r="AB498" s="32" t="s">
        <v>1225</v>
      </c>
      <c r="AC498" s="32" t="s">
        <v>1225</v>
      </c>
      <c r="AD498" s="32" t="s">
        <v>1225</v>
      </c>
      <c r="AE498" s="32" t="s">
        <v>1225</v>
      </c>
      <c r="AF498" s="32" t="s">
        <v>1225</v>
      </c>
      <c r="AG498" s="32" t="s">
        <v>1225</v>
      </c>
      <c r="AH498" s="32" t="s">
        <v>1225</v>
      </c>
      <c r="AI498" s="32" t="s">
        <v>1225</v>
      </c>
      <c r="AJ498" s="32" t="s">
        <v>1225</v>
      </c>
      <c r="AK498" s="32" t="s">
        <v>1225</v>
      </c>
      <c r="AL498" s="32" t="s">
        <v>1225</v>
      </c>
      <c r="AM498" s="32" t="s">
        <v>1225</v>
      </c>
      <c r="AN498" s="32" t="s">
        <v>1225</v>
      </c>
      <c r="AO498" s="32" t="s">
        <v>1225</v>
      </c>
      <c r="AP498" s="32" t="s">
        <v>1225</v>
      </c>
      <c r="AQ498" s="32" t="s">
        <v>1225</v>
      </c>
      <c r="AR498" s="32" t="s">
        <v>1225</v>
      </c>
      <c r="AS498" s="32" t="s">
        <v>1225</v>
      </c>
      <c r="AT498" s="32" t="s">
        <v>1225</v>
      </c>
      <c r="AU498" s="32" t="s">
        <v>1225</v>
      </c>
      <c r="AV498" s="32" t="s">
        <v>1225</v>
      </c>
      <c r="AW498" s="32" t="s">
        <v>3923</v>
      </c>
      <c r="AX498" s="32">
        <v>2019</v>
      </c>
      <c r="AY498" s="32">
        <v>13</v>
      </c>
      <c r="AZ498" s="32">
        <v>13</v>
      </c>
      <c r="BA498" s="32" t="s">
        <v>1225</v>
      </c>
      <c r="BB498" s="32" t="s">
        <v>1225</v>
      </c>
      <c r="BC498" s="32" t="s">
        <v>1225</v>
      </c>
      <c r="BD498" s="32" t="s">
        <v>1225</v>
      </c>
      <c r="BE498" s="32">
        <v>2761</v>
      </c>
      <c r="BF498" s="32">
        <v>2769</v>
      </c>
      <c r="BG498" s="32" t="s">
        <v>1225</v>
      </c>
      <c r="BH498" s="32" t="s">
        <v>4663</v>
      </c>
      <c r="BI498" s="32" t="str">
        <f>HYPERLINK("http://dx.doi.org/10.1049/iet-gtd.2018.6831","http://dx.doi.org/10.1049/iet-gtd.2018.6831")</f>
        <v>http://dx.doi.org/10.1049/iet-gtd.2018.6831</v>
      </c>
      <c r="BJ498" s="32" t="s">
        <v>1225</v>
      </c>
      <c r="BK498" s="32" t="s">
        <v>1225</v>
      </c>
      <c r="BL498" s="32" t="s">
        <v>1225</v>
      </c>
      <c r="BM498" s="32" t="s">
        <v>1225</v>
      </c>
      <c r="BN498" s="32" t="s">
        <v>1225</v>
      </c>
      <c r="BO498" s="32" t="s">
        <v>1225</v>
      </c>
      <c r="BP498" s="32" t="s">
        <v>1225</v>
      </c>
      <c r="BQ498" s="32" t="s">
        <v>1225</v>
      </c>
      <c r="BR498" s="32" t="s">
        <v>1225</v>
      </c>
      <c r="BS498" s="32" t="s">
        <v>1225</v>
      </c>
      <c r="BT498" s="32" t="s">
        <v>1225</v>
      </c>
      <c r="BU498" s="32" t="s">
        <v>1225</v>
      </c>
      <c r="BV498" s="32" t="s">
        <v>1225</v>
      </c>
      <c r="BW498" s="32" t="str">
        <f t="shared" si="14"/>
        <v>View Full Record in Web of Science</v>
      </c>
      <c r="BY498" s="41" t="str">
        <f>IF(Deletion!J498=TRUE,"Yes","No")</f>
        <v>Yes</v>
      </c>
    </row>
    <row r="499" spans="1:77" x14ac:dyDescent="0.15">
      <c r="A499" s="34">
        <f t="shared" si="15"/>
        <v>498</v>
      </c>
      <c r="B499" s="34" t="s">
        <v>4</v>
      </c>
      <c r="C499" s="34" t="s">
        <v>4</v>
      </c>
      <c r="D499" s="34" t="s">
        <v>1223</v>
      </c>
      <c r="E499" s="34" t="s">
        <v>4664</v>
      </c>
      <c r="F499" s="32" t="s">
        <v>1225</v>
      </c>
      <c r="G499" s="32" t="s">
        <v>1225</v>
      </c>
      <c r="H499" s="32" t="s">
        <v>1225</v>
      </c>
      <c r="I499" s="34" t="s">
        <v>4665</v>
      </c>
      <c r="J499" s="32" t="s">
        <v>1225</v>
      </c>
      <c r="K499" s="32" t="s">
        <v>1225</v>
      </c>
      <c r="L499" s="34" t="s">
        <v>4666</v>
      </c>
      <c r="M499" s="34" t="s">
        <v>4667</v>
      </c>
      <c r="N499" s="32" t="s">
        <v>1225</v>
      </c>
      <c r="O499" s="32" t="s">
        <v>1225</v>
      </c>
      <c r="P499" s="32" t="s">
        <v>1225</v>
      </c>
      <c r="Q499" s="34" t="s">
        <v>1227</v>
      </c>
      <c r="R499" s="32" t="s">
        <v>1225</v>
      </c>
      <c r="S499" s="32" t="s">
        <v>1225</v>
      </c>
      <c r="T499" s="32" t="s">
        <v>1225</v>
      </c>
      <c r="U499" s="32" t="s">
        <v>1225</v>
      </c>
      <c r="V499" s="32" t="s">
        <v>1225</v>
      </c>
      <c r="W499" s="34" t="s">
        <v>4668</v>
      </c>
      <c r="X499" s="34" t="s">
        <v>2731</v>
      </c>
      <c r="Y499" s="34" t="s">
        <v>4669</v>
      </c>
      <c r="Z499" s="32" t="s">
        <v>1225</v>
      </c>
      <c r="AA499" s="32" t="s">
        <v>1225</v>
      </c>
      <c r="AB499" s="32" t="s">
        <v>1225</v>
      </c>
      <c r="AC499" s="32" t="s">
        <v>1225</v>
      </c>
      <c r="AD499" s="32" t="s">
        <v>1225</v>
      </c>
      <c r="AE499" s="32" t="s">
        <v>1225</v>
      </c>
      <c r="AF499" s="32" t="s">
        <v>1225</v>
      </c>
      <c r="AG499" s="32" t="s">
        <v>1225</v>
      </c>
      <c r="AH499" s="32" t="s">
        <v>1225</v>
      </c>
      <c r="AI499" s="32" t="s">
        <v>1225</v>
      </c>
      <c r="AJ499" s="32" t="s">
        <v>1225</v>
      </c>
      <c r="AK499" s="32" t="s">
        <v>1225</v>
      </c>
      <c r="AL499" s="32" t="s">
        <v>1225</v>
      </c>
      <c r="AM499" s="32" t="s">
        <v>1225</v>
      </c>
      <c r="AN499" s="32" t="s">
        <v>1225</v>
      </c>
      <c r="AO499" s="32" t="s">
        <v>1225</v>
      </c>
      <c r="AP499" s="32" t="s">
        <v>1225</v>
      </c>
      <c r="AQ499" s="32" t="s">
        <v>1225</v>
      </c>
      <c r="AR499" s="32" t="s">
        <v>1225</v>
      </c>
      <c r="AS499" s="32" t="s">
        <v>1225</v>
      </c>
      <c r="AT499" s="32" t="s">
        <v>1225</v>
      </c>
      <c r="AU499" s="32" t="s">
        <v>1225</v>
      </c>
      <c r="AV499" s="32" t="s">
        <v>1225</v>
      </c>
      <c r="AW499" s="34" t="s">
        <v>1225</v>
      </c>
      <c r="AX499" s="34">
        <v>2021</v>
      </c>
      <c r="AY499" s="32">
        <v>13</v>
      </c>
      <c r="AZ499" s="32" t="s">
        <v>4104</v>
      </c>
      <c r="BA499" s="32" t="s">
        <v>1225</v>
      </c>
      <c r="BB499" s="32" t="s">
        <v>1225</v>
      </c>
      <c r="BC499" s="32" t="s">
        <v>1225</v>
      </c>
      <c r="BD499" s="32" t="s">
        <v>1225</v>
      </c>
      <c r="BE499" s="32">
        <v>240</v>
      </c>
      <c r="BF499" s="32">
        <v>255</v>
      </c>
      <c r="BG499" s="32" t="s">
        <v>1225</v>
      </c>
      <c r="BH499" s="34" t="s">
        <v>1225</v>
      </c>
      <c r="BI499" s="34" t="s">
        <v>1225</v>
      </c>
      <c r="BJ499" s="32" t="s">
        <v>1225</v>
      </c>
      <c r="BK499" s="32" t="s">
        <v>1225</v>
      </c>
      <c r="BL499" s="32" t="s">
        <v>1225</v>
      </c>
      <c r="BM499" s="32" t="s">
        <v>1225</v>
      </c>
      <c r="BN499" s="32" t="s">
        <v>1225</v>
      </c>
      <c r="BO499" s="32" t="s">
        <v>1225</v>
      </c>
      <c r="BP499" s="32" t="s">
        <v>1225</v>
      </c>
      <c r="BQ499" s="32" t="s">
        <v>1225</v>
      </c>
      <c r="BR499" s="32" t="s">
        <v>1225</v>
      </c>
      <c r="BS499" s="32" t="s">
        <v>1225</v>
      </c>
      <c r="BT499" s="32" t="s">
        <v>1225</v>
      </c>
      <c r="BU499" s="32" t="s">
        <v>1225</v>
      </c>
      <c r="BV499" s="32" t="s">
        <v>1225</v>
      </c>
      <c r="BW499" s="32" t="str">
        <f t="shared" si="14"/>
        <v>View Full Record in Web of Science</v>
      </c>
      <c r="BY499" s="41" t="str">
        <f>IF(Deletion!J499=TRUE,"Yes","No")</f>
        <v>No</v>
      </c>
    </row>
    <row r="500" spans="1:77" x14ac:dyDescent="0.15">
      <c r="A500" s="32">
        <f t="shared" si="15"/>
        <v>499</v>
      </c>
      <c r="D500" s="32" t="s">
        <v>1223</v>
      </c>
      <c r="E500" s="32" t="s">
        <v>4670</v>
      </c>
      <c r="F500" s="32" t="s">
        <v>1225</v>
      </c>
      <c r="G500" s="32" t="s">
        <v>1225</v>
      </c>
      <c r="H500" s="32" t="s">
        <v>1225</v>
      </c>
      <c r="I500" s="32" t="s">
        <v>4671</v>
      </c>
      <c r="J500" s="32" t="s">
        <v>1225</v>
      </c>
      <c r="K500" s="32" t="s">
        <v>1225</v>
      </c>
      <c r="L500" s="32" t="s">
        <v>4672</v>
      </c>
      <c r="M500" s="32" t="s">
        <v>1986</v>
      </c>
      <c r="N500" s="32" t="s">
        <v>1225</v>
      </c>
      <c r="O500" s="32" t="s">
        <v>1225</v>
      </c>
      <c r="P500" s="32" t="s">
        <v>1225</v>
      </c>
      <c r="Q500" s="32" t="s">
        <v>1227</v>
      </c>
      <c r="R500" s="32" t="s">
        <v>1225</v>
      </c>
      <c r="S500" s="32" t="s">
        <v>1225</v>
      </c>
      <c r="T500" s="32" t="s">
        <v>1225</v>
      </c>
      <c r="U500" s="32" t="s">
        <v>1225</v>
      </c>
      <c r="V500" s="32" t="s">
        <v>1225</v>
      </c>
      <c r="W500" s="32" t="s">
        <v>4673</v>
      </c>
      <c r="X500" s="32" t="s">
        <v>1225</v>
      </c>
      <c r="Y500" s="32" t="s">
        <v>4674</v>
      </c>
      <c r="Z500" s="32" t="s">
        <v>1225</v>
      </c>
      <c r="AA500" s="32" t="s">
        <v>1225</v>
      </c>
      <c r="AB500" s="32" t="s">
        <v>1225</v>
      </c>
      <c r="AC500" s="32" t="s">
        <v>1225</v>
      </c>
      <c r="AD500" s="32" t="s">
        <v>1225</v>
      </c>
      <c r="AE500" s="32" t="s">
        <v>1225</v>
      </c>
      <c r="AF500" s="32" t="s">
        <v>1225</v>
      </c>
      <c r="AG500" s="32" t="s">
        <v>1225</v>
      </c>
      <c r="AH500" s="32" t="s">
        <v>1225</v>
      </c>
      <c r="AI500" s="32" t="s">
        <v>1225</v>
      </c>
      <c r="AJ500" s="32" t="s">
        <v>1225</v>
      </c>
      <c r="AK500" s="32" t="s">
        <v>1225</v>
      </c>
      <c r="AL500" s="32" t="s">
        <v>1225</v>
      </c>
      <c r="AM500" s="32" t="s">
        <v>1225</v>
      </c>
      <c r="AN500" s="32" t="s">
        <v>1225</v>
      </c>
      <c r="AO500" s="32" t="s">
        <v>1225</v>
      </c>
      <c r="AP500" s="32" t="s">
        <v>1225</v>
      </c>
      <c r="AQ500" s="32" t="s">
        <v>1225</v>
      </c>
      <c r="AR500" s="32" t="s">
        <v>1225</v>
      </c>
      <c r="AS500" s="32" t="s">
        <v>1225</v>
      </c>
      <c r="AT500" s="32" t="s">
        <v>1225</v>
      </c>
      <c r="AU500" s="32" t="s">
        <v>1225</v>
      </c>
      <c r="AV500" s="32" t="s">
        <v>1225</v>
      </c>
      <c r="AW500" s="32" t="s">
        <v>4675</v>
      </c>
      <c r="AX500" s="32">
        <v>2013</v>
      </c>
      <c r="AY500" s="32">
        <v>88</v>
      </c>
      <c r="AZ500" s="32">
        <v>6</v>
      </c>
      <c r="BA500" s="32" t="s">
        <v>1225</v>
      </c>
      <c r="BB500" s="32" t="s">
        <v>1225</v>
      </c>
      <c r="BC500" s="32" t="s">
        <v>1225</v>
      </c>
      <c r="BD500" s="32" t="s">
        <v>1225</v>
      </c>
      <c r="BE500" s="32">
        <v>644</v>
      </c>
      <c r="BF500" s="32">
        <v>651</v>
      </c>
      <c r="BG500" s="32" t="s">
        <v>1225</v>
      </c>
      <c r="BH500" s="32" t="s">
        <v>4676</v>
      </c>
      <c r="BI500" s="32" t="str">
        <f>HYPERLINK("http://dx.doi.org/10.6036/5788","http://dx.doi.org/10.6036/5788")</f>
        <v>http://dx.doi.org/10.6036/5788</v>
      </c>
      <c r="BJ500" s="32" t="s">
        <v>1225</v>
      </c>
      <c r="BK500" s="32" t="s">
        <v>1225</v>
      </c>
      <c r="BL500" s="32" t="s">
        <v>1225</v>
      </c>
      <c r="BM500" s="32" t="s">
        <v>1225</v>
      </c>
      <c r="BN500" s="32" t="s">
        <v>1225</v>
      </c>
      <c r="BO500" s="32" t="s">
        <v>1225</v>
      </c>
      <c r="BP500" s="32" t="s">
        <v>1225</v>
      </c>
      <c r="BQ500" s="32" t="s">
        <v>1225</v>
      </c>
      <c r="BR500" s="32" t="s">
        <v>1225</v>
      </c>
      <c r="BS500" s="32" t="s">
        <v>1225</v>
      </c>
      <c r="BT500" s="32" t="s">
        <v>1225</v>
      </c>
      <c r="BU500" s="32" t="s">
        <v>1225</v>
      </c>
      <c r="BV500" s="32" t="s">
        <v>1225</v>
      </c>
      <c r="BW500" s="32" t="str">
        <f t="shared" si="14"/>
        <v>View Full Record in Web of Science</v>
      </c>
      <c r="BY500" s="41" t="str">
        <f>IF(Deletion!J500=TRUE,"Yes","No")</f>
        <v>Yes</v>
      </c>
    </row>
    <row r="501" spans="1:77" x14ac:dyDescent="0.15">
      <c r="A501" s="34">
        <f t="shared" si="15"/>
        <v>500</v>
      </c>
      <c r="B501" s="34" t="s">
        <v>4</v>
      </c>
      <c r="C501" s="34" t="s">
        <v>4</v>
      </c>
      <c r="D501" s="34" t="s">
        <v>1223</v>
      </c>
      <c r="E501" s="34" t="s">
        <v>4677</v>
      </c>
      <c r="F501" s="32" t="s">
        <v>1225</v>
      </c>
      <c r="G501" s="32" t="s">
        <v>1225</v>
      </c>
      <c r="H501" s="32" t="s">
        <v>1225</v>
      </c>
      <c r="I501" s="34" t="s">
        <v>4678</v>
      </c>
      <c r="J501" s="32" t="s">
        <v>1225</v>
      </c>
      <c r="K501" s="32" t="s">
        <v>1225</v>
      </c>
      <c r="L501" s="34" t="s">
        <v>4679</v>
      </c>
      <c r="M501" s="34" t="s">
        <v>4680</v>
      </c>
      <c r="N501" s="32" t="s">
        <v>1225</v>
      </c>
      <c r="O501" s="32" t="s">
        <v>1225</v>
      </c>
      <c r="P501" s="32" t="s">
        <v>1225</v>
      </c>
      <c r="Q501" s="34" t="s">
        <v>1227</v>
      </c>
      <c r="R501" s="32" t="s">
        <v>1225</v>
      </c>
      <c r="S501" s="32" t="s">
        <v>1225</v>
      </c>
      <c r="T501" s="32" t="s">
        <v>1225</v>
      </c>
      <c r="U501" s="32" t="s">
        <v>1225</v>
      </c>
      <c r="V501" s="32" t="s">
        <v>1225</v>
      </c>
      <c r="W501" s="34" t="s">
        <v>4681</v>
      </c>
      <c r="X501" s="34" t="s">
        <v>1259</v>
      </c>
      <c r="Y501" s="34" t="s">
        <v>4682</v>
      </c>
      <c r="Z501" s="32" t="s">
        <v>1225</v>
      </c>
      <c r="AA501" s="32" t="s">
        <v>1225</v>
      </c>
      <c r="AB501" s="32" t="s">
        <v>1225</v>
      </c>
      <c r="AC501" s="32" t="s">
        <v>1225</v>
      </c>
      <c r="AD501" s="32" t="s">
        <v>1225</v>
      </c>
      <c r="AE501" s="32" t="s">
        <v>1225</v>
      </c>
      <c r="AF501" s="32" t="s">
        <v>1225</v>
      </c>
      <c r="AG501" s="32" t="s">
        <v>1225</v>
      </c>
      <c r="AH501" s="32" t="s">
        <v>1225</v>
      </c>
      <c r="AI501" s="32" t="s">
        <v>1225</v>
      </c>
      <c r="AJ501" s="32" t="s">
        <v>1225</v>
      </c>
      <c r="AK501" s="32" t="s">
        <v>1225</v>
      </c>
      <c r="AL501" s="32" t="s">
        <v>1225</v>
      </c>
      <c r="AM501" s="32" t="s">
        <v>1225</v>
      </c>
      <c r="AN501" s="32" t="s">
        <v>1225</v>
      </c>
      <c r="AO501" s="32" t="s">
        <v>1225</v>
      </c>
      <c r="AP501" s="32" t="s">
        <v>1225</v>
      </c>
      <c r="AQ501" s="32" t="s">
        <v>1225</v>
      </c>
      <c r="AR501" s="32" t="s">
        <v>1225</v>
      </c>
      <c r="AS501" s="32" t="s">
        <v>1225</v>
      </c>
      <c r="AT501" s="32" t="s">
        <v>1225</v>
      </c>
      <c r="AU501" s="32" t="s">
        <v>1225</v>
      </c>
      <c r="AV501" s="32" t="s">
        <v>1225</v>
      </c>
      <c r="AW501" s="34" t="s">
        <v>4683</v>
      </c>
      <c r="AX501" s="34">
        <v>2021</v>
      </c>
      <c r="AY501" s="32">
        <v>8</v>
      </c>
      <c r="AZ501" s="32">
        <v>3</v>
      </c>
      <c r="BA501" s="32" t="s">
        <v>1225</v>
      </c>
      <c r="BB501" s="32" t="s">
        <v>1225</v>
      </c>
      <c r="BC501" s="32" t="s">
        <v>1225</v>
      </c>
      <c r="BD501" s="32" t="s">
        <v>1225</v>
      </c>
      <c r="BE501" s="32">
        <v>2355</v>
      </c>
      <c r="BF501" s="32">
        <v>2371</v>
      </c>
      <c r="BG501" s="32" t="s">
        <v>1225</v>
      </c>
      <c r="BH501" s="34" t="s">
        <v>4684</v>
      </c>
      <c r="BI501" s="34" t="str">
        <f>HYPERLINK("http://dx.doi.org/10.1109/TNSE.2021.3091763","http://dx.doi.org/10.1109/TNSE.2021.3091763")</f>
        <v>http://dx.doi.org/10.1109/TNSE.2021.3091763</v>
      </c>
      <c r="BJ501" s="32" t="s">
        <v>1225</v>
      </c>
      <c r="BK501" s="32" t="s">
        <v>1225</v>
      </c>
      <c r="BL501" s="32" t="s">
        <v>1225</v>
      </c>
      <c r="BM501" s="32" t="s">
        <v>1225</v>
      </c>
      <c r="BN501" s="32" t="s">
        <v>1225</v>
      </c>
      <c r="BO501" s="32" t="s">
        <v>1225</v>
      </c>
      <c r="BP501" s="32" t="s">
        <v>1225</v>
      </c>
      <c r="BQ501" s="32" t="s">
        <v>1225</v>
      </c>
      <c r="BR501" s="32" t="s">
        <v>1225</v>
      </c>
      <c r="BS501" s="32" t="s">
        <v>1225</v>
      </c>
      <c r="BT501" s="32" t="s">
        <v>1225</v>
      </c>
      <c r="BU501" s="32" t="s">
        <v>1225</v>
      </c>
      <c r="BV501" s="32" t="s">
        <v>1225</v>
      </c>
      <c r="BW501" s="32" t="str">
        <f t="shared" si="14"/>
        <v>View Full Record in Web of Science</v>
      </c>
      <c r="BY501" s="41" t="str">
        <f>IF(Deletion!J501=TRUE,"Yes","No")</f>
        <v>No</v>
      </c>
    </row>
    <row r="502" spans="1:77" x14ac:dyDescent="0.15">
      <c r="A502" s="34">
        <f t="shared" si="15"/>
        <v>501</v>
      </c>
      <c r="B502" s="34" t="s">
        <v>4</v>
      </c>
      <c r="C502" s="34" t="s">
        <v>4</v>
      </c>
      <c r="D502" s="34" t="s">
        <v>1223</v>
      </c>
      <c r="E502" s="34" t="s">
        <v>4685</v>
      </c>
      <c r="F502" s="32" t="s">
        <v>1225</v>
      </c>
      <c r="G502" s="32" t="s">
        <v>1225</v>
      </c>
      <c r="H502" s="32" t="s">
        <v>1225</v>
      </c>
      <c r="I502" s="34" t="s">
        <v>4686</v>
      </c>
      <c r="J502" s="32" t="s">
        <v>1225</v>
      </c>
      <c r="K502" s="32" t="s">
        <v>1225</v>
      </c>
      <c r="L502" s="34" t="s">
        <v>4687</v>
      </c>
      <c r="M502" s="34" t="s">
        <v>4688</v>
      </c>
      <c r="N502" s="32" t="s">
        <v>1225</v>
      </c>
      <c r="O502" s="32" t="s">
        <v>1225</v>
      </c>
      <c r="P502" s="32" t="s">
        <v>1225</v>
      </c>
      <c r="Q502" s="34" t="s">
        <v>1227</v>
      </c>
      <c r="R502" s="32" t="s">
        <v>1225</v>
      </c>
      <c r="S502" s="32" t="s">
        <v>1225</v>
      </c>
      <c r="T502" s="32" t="s">
        <v>1225</v>
      </c>
      <c r="U502" s="32" t="s">
        <v>1225</v>
      </c>
      <c r="V502" s="32" t="s">
        <v>1225</v>
      </c>
      <c r="W502" s="34" t="s">
        <v>4689</v>
      </c>
      <c r="X502" s="34" t="s">
        <v>4690</v>
      </c>
      <c r="Y502" s="34" t="s">
        <v>4691</v>
      </c>
      <c r="Z502" s="32" t="s">
        <v>1225</v>
      </c>
      <c r="AA502" s="32" t="s">
        <v>1225</v>
      </c>
      <c r="AB502" s="32" t="s">
        <v>1225</v>
      </c>
      <c r="AC502" s="32" t="s">
        <v>1225</v>
      </c>
      <c r="AD502" s="32" t="s">
        <v>1225</v>
      </c>
      <c r="AE502" s="32" t="s">
        <v>1225</v>
      </c>
      <c r="AF502" s="32" t="s">
        <v>1225</v>
      </c>
      <c r="AG502" s="32" t="s">
        <v>1225</v>
      </c>
      <c r="AH502" s="32" t="s">
        <v>1225</v>
      </c>
      <c r="AI502" s="32" t="s">
        <v>1225</v>
      </c>
      <c r="AJ502" s="32" t="s">
        <v>1225</v>
      </c>
      <c r="AK502" s="32" t="s">
        <v>1225</v>
      </c>
      <c r="AL502" s="32" t="s">
        <v>1225</v>
      </c>
      <c r="AM502" s="32" t="s">
        <v>1225</v>
      </c>
      <c r="AN502" s="32" t="s">
        <v>1225</v>
      </c>
      <c r="AO502" s="32" t="s">
        <v>1225</v>
      </c>
      <c r="AP502" s="32" t="s">
        <v>1225</v>
      </c>
      <c r="AQ502" s="32" t="s">
        <v>1225</v>
      </c>
      <c r="AR502" s="32" t="s">
        <v>1225</v>
      </c>
      <c r="AS502" s="32" t="s">
        <v>1225</v>
      </c>
      <c r="AT502" s="32" t="s">
        <v>1225</v>
      </c>
      <c r="AU502" s="32" t="s">
        <v>1225</v>
      </c>
      <c r="AV502" s="32" t="s">
        <v>1225</v>
      </c>
      <c r="AW502" s="34" t="s">
        <v>1465</v>
      </c>
      <c r="AX502" s="34">
        <v>2022</v>
      </c>
      <c r="AY502" s="32">
        <v>67</v>
      </c>
      <c r="AZ502" s="32" t="s">
        <v>1225</v>
      </c>
      <c r="BA502" s="32" t="s">
        <v>1225</v>
      </c>
      <c r="BB502" s="32" t="s">
        <v>1225</v>
      </c>
      <c r="BC502" s="32" t="s">
        <v>1225</v>
      </c>
      <c r="BD502" s="32" t="s">
        <v>1225</v>
      </c>
      <c r="BE502" s="32" t="s">
        <v>1225</v>
      </c>
      <c r="BF502" s="32" t="s">
        <v>1225</v>
      </c>
      <c r="BG502" s="32">
        <v>101275</v>
      </c>
      <c r="BH502" s="34" t="s">
        <v>4692</v>
      </c>
      <c r="BI502" s="34" t="str">
        <f>HYPERLINK("http://dx.doi.org/10.1016/j.reseneeco.2021.101275","http://dx.doi.org/10.1016/j.reseneeco.2021.101275")</f>
        <v>http://dx.doi.org/10.1016/j.reseneeco.2021.101275</v>
      </c>
      <c r="BJ502" s="32" t="s">
        <v>1225</v>
      </c>
      <c r="BK502" s="32" t="s">
        <v>3476</v>
      </c>
      <c r="BL502" s="32" t="s">
        <v>1225</v>
      </c>
      <c r="BM502" s="32" t="s">
        <v>1225</v>
      </c>
      <c r="BN502" s="32" t="s">
        <v>1225</v>
      </c>
      <c r="BO502" s="32" t="s">
        <v>1225</v>
      </c>
      <c r="BP502" s="32" t="s">
        <v>1225</v>
      </c>
      <c r="BQ502" s="32" t="s">
        <v>1225</v>
      </c>
      <c r="BR502" s="32" t="s">
        <v>1225</v>
      </c>
      <c r="BS502" s="32" t="s">
        <v>1225</v>
      </c>
      <c r="BT502" s="32" t="s">
        <v>1225</v>
      </c>
      <c r="BU502" s="32" t="s">
        <v>1225</v>
      </c>
      <c r="BV502" s="32" t="s">
        <v>1225</v>
      </c>
      <c r="BW502" s="32" t="str">
        <f t="shared" si="14"/>
        <v>View Full Record in Web of Science</v>
      </c>
      <c r="BY502" s="41" t="str">
        <f>IF(Deletion!J502=TRUE,"Yes","No")</f>
        <v>No</v>
      </c>
    </row>
    <row r="503" spans="1:77" x14ac:dyDescent="0.15">
      <c r="A503" s="32">
        <f t="shared" si="15"/>
        <v>502</v>
      </c>
      <c r="D503" s="32" t="s">
        <v>1223</v>
      </c>
      <c r="E503" s="32" t="s">
        <v>4693</v>
      </c>
      <c r="F503" s="32" t="s">
        <v>1225</v>
      </c>
      <c r="G503" s="32" t="s">
        <v>1225</v>
      </c>
      <c r="H503" s="32" t="s">
        <v>1225</v>
      </c>
      <c r="I503" s="32" t="s">
        <v>4694</v>
      </c>
      <c r="J503" s="32" t="s">
        <v>1225</v>
      </c>
      <c r="K503" s="32" t="s">
        <v>1225</v>
      </c>
      <c r="L503" s="32" t="s">
        <v>4695</v>
      </c>
      <c r="M503" s="32" t="s">
        <v>422</v>
      </c>
      <c r="N503" s="32" t="s">
        <v>1225</v>
      </c>
      <c r="O503" s="32" t="s">
        <v>1225</v>
      </c>
      <c r="P503" s="32" t="s">
        <v>1225</v>
      </c>
      <c r="Q503" s="32" t="s">
        <v>1227</v>
      </c>
      <c r="R503" s="32" t="s">
        <v>1225</v>
      </c>
      <c r="S503" s="32" t="s">
        <v>1225</v>
      </c>
      <c r="T503" s="32" t="s">
        <v>1225</v>
      </c>
      <c r="U503" s="32" t="s">
        <v>1225</v>
      </c>
      <c r="V503" s="32" t="s">
        <v>1225</v>
      </c>
      <c r="W503" s="32" t="s">
        <v>4696</v>
      </c>
      <c r="X503" s="32" t="s">
        <v>4697</v>
      </c>
      <c r="Y503" s="32" t="s">
        <v>4698</v>
      </c>
      <c r="Z503" s="32" t="s">
        <v>1225</v>
      </c>
      <c r="AA503" s="32" t="s">
        <v>1225</v>
      </c>
      <c r="AB503" s="32" t="s">
        <v>1225</v>
      </c>
      <c r="AC503" s="32" t="s">
        <v>1225</v>
      </c>
      <c r="AD503" s="32" t="s">
        <v>1225</v>
      </c>
      <c r="AE503" s="32" t="s">
        <v>1225</v>
      </c>
      <c r="AF503" s="32" t="s">
        <v>1225</v>
      </c>
      <c r="AG503" s="32" t="s">
        <v>1225</v>
      </c>
      <c r="AH503" s="32" t="s">
        <v>1225</v>
      </c>
      <c r="AI503" s="32" t="s">
        <v>1225</v>
      </c>
      <c r="AJ503" s="32" t="s">
        <v>1225</v>
      </c>
      <c r="AK503" s="32" t="s">
        <v>1225</v>
      </c>
      <c r="AL503" s="32" t="s">
        <v>1225</v>
      </c>
      <c r="AM503" s="32" t="s">
        <v>1225</v>
      </c>
      <c r="AN503" s="32" t="s">
        <v>1225</v>
      </c>
      <c r="AO503" s="32" t="s">
        <v>1225</v>
      </c>
      <c r="AP503" s="32" t="s">
        <v>1225</v>
      </c>
      <c r="AQ503" s="32" t="s">
        <v>1225</v>
      </c>
      <c r="AR503" s="32" t="s">
        <v>1225</v>
      </c>
      <c r="AS503" s="32" t="s">
        <v>1225</v>
      </c>
      <c r="AT503" s="32" t="s">
        <v>1225</v>
      </c>
      <c r="AU503" s="32" t="s">
        <v>1225</v>
      </c>
      <c r="AV503" s="32" t="s">
        <v>1225</v>
      </c>
      <c r="AW503" s="32" t="s">
        <v>1239</v>
      </c>
      <c r="AX503" s="32">
        <v>2020</v>
      </c>
      <c r="AY503" s="32">
        <v>13</v>
      </c>
      <c r="AZ503" s="32">
        <v>13</v>
      </c>
      <c r="BA503" s="32" t="s">
        <v>1225</v>
      </c>
      <c r="BB503" s="32" t="s">
        <v>1225</v>
      </c>
      <c r="BC503" s="32" t="s">
        <v>1225</v>
      </c>
      <c r="BD503" s="32" t="s">
        <v>1225</v>
      </c>
      <c r="BE503" s="32" t="s">
        <v>1225</v>
      </c>
      <c r="BF503" s="32" t="s">
        <v>1225</v>
      </c>
      <c r="BG503" s="32">
        <v>3415</v>
      </c>
      <c r="BH503" s="32" t="s">
        <v>4699</v>
      </c>
      <c r="BI503" s="32" t="str">
        <f>HYPERLINK("http://dx.doi.org/10.3390/en13133415","http://dx.doi.org/10.3390/en13133415")</f>
        <v>http://dx.doi.org/10.3390/en13133415</v>
      </c>
      <c r="BJ503" s="32" t="s">
        <v>1225</v>
      </c>
      <c r="BK503" s="32" t="s">
        <v>1225</v>
      </c>
      <c r="BL503" s="32" t="s">
        <v>1225</v>
      </c>
      <c r="BM503" s="32" t="s">
        <v>1225</v>
      </c>
      <c r="BN503" s="32" t="s">
        <v>1225</v>
      </c>
      <c r="BO503" s="32" t="s">
        <v>1225</v>
      </c>
      <c r="BP503" s="32" t="s">
        <v>1225</v>
      </c>
      <c r="BQ503" s="32" t="s">
        <v>1225</v>
      </c>
      <c r="BR503" s="32" t="s">
        <v>1225</v>
      </c>
      <c r="BS503" s="32" t="s">
        <v>1225</v>
      </c>
      <c r="BT503" s="32" t="s">
        <v>1225</v>
      </c>
      <c r="BU503" s="32" t="s">
        <v>1225</v>
      </c>
      <c r="BV503" s="32" t="s">
        <v>1225</v>
      </c>
      <c r="BW503" s="32" t="str">
        <f t="shared" si="14"/>
        <v>View Full Record in Web of Science</v>
      </c>
      <c r="BY503" s="41" t="str">
        <f>IF(Deletion!J503=TRUE,"Yes","No")</f>
        <v>Yes</v>
      </c>
    </row>
    <row r="504" spans="1:77" x14ac:dyDescent="0.15">
      <c r="A504" s="32">
        <f t="shared" si="15"/>
        <v>503</v>
      </c>
      <c r="D504" s="32" t="s">
        <v>1223</v>
      </c>
      <c r="E504" s="32" t="s">
        <v>4700</v>
      </c>
      <c r="F504" s="32" t="s">
        <v>1225</v>
      </c>
      <c r="G504" s="32" t="s">
        <v>1225</v>
      </c>
      <c r="H504" s="32" t="s">
        <v>1225</v>
      </c>
      <c r="I504" s="32" t="s">
        <v>4701</v>
      </c>
      <c r="J504" s="32" t="s">
        <v>1225</v>
      </c>
      <c r="K504" s="32" t="s">
        <v>1225</v>
      </c>
      <c r="L504" s="32" t="s">
        <v>4702</v>
      </c>
      <c r="M504" s="32" t="s">
        <v>849</v>
      </c>
      <c r="N504" s="32" t="s">
        <v>1225</v>
      </c>
      <c r="O504" s="32" t="s">
        <v>1225</v>
      </c>
      <c r="P504" s="32" t="s">
        <v>1225</v>
      </c>
      <c r="Q504" s="32" t="s">
        <v>1227</v>
      </c>
      <c r="R504" s="32" t="s">
        <v>1225</v>
      </c>
      <c r="S504" s="32" t="s">
        <v>1225</v>
      </c>
      <c r="T504" s="32" t="s">
        <v>1225</v>
      </c>
      <c r="U504" s="32" t="s">
        <v>1225</v>
      </c>
      <c r="V504" s="32" t="s">
        <v>1225</v>
      </c>
      <c r="W504" s="32" t="s">
        <v>4703</v>
      </c>
      <c r="X504" s="32" t="s">
        <v>1225</v>
      </c>
      <c r="Y504" s="32" t="s">
        <v>4704</v>
      </c>
      <c r="Z504" s="32" t="s">
        <v>1225</v>
      </c>
      <c r="AA504" s="32" t="s">
        <v>1225</v>
      </c>
      <c r="AB504" s="32" t="s">
        <v>1225</v>
      </c>
      <c r="AC504" s="32" t="s">
        <v>1225</v>
      </c>
      <c r="AD504" s="32" t="s">
        <v>1225</v>
      </c>
      <c r="AE504" s="32" t="s">
        <v>1225</v>
      </c>
      <c r="AF504" s="32" t="s">
        <v>1225</v>
      </c>
      <c r="AG504" s="32" t="s">
        <v>1225</v>
      </c>
      <c r="AH504" s="32" t="s">
        <v>1225</v>
      </c>
      <c r="AI504" s="32" t="s">
        <v>1225</v>
      </c>
      <c r="AJ504" s="32" t="s">
        <v>1225</v>
      </c>
      <c r="AK504" s="32" t="s">
        <v>1225</v>
      </c>
      <c r="AL504" s="32" t="s">
        <v>1225</v>
      </c>
      <c r="AM504" s="32" t="s">
        <v>1225</v>
      </c>
      <c r="AN504" s="32" t="s">
        <v>1225</v>
      </c>
      <c r="AO504" s="32" t="s">
        <v>1225</v>
      </c>
      <c r="AP504" s="32" t="s">
        <v>1225</v>
      </c>
      <c r="AQ504" s="32" t="s">
        <v>1225</v>
      </c>
      <c r="AR504" s="32" t="s">
        <v>1225</v>
      </c>
      <c r="AS504" s="32" t="s">
        <v>1225</v>
      </c>
      <c r="AT504" s="32" t="s">
        <v>1225</v>
      </c>
      <c r="AU504" s="32" t="s">
        <v>1225</v>
      </c>
      <c r="AV504" s="32" t="s">
        <v>1225</v>
      </c>
      <c r="AW504" s="32" t="s">
        <v>1229</v>
      </c>
      <c r="AX504" s="32">
        <v>2013</v>
      </c>
      <c r="AY504" s="32">
        <v>28</v>
      </c>
      <c r="AZ504" s="32">
        <v>4</v>
      </c>
      <c r="BA504" s="32" t="s">
        <v>1225</v>
      </c>
      <c r="BB504" s="32" t="s">
        <v>1225</v>
      </c>
      <c r="BC504" s="32" t="s">
        <v>1225</v>
      </c>
      <c r="BD504" s="32" t="s">
        <v>1225</v>
      </c>
      <c r="BE504" s="32">
        <v>3546</v>
      </c>
      <c r="BF504" s="32">
        <v>3555</v>
      </c>
      <c r="BG504" s="32" t="s">
        <v>1225</v>
      </c>
      <c r="BH504" s="32" t="s">
        <v>4705</v>
      </c>
      <c r="BI504" s="32" t="str">
        <f>HYPERLINK("http://dx.doi.org/10.1109/TPWRS.2013.2262318","http://dx.doi.org/10.1109/TPWRS.2013.2262318")</f>
        <v>http://dx.doi.org/10.1109/TPWRS.2013.2262318</v>
      </c>
      <c r="BJ504" s="32" t="s">
        <v>1225</v>
      </c>
      <c r="BK504" s="32" t="s">
        <v>1225</v>
      </c>
      <c r="BL504" s="32" t="s">
        <v>1225</v>
      </c>
      <c r="BM504" s="32" t="s">
        <v>1225</v>
      </c>
      <c r="BN504" s="32" t="s">
        <v>1225</v>
      </c>
      <c r="BO504" s="32" t="s">
        <v>1225</v>
      </c>
      <c r="BP504" s="32" t="s">
        <v>1225</v>
      </c>
      <c r="BQ504" s="32" t="s">
        <v>1225</v>
      </c>
      <c r="BR504" s="32" t="s">
        <v>1225</v>
      </c>
      <c r="BS504" s="32" t="s">
        <v>1225</v>
      </c>
      <c r="BT504" s="32" t="s">
        <v>1225</v>
      </c>
      <c r="BU504" s="32" t="s">
        <v>1225</v>
      </c>
      <c r="BV504" s="32" t="s">
        <v>1225</v>
      </c>
      <c r="BW504" s="32" t="str">
        <f t="shared" si="14"/>
        <v>View Full Record in Web of Science</v>
      </c>
      <c r="BY504" s="41" t="str">
        <f>IF(Deletion!J504=TRUE,"Yes","No")</f>
        <v>Yes</v>
      </c>
    </row>
    <row r="505" spans="1:77" x14ac:dyDescent="0.15">
      <c r="A505" s="32">
        <f t="shared" si="15"/>
        <v>504</v>
      </c>
      <c r="D505" s="32" t="s">
        <v>1223</v>
      </c>
      <c r="E505" s="32" t="s">
        <v>4706</v>
      </c>
      <c r="F505" s="32" t="s">
        <v>1225</v>
      </c>
      <c r="G505" s="32" t="s">
        <v>1225</v>
      </c>
      <c r="H505" s="32" t="s">
        <v>1225</v>
      </c>
      <c r="I505" s="32" t="s">
        <v>4707</v>
      </c>
      <c r="J505" s="32" t="s">
        <v>1225</v>
      </c>
      <c r="K505" s="32" t="s">
        <v>1225</v>
      </c>
      <c r="L505" s="32" t="s">
        <v>4708</v>
      </c>
      <c r="M505" s="32" t="s">
        <v>2051</v>
      </c>
      <c r="N505" s="32" t="s">
        <v>1225</v>
      </c>
      <c r="O505" s="32" t="s">
        <v>1225</v>
      </c>
      <c r="P505" s="32" t="s">
        <v>1225</v>
      </c>
      <c r="Q505" s="32" t="s">
        <v>1227</v>
      </c>
      <c r="R505" s="32" t="s">
        <v>1225</v>
      </c>
      <c r="S505" s="32" t="s">
        <v>1225</v>
      </c>
      <c r="T505" s="32" t="s">
        <v>1225</v>
      </c>
      <c r="U505" s="32" t="s">
        <v>1225</v>
      </c>
      <c r="V505" s="32" t="s">
        <v>1225</v>
      </c>
      <c r="W505" s="32" t="s">
        <v>4709</v>
      </c>
      <c r="X505" s="32" t="s">
        <v>4710</v>
      </c>
      <c r="Y505" s="32" t="s">
        <v>4711</v>
      </c>
      <c r="Z505" s="32" t="s">
        <v>1225</v>
      </c>
      <c r="AA505" s="32" t="s">
        <v>1225</v>
      </c>
      <c r="AB505" s="32" t="s">
        <v>1225</v>
      </c>
      <c r="AC505" s="32" t="s">
        <v>1225</v>
      </c>
      <c r="AD505" s="32" t="s">
        <v>1225</v>
      </c>
      <c r="AE505" s="32" t="s">
        <v>1225</v>
      </c>
      <c r="AF505" s="32" t="s">
        <v>1225</v>
      </c>
      <c r="AG505" s="32" t="s">
        <v>1225</v>
      </c>
      <c r="AH505" s="32" t="s">
        <v>1225</v>
      </c>
      <c r="AI505" s="32" t="s">
        <v>1225</v>
      </c>
      <c r="AJ505" s="32" t="s">
        <v>1225</v>
      </c>
      <c r="AK505" s="32" t="s">
        <v>1225</v>
      </c>
      <c r="AL505" s="32" t="s">
        <v>1225</v>
      </c>
      <c r="AM505" s="32" t="s">
        <v>1225</v>
      </c>
      <c r="AN505" s="32" t="s">
        <v>1225</v>
      </c>
      <c r="AO505" s="32" t="s">
        <v>1225</v>
      </c>
      <c r="AP505" s="32" t="s">
        <v>1225</v>
      </c>
      <c r="AQ505" s="32" t="s">
        <v>1225</v>
      </c>
      <c r="AR505" s="32" t="s">
        <v>1225</v>
      </c>
      <c r="AS505" s="32" t="s">
        <v>1225</v>
      </c>
      <c r="AT505" s="32" t="s">
        <v>1225</v>
      </c>
      <c r="AU505" s="32" t="s">
        <v>1225</v>
      </c>
      <c r="AV505" s="32" t="s">
        <v>1225</v>
      </c>
      <c r="AW505" s="32" t="s">
        <v>1272</v>
      </c>
      <c r="AX505" s="32">
        <v>2018</v>
      </c>
      <c r="AY505" s="32">
        <v>14</v>
      </c>
      <c r="AZ505" s="32">
        <v>3</v>
      </c>
      <c r="BA505" s="32" t="s">
        <v>1225</v>
      </c>
      <c r="BB505" s="32" t="s">
        <v>1225</v>
      </c>
      <c r="BC505" s="32" t="s">
        <v>1225</v>
      </c>
      <c r="BD505" s="32" t="s">
        <v>1225</v>
      </c>
      <c r="BE505" s="32">
        <v>969</v>
      </c>
      <c r="BF505" s="32">
        <v>979</v>
      </c>
      <c r="BG505" s="32" t="s">
        <v>1225</v>
      </c>
      <c r="BH505" s="32" t="s">
        <v>4712</v>
      </c>
      <c r="BI505" s="32" t="str">
        <f>HYPERLINK("http://dx.doi.org/10.1109/TII.2017.2781226","http://dx.doi.org/10.1109/TII.2017.2781226")</f>
        <v>http://dx.doi.org/10.1109/TII.2017.2781226</v>
      </c>
      <c r="BJ505" s="32" t="s">
        <v>1225</v>
      </c>
      <c r="BK505" s="32" t="s">
        <v>1225</v>
      </c>
      <c r="BL505" s="32" t="s">
        <v>1225</v>
      </c>
      <c r="BM505" s="32" t="s">
        <v>1225</v>
      </c>
      <c r="BN505" s="32" t="s">
        <v>1225</v>
      </c>
      <c r="BO505" s="32" t="s">
        <v>1225</v>
      </c>
      <c r="BP505" s="32" t="s">
        <v>1225</v>
      </c>
      <c r="BQ505" s="32" t="s">
        <v>1225</v>
      </c>
      <c r="BR505" s="32" t="s">
        <v>1225</v>
      </c>
      <c r="BS505" s="32" t="s">
        <v>1225</v>
      </c>
      <c r="BT505" s="32" t="s">
        <v>1225</v>
      </c>
      <c r="BU505" s="32" t="s">
        <v>1225</v>
      </c>
      <c r="BV505" s="32" t="s">
        <v>1225</v>
      </c>
      <c r="BW505" s="32" t="str">
        <f t="shared" si="14"/>
        <v>View Full Record in Web of Science</v>
      </c>
      <c r="BY505" s="41" t="str">
        <f>IF(Deletion!J505=TRUE,"Yes","No")</f>
        <v>Yes</v>
      </c>
    </row>
    <row r="506" spans="1:77" x14ac:dyDescent="0.15">
      <c r="A506" s="32">
        <f t="shared" si="15"/>
        <v>505</v>
      </c>
      <c r="D506" s="32" t="s">
        <v>1223</v>
      </c>
      <c r="E506" s="32" t="s">
        <v>4713</v>
      </c>
      <c r="F506" s="32" t="s">
        <v>1225</v>
      </c>
      <c r="G506" s="32" t="s">
        <v>1225</v>
      </c>
      <c r="H506" s="32" t="s">
        <v>1225</v>
      </c>
      <c r="I506" s="32" t="s">
        <v>4714</v>
      </c>
      <c r="J506" s="32" t="s">
        <v>1225</v>
      </c>
      <c r="K506" s="32" t="s">
        <v>1225</v>
      </c>
      <c r="L506" s="32" t="s">
        <v>4715</v>
      </c>
      <c r="M506" s="32" t="s">
        <v>2051</v>
      </c>
      <c r="N506" s="32" t="s">
        <v>1225</v>
      </c>
      <c r="O506" s="32" t="s">
        <v>1225</v>
      </c>
      <c r="P506" s="32" t="s">
        <v>1225</v>
      </c>
      <c r="Q506" s="32" t="s">
        <v>1227</v>
      </c>
      <c r="R506" s="32" t="s">
        <v>1225</v>
      </c>
      <c r="S506" s="32" t="s">
        <v>1225</v>
      </c>
      <c r="T506" s="32" t="s">
        <v>1225</v>
      </c>
      <c r="U506" s="32" t="s">
        <v>1225</v>
      </c>
      <c r="V506" s="32" t="s">
        <v>1225</v>
      </c>
      <c r="W506" s="32" t="s">
        <v>4716</v>
      </c>
      <c r="X506" s="32" t="s">
        <v>4717</v>
      </c>
      <c r="Y506" s="32" t="s">
        <v>4718</v>
      </c>
      <c r="Z506" s="32" t="s">
        <v>1225</v>
      </c>
      <c r="AA506" s="32" t="s">
        <v>1225</v>
      </c>
      <c r="AB506" s="32" t="s">
        <v>1225</v>
      </c>
      <c r="AC506" s="32" t="s">
        <v>1225</v>
      </c>
      <c r="AD506" s="32" t="s">
        <v>1225</v>
      </c>
      <c r="AE506" s="32" t="s">
        <v>1225</v>
      </c>
      <c r="AF506" s="32" t="s">
        <v>1225</v>
      </c>
      <c r="AG506" s="32" t="s">
        <v>1225</v>
      </c>
      <c r="AH506" s="32" t="s">
        <v>1225</v>
      </c>
      <c r="AI506" s="32" t="s">
        <v>1225</v>
      </c>
      <c r="AJ506" s="32" t="s">
        <v>1225</v>
      </c>
      <c r="AK506" s="32" t="s">
        <v>1225</v>
      </c>
      <c r="AL506" s="32" t="s">
        <v>1225</v>
      </c>
      <c r="AM506" s="32" t="s">
        <v>1225</v>
      </c>
      <c r="AN506" s="32" t="s">
        <v>1225</v>
      </c>
      <c r="AO506" s="32" t="s">
        <v>1225</v>
      </c>
      <c r="AP506" s="32" t="s">
        <v>1225</v>
      </c>
      <c r="AQ506" s="32" t="s">
        <v>1225</v>
      </c>
      <c r="AR506" s="32" t="s">
        <v>1225</v>
      </c>
      <c r="AS506" s="32" t="s">
        <v>1225</v>
      </c>
      <c r="AT506" s="32" t="s">
        <v>1225</v>
      </c>
      <c r="AU506" s="32" t="s">
        <v>1225</v>
      </c>
      <c r="AV506" s="32" t="s">
        <v>1225</v>
      </c>
      <c r="AW506" s="32" t="s">
        <v>1239</v>
      </c>
      <c r="AX506" s="32">
        <v>2022</v>
      </c>
      <c r="AY506" s="32">
        <v>18</v>
      </c>
      <c r="AZ506" s="32">
        <v>7</v>
      </c>
      <c r="BA506" s="32" t="s">
        <v>1225</v>
      </c>
      <c r="BB506" s="32" t="s">
        <v>1225</v>
      </c>
      <c r="BC506" s="32" t="s">
        <v>1225</v>
      </c>
      <c r="BD506" s="32" t="s">
        <v>1225</v>
      </c>
      <c r="BE506" s="32">
        <v>4608</v>
      </c>
      <c r="BF506" s="32">
        <v>4621</v>
      </c>
      <c r="BG506" s="32" t="s">
        <v>1225</v>
      </c>
      <c r="BH506" s="32" t="s">
        <v>4719</v>
      </c>
      <c r="BI506" s="32" t="str">
        <f>HYPERLINK("http://dx.doi.org/10.1109/TII.2021.3114276","http://dx.doi.org/10.1109/TII.2021.3114276")</f>
        <v>http://dx.doi.org/10.1109/TII.2021.3114276</v>
      </c>
      <c r="BJ506" s="32" t="s">
        <v>1225</v>
      </c>
      <c r="BK506" s="32" t="s">
        <v>1225</v>
      </c>
      <c r="BL506" s="32" t="s">
        <v>1225</v>
      </c>
      <c r="BM506" s="32" t="s">
        <v>1225</v>
      </c>
      <c r="BN506" s="32" t="s">
        <v>1225</v>
      </c>
      <c r="BO506" s="32" t="s">
        <v>1225</v>
      </c>
      <c r="BP506" s="32" t="s">
        <v>1225</v>
      </c>
      <c r="BQ506" s="32" t="s">
        <v>1225</v>
      </c>
      <c r="BR506" s="32" t="s">
        <v>1225</v>
      </c>
      <c r="BS506" s="32" t="s">
        <v>1225</v>
      </c>
      <c r="BT506" s="32" t="s">
        <v>1225</v>
      </c>
      <c r="BU506" s="32" t="s">
        <v>1225</v>
      </c>
      <c r="BV506" s="32" t="s">
        <v>1225</v>
      </c>
      <c r="BW506" s="32" t="str">
        <f t="shared" si="14"/>
        <v>View Full Record in Web of Science</v>
      </c>
      <c r="BY506" s="41" t="str">
        <f>IF(Deletion!J506=TRUE,"Yes","No")</f>
        <v>Yes</v>
      </c>
    </row>
    <row r="507" spans="1:77" x14ac:dyDescent="0.15">
      <c r="A507" s="32">
        <f t="shared" si="15"/>
        <v>506</v>
      </c>
      <c r="D507" s="32" t="s">
        <v>1223</v>
      </c>
      <c r="E507" s="32" t="s">
        <v>4720</v>
      </c>
      <c r="F507" s="32" t="s">
        <v>1225</v>
      </c>
      <c r="G507" s="32" t="s">
        <v>1225</v>
      </c>
      <c r="H507" s="32" t="s">
        <v>1225</v>
      </c>
      <c r="I507" s="32" t="s">
        <v>4721</v>
      </c>
      <c r="J507" s="32" t="s">
        <v>1225</v>
      </c>
      <c r="K507" s="32" t="s">
        <v>1225</v>
      </c>
      <c r="L507" s="32" t="s">
        <v>4722</v>
      </c>
      <c r="M507" s="32" t="s">
        <v>2051</v>
      </c>
      <c r="N507" s="32" t="s">
        <v>1225</v>
      </c>
      <c r="O507" s="32" t="s">
        <v>1225</v>
      </c>
      <c r="P507" s="32" t="s">
        <v>1225</v>
      </c>
      <c r="Q507" s="32" t="s">
        <v>1227</v>
      </c>
      <c r="R507" s="32" t="s">
        <v>1225</v>
      </c>
      <c r="S507" s="32" t="s">
        <v>1225</v>
      </c>
      <c r="T507" s="32" t="s">
        <v>1225</v>
      </c>
      <c r="U507" s="32" t="s">
        <v>1225</v>
      </c>
      <c r="V507" s="32" t="s">
        <v>1225</v>
      </c>
      <c r="W507" s="32" t="s">
        <v>4723</v>
      </c>
      <c r="X507" s="32" t="s">
        <v>4724</v>
      </c>
      <c r="Y507" s="32" t="s">
        <v>4725</v>
      </c>
      <c r="Z507" s="32" t="s">
        <v>1225</v>
      </c>
      <c r="AA507" s="32" t="s">
        <v>1225</v>
      </c>
      <c r="AB507" s="32" t="s">
        <v>1225</v>
      </c>
      <c r="AC507" s="32" t="s">
        <v>1225</v>
      </c>
      <c r="AD507" s="32" t="s">
        <v>1225</v>
      </c>
      <c r="AE507" s="32" t="s">
        <v>1225</v>
      </c>
      <c r="AF507" s="32" t="s">
        <v>1225</v>
      </c>
      <c r="AG507" s="32" t="s">
        <v>1225</v>
      </c>
      <c r="AH507" s="32" t="s">
        <v>1225</v>
      </c>
      <c r="AI507" s="32" t="s">
        <v>1225</v>
      </c>
      <c r="AJ507" s="32" t="s">
        <v>1225</v>
      </c>
      <c r="AK507" s="32" t="s">
        <v>1225</v>
      </c>
      <c r="AL507" s="32" t="s">
        <v>1225</v>
      </c>
      <c r="AM507" s="32" t="s">
        <v>1225</v>
      </c>
      <c r="AN507" s="32" t="s">
        <v>1225</v>
      </c>
      <c r="AO507" s="32" t="s">
        <v>1225</v>
      </c>
      <c r="AP507" s="32" t="s">
        <v>1225</v>
      </c>
      <c r="AQ507" s="32" t="s">
        <v>1225</v>
      </c>
      <c r="AR507" s="32" t="s">
        <v>1225</v>
      </c>
      <c r="AS507" s="32" t="s">
        <v>1225</v>
      </c>
      <c r="AT507" s="32" t="s">
        <v>1225</v>
      </c>
      <c r="AU507" s="32" t="s">
        <v>1225</v>
      </c>
      <c r="AV507" s="32" t="s">
        <v>1225</v>
      </c>
      <c r="AW507" s="32" t="s">
        <v>1356</v>
      </c>
      <c r="AX507" s="32">
        <v>2022</v>
      </c>
      <c r="AY507" s="32">
        <v>18</v>
      </c>
      <c r="AZ507" s="32">
        <v>8</v>
      </c>
      <c r="BA507" s="32" t="s">
        <v>1225</v>
      </c>
      <c r="BB507" s="32" t="s">
        <v>1225</v>
      </c>
      <c r="BC507" s="32" t="s">
        <v>1225</v>
      </c>
      <c r="BD507" s="32" t="s">
        <v>1225</v>
      </c>
      <c r="BE507" s="32">
        <v>5307</v>
      </c>
      <c r="BF507" s="32">
        <v>5317</v>
      </c>
      <c r="BG507" s="32" t="s">
        <v>1225</v>
      </c>
      <c r="BH507" s="32" t="s">
        <v>4726</v>
      </c>
      <c r="BI507" s="32" t="str">
        <f>HYPERLINK("http://dx.doi.org/10.1109/TII.2021.3125462","http://dx.doi.org/10.1109/TII.2021.3125462")</f>
        <v>http://dx.doi.org/10.1109/TII.2021.3125462</v>
      </c>
      <c r="BJ507" s="32" t="s">
        <v>1225</v>
      </c>
      <c r="BK507" s="32" t="s">
        <v>1225</v>
      </c>
      <c r="BL507" s="32" t="s">
        <v>1225</v>
      </c>
      <c r="BM507" s="32" t="s">
        <v>1225</v>
      </c>
      <c r="BN507" s="32" t="s">
        <v>1225</v>
      </c>
      <c r="BO507" s="32" t="s">
        <v>1225</v>
      </c>
      <c r="BP507" s="32" t="s">
        <v>1225</v>
      </c>
      <c r="BQ507" s="32" t="s">
        <v>1225</v>
      </c>
      <c r="BR507" s="32" t="s">
        <v>1225</v>
      </c>
      <c r="BS507" s="32" t="s">
        <v>1225</v>
      </c>
      <c r="BT507" s="32" t="s">
        <v>1225</v>
      </c>
      <c r="BU507" s="32" t="s">
        <v>1225</v>
      </c>
      <c r="BV507" s="32" t="s">
        <v>1225</v>
      </c>
      <c r="BW507" s="32" t="str">
        <f t="shared" si="14"/>
        <v>View Full Record in Web of Science</v>
      </c>
      <c r="BY507" s="41" t="str">
        <f>IF(Deletion!J507=TRUE,"Yes","No")</f>
        <v>Yes</v>
      </c>
    </row>
    <row r="508" spans="1:77" x14ac:dyDescent="0.15">
      <c r="A508" s="32">
        <f t="shared" si="15"/>
        <v>507</v>
      </c>
      <c r="D508" s="32" t="s">
        <v>1223</v>
      </c>
      <c r="E508" s="32" t="s">
        <v>4727</v>
      </c>
      <c r="F508" s="32" t="s">
        <v>1225</v>
      </c>
      <c r="G508" s="32" t="s">
        <v>1225</v>
      </c>
      <c r="H508" s="32" t="s">
        <v>1225</v>
      </c>
      <c r="I508" s="32" t="s">
        <v>4728</v>
      </c>
      <c r="J508" s="32" t="s">
        <v>1225</v>
      </c>
      <c r="K508" s="32" t="s">
        <v>1225</v>
      </c>
      <c r="L508" s="32" t="s">
        <v>4729</v>
      </c>
      <c r="M508" s="32" t="s">
        <v>124</v>
      </c>
      <c r="N508" s="32" t="s">
        <v>1225</v>
      </c>
      <c r="O508" s="32" t="s">
        <v>1225</v>
      </c>
      <c r="P508" s="32" t="s">
        <v>1225</v>
      </c>
      <c r="Q508" s="32" t="s">
        <v>1227</v>
      </c>
      <c r="R508" s="32" t="s">
        <v>1225</v>
      </c>
      <c r="S508" s="32" t="s">
        <v>1225</v>
      </c>
      <c r="T508" s="32" t="s">
        <v>1225</v>
      </c>
      <c r="U508" s="32" t="s">
        <v>1225</v>
      </c>
      <c r="V508" s="32" t="s">
        <v>1225</v>
      </c>
      <c r="W508" s="32" t="s">
        <v>4730</v>
      </c>
      <c r="X508" s="32" t="s">
        <v>4731</v>
      </c>
      <c r="Y508" s="32" t="s">
        <v>4732</v>
      </c>
      <c r="Z508" s="32" t="s">
        <v>1225</v>
      </c>
      <c r="AA508" s="32" t="s">
        <v>1225</v>
      </c>
      <c r="AB508" s="32" t="s">
        <v>1225</v>
      </c>
      <c r="AC508" s="32" t="s">
        <v>1225</v>
      </c>
      <c r="AD508" s="32" t="s">
        <v>1225</v>
      </c>
      <c r="AE508" s="32" t="s">
        <v>1225</v>
      </c>
      <c r="AF508" s="32" t="s">
        <v>1225</v>
      </c>
      <c r="AG508" s="32" t="s">
        <v>1225</v>
      </c>
      <c r="AH508" s="32" t="s">
        <v>1225</v>
      </c>
      <c r="AI508" s="32" t="s">
        <v>1225</v>
      </c>
      <c r="AJ508" s="32" t="s">
        <v>1225</v>
      </c>
      <c r="AK508" s="32" t="s">
        <v>1225</v>
      </c>
      <c r="AL508" s="32" t="s">
        <v>1225</v>
      </c>
      <c r="AM508" s="32" t="s">
        <v>1225</v>
      </c>
      <c r="AN508" s="32" t="s">
        <v>1225</v>
      </c>
      <c r="AO508" s="32" t="s">
        <v>1225</v>
      </c>
      <c r="AP508" s="32" t="s">
        <v>1225</v>
      </c>
      <c r="AQ508" s="32" t="s">
        <v>1225</v>
      </c>
      <c r="AR508" s="32" t="s">
        <v>1225</v>
      </c>
      <c r="AS508" s="32" t="s">
        <v>1225</v>
      </c>
      <c r="AT508" s="32" t="s">
        <v>1225</v>
      </c>
      <c r="AU508" s="32" t="s">
        <v>1225</v>
      </c>
      <c r="AV508" s="32" t="s">
        <v>1225</v>
      </c>
      <c r="AW508" s="32" t="s">
        <v>1317</v>
      </c>
      <c r="AX508" s="32">
        <v>2018</v>
      </c>
      <c r="AY508" s="32">
        <v>9</v>
      </c>
      <c r="AZ508" s="32">
        <v>1</v>
      </c>
      <c r="BA508" s="32" t="s">
        <v>1225</v>
      </c>
      <c r="BB508" s="32" t="s">
        <v>1225</v>
      </c>
      <c r="BC508" s="32" t="s">
        <v>1225</v>
      </c>
      <c r="BD508" s="32" t="s">
        <v>1225</v>
      </c>
      <c r="BE508" s="32">
        <v>152</v>
      </c>
      <c r="BF508" s="32">
        <v>162</v>
      </c>
      <c r="BG508" s="32" t="s">
        <v>1225</v>
      </c>
      <c r="BH508" s="32" t="s">
        <v>4733</v>
      </c>
      <c r="BI508" s="32" t="str">
        <f>HYPERLINK("http://dx.doi.org/10.1109/TSG.2016.2547178","http://dx.doi.org/10.1109/TSG.2016.2547178")</f>
        <v>http://dx.doi.org/10.1109/TSG.2016.2547178</v>
      </c>
      <c r="BJ508" s="32" t="s">
        <v>1225</v>
      </c>
      <c r="BK508" s="32" t="s">
        <v>1225</v>
      </c>
      <c r="BL508" s="32" t="s">
        <v>1225</v>
      </c>
      <c r="BM508" s="32" t="s">
        <v>1225</v>
      </c>
      <c r="BN508" s="32" t="s">
        <v>1225</v>
      </c>
      <c r="BO508" s="32" t="s">
        <v>1225</v>
      </c>
      <c r="BP508" s="32" t="s">
        <v>1225</v>
      </c>
      <c r="BQ508" s="32" t="s">
        <v>1225</v>
      </c>
      <c r="BR508" s="32" t="s">
        <v>1225</v>
      </c>
      <c r="BS508" s="32" t="s">
        <v>1225</v>
      </c>
      <c r="BT508" s="32" t="s">
        <v>1225</v>
      </c>
      <c r="BU508" s="32" t="s">
        <v>1225</v>
      </c>
      <c r="BV508" s="32" t="s">
        <v>1225</v>
      </c>
      <c r="BW508" s="32" t="str">
        <f t="shared" si="14"/>
        <v>View Full Record in Web of Science</v>
      </c>
      <c r="BY508" s="41" t="str">
        <f>IF(Deletion!J508=TRUE,"Yes","No")</f>
        <v>Yes</v>
      </c>
    </row>
    <row r="509" spans="1:77" x14ac:dyDescent="0.15">
      <c r="A509" s="38">
        <f t="shared" si="15"/>
        <v>508</v>
      </c>
      <c r="B509" s="38" t="s">
        <v>1413</v>
      </c>
      <c r="C509" s="38" t="s">
        <v>1413</v>
      </c>
      <c r="D509" s="38" t="s">
        <v>1223</v>
      </c>
      <c r="E509" s="38" t="s">
        <v>4734</v>
      </c>
      <c r="F509" s="32" t="s">
        <v>1225</v>
      </c>
      <c r="G509" s="32" t="s">
        <v>1225</v>
      </c>
      <c r="H509" s="32" t="s">
        <v>1225</v>
      </c>
      <c r="I509" s="38" t="s">
        <v>4735</v>
      </c>
      <c r="J509" s="32" t="s">
        <v>1225</v>
      </c>
      <c r="K509" s="32" t="s">
        <v>1225</v>
      </c>
      <c r="L509" s="38" t="s">
        <v>4736</v>
      </c>
      <c r="M509" s="38" t="s">
        <v>1451</v>
      </c>
      <c r="N509" s="32" t="s">
        <v>1225</v>
      </c>
      <c r="O509" s="32" t="s">
        <v>1225</v>
      </c>
      <c r="P509" s="32" t="s">
        <v>1225</v>
      </c>
      <c r="Q509" s="38" t="s">
        <v>1227</v>
      </c>
      <c r="R509" s="32" t="s">
        <v>1225</v>
      </c>
      <c r="S509" s="32" t="s">
        <v>1225</v>
      </c>
      <c r="T509" s="32" t="s">
        <v>1225</v>
      </c>
      <c r="U509" s="32" t="s">
        <v>1225</v>
      </c>
      <c r="V509" s="32" t="s">
        <v>1225</v>
      </c>
      <c r="W509" s="38" t="s">
        <v>4737</v>
      </c>
      <c r="X509" s="38" t="s">
        <v>1225</v>
      </c>
      <c r="Y509" s="38" t="s">
        <v>4738</v>
      </c>
      <c r="Z509" s="32" t="s">
        <v>1225</v>
      </c>
      <c r="AA509" s="32" t="s">
        <v>1225</v>
      </c>
      <c r="AB509" s="32" t="s">
        <v>1225</v>
      </c>
      <c r="AC509" s="32" t="s">
        <v>1225</v>
      </c>
      <c r="AD509" s="32" t="s">
        <v>1225</v>
      </c>
      <c r="AE509" s="32" t="s">
        <v>1225</v>
      </c>
      <c r="AF509" s="32" t="s">
        <v>1225</v>
      </c>
      <c r="AG509" s="32" t="s">
        <v>1225</v>
      </c>
      <c r="AH509" s="32" t="s">
        <v>1225</v>
      </c>
      <c r="AI509" s="32" t="s">
        <v>1225</v>
      </c>
      <c r="AJ509" s="32" t="s">
        <v>1225</v>
      </c>
      <c r="AK509" s="32" t="s">
        <v>1225</v>
      </c>
      <c r="AL509" s="32" t="s">
        <v>1225</v>
      </c>
      <c r="AM509" s="32" t="s">
        <v>1225</v>
      </c>
      <c r="AN509" s="32" t="s">
        <v>1225</v>
      </c>
      <c r="AO509" s="32" t="s">
        <v>1225</v>
      </c>
      <c r="AP509" s="32" t="s">
        <v>1225</v>
      </c>
      <c r="AQ509" s="32" t="s">
        <v>1225</v>
      </c>
      <c r="AR509" s="32" t="s">
        <v>1225</v>
      </c>
      <c r="AS509" s="32" t="s">
        <v>1225</v>
      </c>
      <c r="AT509" s="32" t="s">
        <v>1225</v>
      </c>
      <c r="AU509" s="32" t="s">
        <v>1225</v>
      </c>
      <c r="AV509" s="32" t="s">
        <v>1225</v>
      </c>
      <c r="AW509" s="38" t="s">
        <v>1285</v>
      </c>
      <c r="AX509" s="38">
        <v>2021</v>
      </c>
      <c r="AY509" s="32">
        <v>141</v>
      </c>
      <c r="AZ509" s="32" t="s">
        <v>1225</v>
      </c>
      <c r="BA509" s="32" t="s">
        <v>1225</v>
      </c>
      <c r="BB509" s="32" t="s">
        <v>1225</v>
      </c>
      <c r="BC509" s="32" t="s">
        <v>1225</v>
      </c>
      <c r="BD509" s="32" t="s">
        <v>1225</v>
      </c>
      <c r="BE509" s="32" t="s">
        <v>1225</v>
      </c>
      <c r="BF509" s="32" t="s">
        <v>1225</v>
      </c>
      <c r="BG509" s="32">
        <v>110801</v>
      </c>
      <c r="BH509" s="38" t="s">
        <v>4739</v>
      </c>
      <c r="BI509" s="38" t="str">
        <f>HYPERLINK("http://dx.doi.org/10.1016/j.rser.2021.110801","http://dx.doi.org/10.1016/j.rser.2021.110801")</f>
        <v>http://dx.doi.org/10.1016/j.rser.2021.110801</v>
      </c>
      <c r="BJ509" s="32" t="s">
        <v>1225</v>
      </c>
      <c r="BK509" s="32" t="s">
        <v>2198</v>
      </c>
      <c r="BL509" s="32" t="s">
        <v>1225</v>
      </c>
      <c r="BM509" s="32" t="s">
        <v>1225</v>
      </c>
      <c r="BN509" s="32" t="s">
        <v>1225</v>
      </c>
      <c r="BO509" s="32" t="s">
        <v>1225</v>
      </c>
      <c r="BP509" s="32" t="s">
        <v>1225</v>
      </c>
      <c r="BQ509" s="32" t="s">
        <v>1225</v>
      </c>
      <c r="BR509" s="32" t="s">
        <v>1225</v>
      </c>
      <c r="BS509" s="32" t="s">
        <v>1225</v>
      </c>
      <c r="BT509" s="32" t="s">
        <v>1225</v>
      </c>
      <c r="BU509" s="32" t="s">
        <v>1225</v>
      </c>
      <c r="BV509" s="32" t="s">
        <v>1225</v>
      </c>
      <c r="BW509" s="32" t="str">
        <f t="shared" si="14"/>
        <v>View Full Record in Web of Science</v>
      </c>
      <c r="BY509" s="41" t="str">
        <f>IF(Deletion!J509=TRUE,"Yes","No")</f>
        <v>No</v>
      </c>
    </row>
    <row r="510" spans="1:77" x14ac:dyDescent="0.15">
      <c r="A510" s="34">
        <f t="shared" si="15"/>
        <v>509</v>
      </c>
      <c r="B510" s="34" t="s">
        <v>4</v>
      </c>
      <c r="C510" s="34" t="s">
        <v>4</v>
      </c>
      <c r="D510" s="34" t="s">
        <v>1223</v>
      </c>
      <c r="E510" s="34" t="s">
        <v>4740</v>
      </c>
      <c r="F510" s="32" t="s">
        <v>1225</v>
      </c>
      <c r="G510" s="32" t="s">
        <v>1225</v>
      </c>
      <c r="H510" s="32" t="s">
        <v>1225</v>
      </c>
      <c r="I510" s="34" t="s">
        <v>4741</v>
      </c>
      <c r="J510" s="32" t="s">
        <v>1225</v>
      </c>
      <c r="K510" s="32" t="s">
        <v>1225</v>
      </c>
      <c r="L510" s="34" t="s">
        <v>4742</v>
      </c>
      <c r="M510" s="34" t="s">
        <v>849</v>
      </c>
      <c r="N510" s="32" t="s">
        <v>1225</v>
      </c>
      <c r="O510" s="32" t="s">
        <v>1225</v>
      </c>
      <c r="P510" s="32" t="s">
        <v>1225</v>
      </c>
      <c r="Q510" s="34" t="s">
        <v>1227</v>
      </c>
      <c r="R510" s="32" t="s">
        <v>1225</v>
      </c>
      <c r="S510" s="32" t="s">
        <v>1225</v>
      </c>
      <c r="T510" s="32" t="s">
        <v>1225</v>
      </c>
      <c r="U510" s="32" t="s">
        <v>1225</v>
      </c>
      <c r="V510" s="32" t="s">
        <v>1225</v>
      </c>
      <c r="W510" s="34" t="s">
        <v>4743</v>
      </c>
      <c r="X510" s="34" t="s">
        <v>4744</v>
      </c>
      <c r="Y510" s="34" t="s">
        <v>4745</v>
      </c>
      <c r="Z510" s="32" t="s">
        <v>1225</v>
      </c>
      <c r="AA510" s="32" t="s">
        <v>1225</v>
      </c>
      <c r="AB510" s="32" t="s">
        <v>1225</v>
      </c>
      <c r="AC510" s="32" t="s">
        <v>1225</v>
      </c>
      <c r="AD510" s="32" t="s">
        <v>1225</v>
      </c>
      <c r="AE510" s="32" t="s">
        <v>1225</v>
      </c>
      <c r="AF510" s="32" t="s">
        <v>1225</v>
      </c>
      <c r="AG510" s="32" t="s">
        <v>1225</v>
      </c>
      <c r="AH510" s="32" t="s">
        <v>1225</v>
      </c>
      <c r="AI510" s="32" t="s">
        <v>1225</v>
      </c>
      <c r="AJ510" s="32" t="s">
        <v>1225</v>
      </c>
      <c r="AK510" s="32" t="s">
        <v>1225</v>
      </c>
      <c r="AL510" s="32" t="s">
        <v>1225</v>
      </c>
      <c r="AM510" s="32" t="s">
        <v>1225</v>
      </c>
      <c r="AN510" s="32" t="s">
        <v>1225</v>
      </c>
      <c r="AO510" s="32" t="s">
        <v>1225</v>
      </c>
      <c r="AP510" s="32" t="s">
        <v>1225</v>
      </c>
      <c r="AQ510" s="32" t="s">
        <v>1225</v>
      </c>
      <c r="AR510" s="32" t="s">
        <v>1225</v>
      </c>
      <c r="AS510" s="32" t="s">
        <v>1225</v>
      </c>
      <c r="AT510" s="32" t="s">
        <v>1225</v>
      </c>
      <c r="AU510" s="32" t="s">
        <v>1225</v>
      </c>
      <c r="AV510" s="32" t="s">
        <v>1225</v>
      </c>
      <c r="AW510" s="34" t="s">
        <v>1272</v>
      </c>
      <c r="AX510" s="34">
        <v>2015</v>
      </c>
      <c r="AY510" s="32">
        <v>30</v>
      </c>
      <c r="AZ510" s="32">
        <v>2</v>
      </c>
      <c r="BA510" s="32" t="s">
        <v>1225</v>
      </c>
      <c r="BB510" s="32" t="s">
        <v>1225</v>
      </c>
      <c r="BC510" s="32" t="s">
        <v>1225</v>
      </c>
      <c r="BD510" s="32" t="s">
        <v>1225</v>
      </c>
      <c r="BE510" s="32">
        <v>882</v>
      </c>
      <c r="BF510" s="32">
        <v>891</v>
      </c>
      <c r="BG510" s="32" t="s">
        <v>1225</v>
      </c>
      <c r="BH510" s="34" t="s">
        <v>4746</v>
      </c>
      <c r="BI510" s="34" t="str">
        <f>HYPERLINK("http://dx.doi.org/10.1109/TPWRS.2014.2330375","http://dx.doi.org/10.1109/TPWRS.2014.2330375")</f>
        <v>http://dx.doi.org/10.1109/TPWRS.2014.2330375</v>
      </c>
      <c r="BJ510" s="32" t="s">
        <v>1225</v>
      </c>
      <c r="BK510" s="32" t="s">
        <v>1225</v>
      </c>
      <c r="BL510" s="32" t="s">
        <v>1225</v>
      </c>
      <c r="BM510" s="32" t="s">
        <v>1225</v>
      </c>
      <c r="BN510" s="32" t="s">
        <v>1225</v>
      </c>
      <c r="BO510" s="32" t="s">
        <v>1225</v>
      </c>
      <c r="BP510" s="32" t="s">
        <v>1225</v>
      </c>
      <c r="BQ510" s="32" t="s">
        <v>1225</v>
      </c>
      <c r="BR510" s="32" t="s">
        <v>1225</v>
      </c>
      <c r="BS510" s="32" t="s">
        <v>1225</v>
      </c>
      <c r="BT510" s="32" t="s">
        <v>1225</v>
      </c>
      <c r="BU510" s="32" t="s">
        <v>1225</v>
      </c>
      <c r="BV510" s="32" t="s">
        <v>1225</v>
      </c>
      <c r="BW510" s="32" t="str">
        <f t="shared" si="14"/>
        <v>View Full Record in Web of Science</v>
      </c>
      <c r="BY510" s="41" t="str">
        <f>IF(Deletion!J510=TRUE,"Yes","No")</f>
        <v>No</v>
      </c>
    </row>
    <row r="511" spans="1:77" x14ac:dyDescent="0.15">
      <c r="A511" s="32">
        <f t="shared" si="15"/>
        <v>510</v>
      </c>
      <c r="D511" s="32" t="s">
        <v>1223</v>
      </c>
      <c r="E511" s="32" t="s">
        <v>4747</v>
      </c>
      <c r="F511" s="32" t="s">
        <v>1225</v>
      </c>
      <c r="G511" s="32" t="s">
        <v>1225</v>
      </c>
      <c r="H511" s="32" t="s">
        <v>1225</v>
      </c>
      <c r="I511" s="32" t="s">
        <v>4748</v>
      </c>
      <c r="J511" s="32" t="s">
        <v>1225</v>
      </c>
      <c r="K511" s="32" t="s">
        <v>1225</v>
      </c>
      <c r="L511" s="32" t="s">
        <v>4749</v>
      </c>
      <c r="M511" s="32" t="s">
        <v>572</v>
      </c>
      <c r="N511" s="32" t="s">
        <v>1225</v>
      </c>
      <c r="O511" s="32" t="s">
        <v>1225</v>
      </c>
      <c r="P511" s="32" t="s">
        <v>1225</v>
      </c>
      <c r="Q511" s="32" t="s">
        <v>1227</v>
      </c>
      <c r="R511" s="32" t="s">
        <v>1225</v>
      </c>
      <c r="S511" s="32" t="s">
        <v>1225</v>
      </c>
      <c r="T511" s="32" t="s">
        <v>1225</v>
      </c>
      <c r="U511" s="32" t="s">
        <v>1225</v>
      </c>
      <c r="V511" s="32" t="s">
        <v>1225</v>
      </c>
      <c r="W511" s="32" t="s">
        <v>4750</v>
      </c>
      <c r="X511" s="32" t="s">
        <v>4751</v>
      </c>
      <c r="Y511" s="32" t="s">
        <v>4752</v>
      </c>
      <c r="Z511" s="32" t="s">
        <v>1225</v>
      </c>
      <c r="AA511" s="32" t="s">
        <v>1225</v>
      </c>
      <c r="AB511" s="32" t="s">
        <v>1225</v>
      </c>
      <c r="AC511" s="32" t="s">
        <v>1225</v>
      </c>
      <c r="AD511" s="32" t="s">
        <v>1225</v>
      </c>
      <c r="AE511" s="32" t="s">
        <v>1225</v>
      </c>
      <c r="AF511" s="32" t="s">
        <v>1225</v>
      </c>
      <c r="AG511" s="32" t="s">
        <v>1225</v>
      </c>
      <c r="AH511" s="32" t="s">
        <v>1225</v>
      </c>
      <c r="AI511" s="32" t="s">
        <v>1225</v>
      </c>
      <c r="AJ511" s="32" t="s">
        <v>1225</v>
      </c>
      <c r="AK511" s="32" t="s">
        <v>1225</v>
      </c>
      <c r="AL511" s="32" t="s">
        <v>1225</v>
      </c>
      <c r="AM511" s="32" t="s">
        <v>1225</v>
      </c>
      <c r="AN511" s="32" t="s">
        <v>1225</v>
      </c>
      <c r="AO511" s="32" t="s">
        <v>1225</v>
      </c>
      <c r="AP511" s="32" t="s">
        <v>1225</v>
      </c>
      <c r="AQ511" s="32" t="s">
        <v>1225</v>
      </c>
      <c r="AR511" s="32" t="s">
        <v>1225</v>
      </c>
      <c r="AS511" s="32" t="s">
        <v>1225</v>
      </c>
      <c r="AT511" s="32" t="s">
        <v>1225</v>
      </c>
      <c r="AU511" s="32" t="s">
        <v>1225</v>
      </c>
      <c r="AV511" s="32" t="s">
        <v>1225</v>
      </c>
      <c r="AW511" s="32" t="s">
        <v>1285</v>
      </c>
      <c r="AX511" s="32">
        <v>2016</v>
      </c>
      <c r="AY511" s="32">
        <v>63</v>
      </c>
      <c r="AZ511" s="32">
        <v>5</v>
      </c>
      <c r="BA511" s="32" t="s">
        <v>1225</v>
      </c>
      <c r="BB511" s="32" t="s">
        <v>1225</v>
      </c>
      <c r="BC511" s="32" t="s">
        <v>1225</v>
      </c>
      <c r="BD511" s="32" t="s">
        <v>1225</v>
      </c>
      <c r="BE511" s="32">
        <v>3060</v>
      </c>
      <c r="BF511" s="32">
        <v>3071</v>
      </c>
      <c r="BG511" s="32" t="s">
        <v>1225</v>
      </c>
      <c r="BH511" s="32" t="s">
        <v>4753</v>
      </c>
      <c r="BI511" s="32" t="str">
        <f>HYPERLINK("http://dx.doi.org/10.1109/TIE.2016.2516975","http://dx.doi.org/10.1109/TIE.2016.2516975")</f>
        <v>http://dx.doi.org/10.1109/TIE.2016.2516975</v>
      </c>
      <c r="BJ511" s="32" t="s">
        <v>1225</v>
      </c>
      <c r="BK511" s="32" t="s">
        <v>1225</v>
      </c>
      <c r="BL511" s="32" t="s">
        <v>1225</v>
      </c>
      <c r="BM511" s="32" t="s">
        <v>1225</v>
      </c>
      <c r="BN511" s="32" t="s">
        <v>1225</v>
      </c>
      <c r="BO511" s="32" t="s">
        <v>1225</v>
      </c>
      <c r="BP511" s="32" t="s">
        <v>1225</v>
      </c>
      <c r="BQ511" s="32" t="s">
        <v>1225</v>
      </c>
      <c r="BR511" s="32" t="s">
        <v>1225</v>
      </c>
      <c r="BS511" s="32" t="s">
        <v>1225</v>
      </c>
      <c r="BT511" s="32" t="s">
        <v>1225</v>
      </c>
      <c r="BU511" s="32" t="s">
        <v>1225</v>
      </c>
      <c r="BV511" s="32" t="s">
        <v>1225</v>
      </c>
      <c r="BW511" s="32" t="str">
        <f t="shared" si="14"/>
        <v>View Full Record in Web of Science</v>
      </c>
      <c r="BY511" s="41" t="str">
        <f>IF(Deletion!J511=TRUE,"Yes","No")</f>
        <v>Yes</v>
      </c>
    </row>
    <row r="512" spans="1:77" x14ac:dyDescent="0.15">
      <c r="A512" s="32">
        <f t="shared" si="15"/>
        <v>511</v>
      </c>
      <c r="D512" s="32" t="s">
        <v>1223</v>
      </c>
      <c r="E512" s="32" t="s">
        <v>4754</v>
      </c>
      <c r="F512" s="32" t="s">
        <v>1225</v>
      </c>
      <c r="G512" s="32" t="s">
        <v>1225</v>
      </c>
      <c r="H512" s="32" t="s">
        <v>1225</v>
      </c>
      <c r="I512" s="32" t="s">
        <v>4755</v>
      </c>
      <c r="J512" s="32" t="s">
        <v>1225</v>
      </c>
      <c r="K512" s="32" t="s">
        <v>1225</v>
      </c>
      <c r="L512" s="32" t="s">
        <v>4756</v>
      </c>
      <c r="M512" s="32" t="s">
        <v>1507</v>
      </c>
      <c r="N512" s="32" t="s">
        <v>1225</v>
      </c>
      <c r="O512" s="32" t="s">
        <v>1225</v>
      </c>
      <c r="P512" s="32" t="s">
        <v>1225</v>
      </c>
      <c r="Q512" s="32" t="s">
        <v>1227</v>
      </c>
      <c r="R512" s="32" t="s">
        <v>1225</v>
      </c>
      <c r="S512" s="32" t="s">
        <v>1225</v>
      </c>
      <c r="T512" s="32" t="s">
        <v>1225</v>
      </c>
      <c r="U512" s="32" t="s">
        <v>1225</v>
      </c>
      <c r="V512" s="32" t="s">
        <v>1225</v>
      </c>
      <c r="W512" s="32" t="s">
        <v>4757</v>
      </c>
      <c r="X512" s="32" t="s">
        <v>4758</v>
      </c>
      <c r="Y512" s="32" t="s">
        <v>4759</v>
      </c>
      <c r="Z512" s="32" t="s">
        <v>1225</v>
      </c>
      <c r="AA512" s="32" t="s">
        <v>1225</v>
      </c>
      <c r="AB512" s="32" t="s">
        <v>1225</v>
      </c>
      <c r="AC512" s="32" t="s">
        <v>1225</v>
      </c>
      <c r="AD512" s="32" t="s">
        <v>1225</v>
      </c>
      <c r="AE512" s="32" t="s">
        <v>1225</v>
      </c>
      <c r="AF512" s="32" t="s">
        <v>1225</v>
      </c>
      <c r="AG512" s="32" t="s">
        <v>1225</v>
      </c>
      <c r="AH512" s="32" t="s">
        <v>1225</v>
      </c>
      <c r="AI512" s="32" t="s">
        <v>1225</v>
      </c>
      <c r="AJ512" s="32" t="s">
        <v>1225</v>
      </c>
      <c r="AK512" s="32" t="s">
        <v>1225</v>
      </c>
      <c r="AL512" s="32" t="s">
        <v>1225</v>
      </c>
      <c r="AM512" s="32" t="s">
        <v>1225</v>
      </c>
      <c r="AN512" s="32" t="s">
        <v>1225</v>
      </c>
      <c r="AO512" s="32" t="s">
        <v>1225</v>
      </c>
      <c r="AP512" s="32" t="s">
        <v>1225</v>
      </c>
      <c r="AQ512" s="32" t="s">
        <v>1225</v>
      </c>
      <c r="AR512" s="32" t="s">
        <v>1225</v>
      </c>
      <c r="AS512" s="32" t="s">
        <v>1225</v>
      </c>
      <c r="AT512" s="32" t="s">
        <v>1225</v>
      </c>
      <c r="AU512" s="32" t="s">
        <v>1225</v>
      </c>
      <c r="AV512" s="32" t="s">
        <v>1225</v>
      </c>
      <c r="AW512" s="32" t="s">
        <v>1317</v>
      </c>
      <c r="AX512" s="32">
        <v>2020</v>
      </c>
      <c r="AY512" s="32">
        <v>38</v>
      </c>
      <c r="AZ512" s="32">
        <v>1</v>
      </c>
      <c r="BA512" s="32" t="s">
        <v>1225</v>
      </c>
      <c r="BB512" s="32" t="s">
        <v>1225</v>
      </c>
      <c r="BC512" s="32" t="s">
        <v>1511</v>
      </c>
      <c r="BD512" s="32" t="s">
        <v>1225</v>
      </c>
      <c r="BE512" s="32">
        <v>5</v>
      </c>
      <c r="BF512" s="32">
        <v>16</v>
      </c>
      <c r="BG512" s="32" t="s">
        <v>1225</v>
      </c>
      <c r="BH512" s="32" t="s">
        <v>4760</v>
      </c>
      <c r="BI512" s="32" t="str">
        <f>HYPERLINK("http://dx.doi.org/10.1109/JSAC.2019.2951930","http://dx.doi.org/10.1109/JSAC.2019.2951930")</f>
        <v>http://dx.doi.org/10.1109/JSAC.2019.2951930</v>
      </c>
      <c r="BJ512" s="32" t="s">
        <v>1225</v>
      </c>
      <c r="BK512" s="32" t="s">
        <v>1225</v>
      </c>
      <c r="BL512" s="32" t="s">
        <v>1225</v>
      </c>
      <c r="BM512" s="32" t="s">
        <v>1225</v>
      </c>
      <c r="BN512" s="32" t="s">
        <v>1225</v>
      </c>
      <c r="BO512" s="32" t="s">
        <v>1225</v>
      </c>
      <c r="BP512" s="32" t="s">
        <v>1225</v>
      </c>
      <c r="BQ512" s="32" t="s">
        <v>1225</v>
      </c>
      <c r="BR512" s="32" t="s">
        <v>1225</v>
      </c>
      <c r="BS512" s="32" t="s">
        <v>1225</v>
      </c>
      <c r="BT512" s="32" t="s">
        <v>1225</v>
      </c>
      <c r="BU512" s="32" t="s">
        <v>1225</v>
      </c>
      <c r="BV512" s="32" t="s">
        <v>1225</v>
      </c>
      <c r="BW512" s="32" t="str">
        <f t="shared" si="14"/>
        <v>View Full Record in Web of Science</v>
      </c>
      <c r="BY512" s="41" t="str">
        <f>IF(Deletion!J512=TRUE,"Yes","No")</f>
        <v>Yes</v>
      </c>
    </row>
    <row r="513" spans="1:77" x14ac:dyDescent="0.15">
      <c r="A513" s="32">
        <f t="shared" si="15"/>
        <v>512</v>
      </c>
      <c r="D513" s="32" t="s">
        <v>1223</v>
      </c>
      <c r="E513" s="32" t="s">
        <v>4761</v>
      </c>
      <c r="F513" s="32" t="s">
        <v>1225</v>
      </c>
      <c r="G513" s="32" t="s">
        <v>1225</v>
      </c>
      <c r="H513" s="32" t="s">
        <v>1225</v>
      </c>
      <c r="I513" s="32" t="s">
        <v>4762</v>
      </c>
      <c r="J513" s="32" t="s">
        <v>1225</v>
      </c>
      <c r="K513" s="32" t="s">
        <v>1225</v>
      </c>
      <c r="L513" s="32" t="s">
        <v>4763</v>
      </c>
      <c r="M513" s="32" t="s">
        <v>4099</v>
      </c>
      <c r="N513" s="32" t="s">
        <v>1225</v>
      </c>
      <c r="O513" s="32" t="s">
        <v>1225</v>
      </c>
      <c r="P513" s="32" t="s">
        <v>1225</v>
      </c>
      <c r="Q513" s="32" t="s">
        <v>1227</v>
      </c>
      <c r="R513" s="32" t="s">
        <v>1225</v>
      </c>
      <c r="S513" s="32" t="s">
        <v>1225</v>
      </c>
      <c r="T513" s="32" t="s">
        <v>1225</v>
      </c>
      <c r="U513" s="32" t="s">
        <v>1225</v>
      </c>
      <c r="V513" s="32" t="s">
        <v>1225</v>
      </c>
      <c r="W513" s="32" t="s">
        <v>4764</v>
      </c>
      <c r="X513" s="32" t="s">
        <v>4765</v>
      </c>
      <c r="Y513" s="32" t="s">
        <v>4766</v>
      </c>
      <c r="Z513" s="32" t="s">
        <v>1225</v>
      </c>
      <c r="AA513" s="32" t="s">
        <v>1225</v>
      </c>
      <c r="AB513" s="32" t="s">
        <v>1225</v>
      </c>
      <c r="AC513" s="32" t="s">
        <v>1225</v>
      </c>
      <c r="AD513" s="32" t="s">
        <v>1225</v>
      </c>
      <c r="AE513" s="32" t="s">
        <v>1225</v>
      </c>
      <c r="AF513" s="32" t="s">
        <v>1225</v>
      </c>
      <c r="AG513" s="32" t="s">
        <v>1225</v>
      </c>
      <c r="AH513" s="32" t="s">
        <v>1225</v>
      </c>
      <c r="AI513" s="32" t="s">
        <v>1225</v>
      </c>
      <c r="AJ513" s="32" t="s">
        <v>1225</v>
      </c>
      <c r="AK513" s="32" t="s">
        <v>1225</v>
      </c>
      <c r="AL513" s="32" t="s">
        <v>1225</v>
      </c>
      <c r="AM513" s="32" t="s">
        <v>1225</v>
      </c>
      <c r="AN513" s="32" t="s">
        <v>1225</v>
      </c>
      <c r="AO513" s="32" t="s">
        <v>1225</v>
      </c>
      <c r="AP513" s="32" t="s">
        <v>1225</v>
      </c>
      <c r="AQ513" s="32" t="s">
        <v>1225</v>
      </c>
      <c r="AR513" s="32" t="s">
        <v>1225</v>
      </c>
      <c r="AS513" s="32" t="s">
        <v>1225</v>
      </c>
      <c r="AT513" s="32" t="s">
        <v>1225</v>
      </c>
      <c r="AU513" s="32" t="s">
        <v>1225</v>
      </c>
      <c r="AV513" s="32" t="s">
        <v>1225</v>
      </c>
      <c r="AW513" s="32" t="s">
        <v>4767</v>
      </c>
      <c r="AX513" s="32">
        <v>2015</v>
      </c>
      <c r="AY513" s="32">
        <v>43</v>
      </c>
      <c r="AZ513" s="32">
        <v>20</v>
      </c>
      <c r="BA513" s="32" t="s">
        <v>1225</v>
      </c>
      <c r="BB513" s="32" t="s">
        <v>1225</v>
      </c>
      <c r="BC513" s="32" t="s">
        <v>1225</v>
      </c>
      <c r="BD513" s="32" t="s">
        <v>1225</v>
      </c>
      <c r="BE513" s="32">
        <v>2311</v>
      </c>
      <c r="BF513" s="32">
        <v>2324</v>
      </c>
      <c r="BG513" s="32" t="s">
        <v>1225</v>
      </c>
      <c r="BH513" s="32" t="s">
        <v>4768</v>
      </c>
      <c r="BI513" s="32" t="str">
        <f>HYPERLINK("http://dx.doi.org/10.1080/15325008.2015.1080770","http://dx.doi.org/10.1080/15325008.2015.1080770")</f>
        <v>http://dx.doi.org/10.1080/15325008.2015.1080770</v>
      </c>
      <c r="BJ513" s="32" t="s">
        <v>1225</v>
      </c>
      <c r="BK513" s="32" t="s">
        <v>1225</v>
      </c>
      <c r="BL513" s="32" t="s">
        <v>1225</v>
      </c>
      <c r="BM513" s="32" t="s">
        <v>1225</v>
      </c>
      <c r="BN513" s="32" t="s">
        <v>1225</v>
      </c>
      <c r="BO513" s="32" t="s">
        <v>1225</v>
      </c>
      <c r="BP513" s="32" t="s">
        <v>1225</v>
      </c>
      <c r="BQ513" s="32" t="s">
        <v>1225</v>
      </c>
      <c r="BR513" s="32" t="s">
        <v>1225</v>
      </c>
      <c r="BS513" s="32" t="s">
        <v>1225</v>
      </c>
      <c r="BT513" s="32" t="s">
        <v>1225</v>
      </c>
      <c r="BU513" s="32" t="s">
        <v>1225</v>
      </c>
      <c r="BV513" s="32" t="s">
        <v>1225</v>
      </c>
      <c r="BW513" s="32" t="str">
        <f t="shared" si="14"/>
        <v>View Full Record in Web of Science</v>
      </c>
      <c r="BY513" s="41" t="str">
        <f>IF(Deletion!J513=TRUE,"Yes","No")</f>
        <v>Yes</v>
      </c>
    </row>
    <row r="514" spans="1:77" x14ac:dyDescent="0.15">
      <c r="A514" s="32">
        <f t="shared" si="15"/>
        <v>513</v>
      </c>
      <c r="D514" s="32" t="s">
        <v>1223</v>
      </c>
      <c r="E514" s="32" t="s">
        <v>4769</v>
      </c>
      <c r="F514" s="32" t="s">
        <v>1225</v>
      </c>
      <c r="G514" s="32" t="s">
        <v>1225</v>
      </c>
      <c r="H514" s="32" t="s">
        <v>1225</v>
      </c>
      <c r="I514" s="32" t="s">
        <v>4770</v>
      </c>
      <c r="J514" s="32" t="s">
        <v>1225</v>
      </c>
      <c r="K514" s="32" t="s">
        <v>1225</v>
      </c>
      <c r="L514" s="32" t="s">
        <v>4771</v>
      </c>
      <c r="M514" s="32" t="s">
        <v>422</v>
      </c>
      <c r="N514" s="32" t="s">
        <v>1225</v>
      </c>
      <c r="O514" s="32" t="s">
        <v>1225</v>
      </c>
      <c r="P514" s="32" t="s">
        <v>1225</v>
      </c>
      <c r="Q514" s="32" t="s">
        <v>1227</v>
      </c>
      <c r="R514" s="32" t="s">
        <v>1225</v>
      </c>
      <c r="S514" s="32" t="s">
        <v>1225</v>
      </c>
      <c r="T514" s="32" t="s">
        <v>1225</v>
      </c>
      <c r="U514" s="32" t="s">
        <v>1225</v>
      </c>
      <c r="V514" s="32" t="s">
        <v>1225</v>
      </c>
      <c r="W514" s="32" t="s">
        <v>4772</v>
      </c>
      <c r="X514" s="32" t="s">
        <v>4773</v>
      </c>
      <c r="Y514" s="32" t="s">
        <v>4774</v>
      </c>
      <c r="Z514" s="32" t="s">
        <v>1225</v>
      </c>
      <c r="AA514" s="32" t="s">
        <v>1225</v>
      </c>
      <c r="AB514" s="32" t="s">
        <v>1225</v>
      </c>
      <c r="AC514" s="32" t="s">
        <v>1225</v>
      </c>
      <c r="AD514" s="32" t="s">
        <v>1225</v>
      </c>
      <c r="AE514" s="32" t="s">
        <v>1225</v>
      </c>
      <c r="AF514" s="32" t="s">
        <v>1225</v>
      </c>
      <c r="AG514" s="32" t="s">
        <v>1225</v>
      </c>
      <c r="AH514" s="32" t="s">
        <v>1225</v>
      </c>
      <c r="AI514" s="32" t="s">
        <v>1225</v>
      </c>
      <c r="AJ514" s="32" t="s">
        <v>1225</v>
      </c>
      <c r="AK514" s="32" t="s">
        <v>1225</v>
      </c>
      <c r="AL514" s="32" t="s">
        <v>1225</v>
      </c>
      <c r="AM514" s="32" t="s">
        <v>1225</v>
      </c>
      <c r="AN514" s="32" t="s">
        <v>1225</v>
      </c>
      <c r="AO514" s="32" t="s">
        <v>1225</v>
      </c>
      <c r="AP514" s="32" t="s">
        <v>1225</v>
      </c>
      <c r="AQ514" s="32" t="s">
        <v>1225</v>
      </c>
      <c r="AR514" s="32" t="s">
        <v>1225</v>
      </c>
      <c r="AS514" s="32" t="s">
        <v>1225</v>
      </c>
      <c r="AT514" s="32" t="s">
        <v>1225</v>
      </c>
      <c r="AU514" s="32" t="s">
        <v>1225</v>
      </c>
      <c r="AV514" s="32" t="s">
        <v>1225</v>
      </c>
      <c r="AW514" s="32" t="s">
        <v>4775</v>
      </c>
      <c r="AX514" s="32">
        <v>2019</v>
      </c>
      <c r="AY514" s="32">
        <v>12</v>
      </c>
      <c r="AZ514" s="32">
        <v>4</v>
      </c>
      <c r="BA514" s="32" t="s">
        <v>1225</v>
      </c>
      <c r="BB514" s="32" t="s">
        <v>1225</v>
      </c>
      <c r="BC514" s="32" t="s">
        <v>1225</v>
      </c>
      <c r="BD514" s="32" t="s">
        <v>1225</v>
      </c>
      <c r="BE514" s="32" t="s">
        <v>1225</v>
      </c>
      <c r="BF514" s="32" t="s">
        <v>1225</v>
      </c>
      <c r="BG514" s="32">
        <v>686</v>
      </c>
      <c r="BH514" s="32" t="s">
        <v>4776</v>
      </c>
      <c r="BI514" s="32" t="str">
        <f>HYPERLINK("http://dx.doi.org/10.3390/en12040686","http://dx.doi.org/10.3390/en12040686")</f>
        <v>http://dx.doi.org/10.3390/en12040686</v>
      </c>
      <c r="BJ514" s="32" t="s">
        <v>1225</v>
      </c>
      <c r="BK514" s="32" t="s">
        <v>1225</v>
      </c>
      <c r="BL514" s="32" t="s">
        <v>1225</v>
      </c>
      <c r="BM514" s="32" t="s">
        <v>1225</v>
      </c>
      <c r="BN514" s="32" t="s">
        <v>1225</v>
      </c>
      <c r="BO514" s="32" t="s">
        <v>1225</v>
      </c>
      <c r="BP514" s="32" t="s">
        <v>1225</v>
      </c>
      <c r="BQ514" s="32" t="s">
        <v>1225</v>
      </c>
      <c r="BR514" s="32" t="s">
        <v>1225</v>
      </c>
      <c r="BS514" s="32" t="s">
        <v>1225</v>
      </c>
      <c r="BT514" s="32" t="s">
        <v>1225</v>
      </c>
      <c r="BU514" s="32" t="s">
        <v>1225</v>
      </c>
      <c r="BV514" s="32" t="s">
        <v>1225</v>
      </c>
      <c r="BW514" s="32" t="str">
        <f t="shared" ref="BW514:BW577" si="16">HYPERLINK("https%3A%2F%2Fwww.webofscience.com%2Fwos%2Fwoscc%2Ffull-record%2F","View Full Record in Web of Science")</f>
        <v>View Full Record in Web of Science</v>
      </c>
      <c r="BY514" s="41" t="str">
        <f>IF(Deletion!J514=TRUE,"Yes","No")</f>
        <v>Yes</v>
      </c>
    </row>
    <row r="515" spans="1:77" x14ac:dyDescent="0.15">
      <c r="A515" s="34">
        <f t="shared" si="15"/>
        <v>514</v>
      </c>
      <c r="B515" s="34" t="s">
        <v>4</v>
      </c>
      <c r="C515" s="34" t="s">
        <v>4</v>
      </c>
      <c r="D515" s="34" t="s">
        <v>1223</v>
      </c>
      <c r="E515" s="34" t="s">
        <v>4777</v>
      </c>
      <c r="F515" s="32" t="s">
        <v>1225</v>
      </c>
      <c r="G515" s="32" t="s">
        <v>1225</v>
      </c>
      <c r="H515" s="32" t="s">
        <v>1225</v>
      </c>
      <c r="I515" s="34" t="s">
        <v>4778</v>
      </c>
      <c r="J515" s="32" t="s">
        <v>1225</v>
      </c>
      <c r="K515" s="32" t="s">
        <v>1225</v>
      </c>
      <c r="L515" s="34" t="s">
        <v>4779</v>
      </c>
      <c r="M515" s="34" t="s">
        <v>3360</v>
      </c>
      <c r="N515" s="32" t="s">
        <v>1225</v>
      </c>
      <c r="O515" s="32" t="s">
        <v>1225</v>
      </c>
      <c r="P515" s="32" t="s">
        <v>1225</v>
      </c>
      <c r="Q515" s="34" t="s">
        <v>1227</v>
      </c>
      <c r="R515" s="32" t="s">
        <v>1225</v>
      </c>
      <c r="S515" s="32" t="s">
        <v>1225</v>
      </c>
      <c r="T515" s="32" t="s">
        <v>1225</v>
      </c>
      <c r="U515" s="32" t="s">
        <v>1225</v>
      </c>
      <c r="V515" s="32" t="s">
        <v>1225</v>
      </c>
      <c r="W515" s="34" t="s">
        <v>4780</v>
      </c>
      <c r="X515" s="34" t="s">
        <v>4781</v>
      </c>
      <c r="Y515" s="34" t="s">
        <v>4782</v>
      </c>
      <c r="Z515" s="32" t="s">
        <v>1225</v>
      </c>
      <c r="AA515" s="32" t="s">
        <v>1225</v>
      </c>
      <c r="AB515" s="32" t="s">
        <v>1225</v>
      </c>
      <c r="AC515" s="32" t="s">
        <v>1225</v>
      </c>
      <c r="AD515" s="32" t="s">
        <v>1225</v>
      </c>
      <c r="AE515" s="32" t="s">
        <v>1225</v>
      </c>
      <c r="AF515" s="32" t="s">
        <v>1225</v>
      </c>
      <c r="AG515" s="32" t="s">
        <v>1225</v>
      </c>
      <c r="AH515" s="32" t="s">
        <v>1225</v>
      </c>
      <c r="AI515" s="32" t="s">
        <v>1225</v>
      </c>
      <c r="AJ515" s="32" t="s">
        <v>1225</v>
      </c>
      <c r="AK515" s="32" t="s">
        <v>1225</v>
      </c>
      <c r="AL515" s="32" t="s">
        <v>1225</v>
      </c>
      <c r="AM515" s="32" t="s">
        <v>1225</v>
      </c>
      <c r="AN515" s="32" t="s">
        <v>1225</v>
      </c>
      <c r="AO515" s="32" t="s">
        <v>1225</v>
      </c>
      <c r="AP515" s="32" t="s">
        <v>1225</v>
      </c>
      <c r="AQ515" s="32" t="s">
        <v>1225</v>
      </c>
      <c r="AR515" s="32" t="s">
        <v>1225</v>
      </c>
      <c r="AS515" s="32" t="s">
        <v>1225</v>
      </c>
      <c r="AT515" s="32" t="s">
        <v>1225</v>
      </c>
      <c r="AU515" s="32" t="s">
        <v>1225</v>
      </c>
      <c r="AV515" s="32" t="s">
        <v>1225</v>
      </c>
      <c r="AW515" s="34" t="s">
        <v>1272</v>
      </c>
      <c r="AX515" s="34">
        <v>2019</v>
      </c>
      <c r="AY515" s="32">
        <v>13</v>
      </c>
      <c r="AZ515" s="32">
        <v>1</v>
      </c>
      <c r="BA515" s="32" t="s">
        <v>1225</v>
      </c>
      <c r="BB515" s="32" t="s">
        <v>1225</v>
      </c>
      <c r="BC515" s="32" t="s">
        <v>1225</v>
      </c>
      <c r="BD515" s="32" t="s">
        <v>1225</v>
      </c>
      <c r="BE515" s="32">
        <v>854</v>
      </c>
      <c r="BF515" s="32">
        <v>863</v>
      </c>
      <c r="BG515" s="32" t="s">
        <v>1225</v>
      </c>
      <c r="BH515" s="34" t="s">
        <v>4783</v>
      </c>
      <c r="BI515" s="34" t="str">
        <f>HYPERLINK("http://dx.doi.org/10.1109/JSYST.2018.2855971","http://dx.doi.org/10.1109/JSYST.2018.2855971")</f>
        <v>http://dx.doi.org/10.1109/JSYST.2018.2855971</v>
      </c>
      <c r="BJ515" s="32" t="s">
        <v>1225</v>
      </c>
      <c r="BK515" s="32" t="s">
        <v>1225</v>
      </c>
      <c r="BL515" s="32" t="s">
        <v>1225</v>
      </c>
      <c r="BM515" s="32" t="s">
        <v>1225</v>
      </c>
      <c r="BN515" s="32" t="s">
        <v>1225</v>
      </c>
      <c r="BO515" s="32" t="s">
        <v>1225</v>
      </c>
      <c r="BP515" s="32" t="s">
        <v>1225</v>
      </c>
      <c r="BQ515" s="32" t="s">
        <v>1225</v>
      </c>
      <c r="BR515" s="32" t="s">
        <v>1225</v>
      </c>
      <c r="BS515" s="32" t="s">
        <v>1225</v>
      </c>
      <c r="BT515" s="32" t="s">
        <v>1225</v>
      </c>
      <c r="BU515" s="32" t="s">
        <v>1225</v>
      </c>
      <c r="BV515" s="32" t="s">
        <v>1225</v>
      </c>
      <c r="BW515" s="32" t="str">
        <f t="shared" si="16"/>
        <v>View Full Record in Web of Science</v>
      </c>
      <c r="BY515" s="41" t="str">
        <f>IF(Deletion!J515=TRUE,"Yes","No")</f>
        <v>No</v>
      </c>
    </row>
    <row r="516" spans="1:77" x14ac:dyDescent="0.15">
      <c r="A516" s="38">
        <f t="shared" si="15"/>
        <v>515</v>
      </c>
      <c r="B516" s="38" t="s">
        <v>1413</v>
      </c>
      <c r="C516" s="38" t="s">
        <v>1413</v>
      </c>
      <c r="D516" s="38" t="s">
        <v>1223</v>
      </c>
      <c r="E516" s="38" t="s">
        <v>4784</v>
      </c>
      <c r="F516" s="32" t="s">
        <v>1225</v>
      </c>
      <c r="G516" s="32" t="s">
        <v>1225</v>
      </c>
      <c r="H516" s="32" t="s">
        <v>1225</v>
      </c>
      <c r="I516" s="38" t="s">
        <v>4785</v>
      </c>
      <c r="J516" s="32" t="s">
        <v>1225</v>
      </c>
      <c r="K516" s="32" t="s">
        <v>1225</v>
      </c>
      <c r="L516" s="38" t="s">
        <v>4786</v>
      </c>
      <c r="M516" s="38" t="s">
        <v>2302</v>
      </c>
      <c r="N516" s="32" t="s">
        <v>1225</v>
      </c>
      <c r="O516" s="32" t="s">
        <v>1225</v>
      </c>
      <c r="P516" s="32" t="s">
        <v>1225</v>
      </c>
      <c r="Q516" s="38" t="s">
        <v>1417</v>
      </c>
      <c r="R516" s="32" t="s">
        <v>1225</v>
      </c>
      <c r="S516" s="32" t="s">
        <v>1225</v>
      </c>
      <c r="T516" s="32" t="s">
        <v>1225</v>
      </c>
      <c r="U516" s="32" t="s">
        <v>1225</v>
      </c>
      <c r="V516" s="32" t="s">
        <v>1225</v>
      </c>
      <c r="W516" s="38" t="s">
        <v>4787</v>
      </c>
      <c r="X516" s="38" t="s">
        <v>4788</v>
      </c>
      <c r="Y516" s="38" t="s">
        <v>4789</v>
      </c>
      <c r="Z516" s="32" t="s">
        <v>1225</v>
      </c>
      <c r="AA516" s="32" t="s">
        <v>1225</v>
      </c>
      <c r="AB516" s="32" t="s">
        <v>1225</v>
      </c>
      <c r="AC516" s="32" t="s">
        <v>1225</v>
      </c>
      <c r="AD516" s="32" t="s">
        <v>1225</v>
      </c>
      <c r="AE516" s="32" t="s">
        <v>1225</v>
      </c>
      <c r="AF516" s="32" t="s">
        <v>1225</v>
      </c>
      <c r="AG516" s="32" t="s">
        <v>1225</v>
      </c>
      <c r="AH516" s="32" t="s">
        <v>1225</v>
      </c>
      <c r="AI516" s="32" t="s">
        <v>1225</v>
      </c>
      <c r="AJ516" s="32" t="s">
        <v>1225</v>
      </c>
      <c r="AK516" s="32" t="s">
        <v>1225</v>
      </c>
      <c r="AL516" s="32" t="s">
        <v>1225</v>
      </c>
      <c r="AM516" s="32" t="s">
        <v>1225</v>
      </c>
      <c r="AN516" s="32" t="s">
        <v>1225</v>
      </c>
      <c r="AO516" s="32" t="s">
        <v>1225</v>
      </c>
      <c r="AP516" s="32" t="s">
        <v>1225</v>
      </c>
      <c r="AQ516" s="32" t="s">
        <v>1225</v>
      </c>
      <c r="AR516" s="32" t="s">
        <v>1225</v>
      </c>
      <c r="AS516" s="32" t="s">
        <v>1225</v>
      </c>
      <c r="AT516" s="32" t="s">
        <v>1225</v>
      </c>
      <c r="AU516" s="32" t="s">
        <v>1225</v>
      </c>
      <c r="AV516" s="32" t="s">
        <v>1225</v>
      </c>
      <c r="AW516" s="38" t="s">
        <v>1272</v>
      </c>
      <c r="AX516" s="38">
        <v>2019</v>
      </c>
      <c r="AY516" s="32">
        <v>2</v>
      </c>
      <c r="AZ516" s="32">
        <v>1</v>
      </c>
      <c r="BA516" s="32" t="s">
        <v>1225</v>
      </c>
      <c r="BB516" s="32" t="s">
        <v>1225</v>
      </c>
      <c r="BC516" s="32" t="s">
        <v>1225</v>
      </c>
      <c r="BD516" s="32" t="s">
        <v>1225</v>
      </c>
      <c r="BE516" s="32">
        <v>25</v>
      </c>
      <c r="BF516" s="32">
        <v>33</v>
      </c>
      <c r="BG516" s="32" t="s">
        <v>1225</v>
      </c>
      <c r="BH516" s="38" t="s">
        <v>4790</v>
      </c>
      <c r="BI516" s="38" t="str">
        <f>HYPERLINK("http://dx.doi.org/10.1049/iet-stg.2018.0053","http://dx.doi.org/10.1049/iet-stg.2018.0053")</f>
        <v>http://dx.doi.org/10.1049/iet-stg.2018.0053</v>
      </c>
      <c r="BJ516" s="32" t="s">
        <v>1225</v>
      </c>
      <c r="BK516" s="32" t="s">
        <v>1225</v>
      </c>
      <c r="BL516" s="32" t="s">
        <v>1225</v>
      </c>
      <c r="BM516" s="32" t="s">
        <v>1225</v>
      </c>
      <c r="BN516" s="32" t="s">
        <v>1225</v>
      </c>
      <c r="BO516" s="32" t="s">
        <v>1225</v>
      </c>
      <c r="BP516" s="32" t="s">
        <v>1225</v>
      </c>
      <c r="BQ516" s="32" t="s">
        <v>1225</v>
      </c>
      <c r="BR516" s="32" t="s">
        <v>1225</v>
      </c>
      <c r="BS516" s="32" t="s">
        <v>1225</v>
      </c>
      <c r="BT516" s="32" t="s">
        <v>1225</v>
      </c>
      <c r="BU516" s="32" t="s">
        <v>1225</v>
      </c>
      <c r="BV516" s="32" t="s">
        <v>1225</v>
      </c>
      <c r="BW516" s="32" t="str">
        <f t="shared" si="16"/>
        <v>View Full Record in Web of Science</v>
      </c>
      <c r="BY516" s="41" t="str">
        <f>IF(Deletion!J516=TRUE,"Yes","No")</f>
        <v>Yes</v>
      </c>
    </row>
    <row r="517" spans="1:77" x14ac:dyDescent="0.15">
      <c r="A517" s="34">
        <f t="shared" ref="A517:A580" si="17">A516+1</f>
        <v>516</v>
      </c>
      <c r="B517" s="34" t="s">
        <v>4</v>
      </c>
      <c r="C517" s="34" t="s">
        <v>4</v>
      </c>
      <c r="D517" s="34" t="s">
        <v>1223</v>
      </c>
      <c r="E517" s="34" t="s">
        <v>4791</v>
      </c>
      <c r="F517" s="32" t="s">
        <v>1225</v>
      </c>
      <c r="G517" s="32" t="s">
        <v>1225</v>
      </c>
      <c r="H517" s="32" t="s">
        <v>1225</v>
      </c>
      <c r="I517" s="34" t="s">
        <v>4792</v>
      </c>
      <c r="J517" s="32" t="s">
        <v>1225</v>
      </c>
      <c r="K517" s="32" t="s">
        <v>1225</v>
      </c>
      <c r="L517" s="34" t="s">
        <v>4793</v>
      </c>
      <c r="M517" s="34" t="s">
        <v>4794</v>
      </c>
      <c r="N517" s="32" t="s">
        <v>1225</v>
      </c>
      <c r="O517" s="32" t="s">
        <v>1225</v>
      </c>
      <c r="P517" s="32" t="s">
        <v>1225</v>
      </c>
      <c r="Q517" s="34" t="s">
        <v>1227</v>
      </c>
      <c r="R517" s="32" t="s">
        <v>1225</v>
      </c>
      <c r="S517" s="32" t="s">
        <v>1225</v>
      </c>
      <c r="T517" s="32" t="s">
        <v>1225</v>
      </c>
      <c r="U517" s="32" t="s">
        <v>1225</v>
      </c>
      <c r="V517" s="32" t="s">
        <v>1225</v>
      </c>
      <c r="W517" s="34" t="s">
        <v>4795</v>
      </c>
      <c r="X517" s="34" t="s">
        <v>4796</v>
      </c>
      <c r="Y517" s="34" t="s">
        <v>4797</v>
      </c>
      <c r="Z517" s="32" t="s">
        <v>1225</v>
      </c>
      <c r="AA517" s="32" t="s">
        <v>1225</v>
      </c>
      <c r="AB517" s="32" t="s">
        <v>1225</v>
      </c>
      <c r="AC517" s="32" t="s">
        <v>1225</v>
      </c>
      <c r="AD517" s="32" t="s">
        <v>1225</v>
      </c>
      <c r="AE517" s="32" t="s">
        <v>1225</v>
      </c>
      <c r="AF517" s="32" t="s">
        <v>1225</v>
      </c>
      <c r="AG517" s="32" t="s">
        <v>1225</v>
      </c>
      <c r="AH517" s="32" t="s">
        <v>1225</v>
      </c>
      <c r="AI517" s="32" t="s">
        <v>1225</v>
      </c>
      <c r="AJ517" s="32" t="s">
        <v>1225</v>
      </c>
      <c r="AK517" s="32" t="s">
        <v>1225</v>
      </c>
      <c r="AL517" s="32" t="s">
        <v>1225</v>
      </c>
      <c r="AM517" s="32" t="s">
        <v>1225</v>
      </c>
      <c r="AN517" s="32" t="s">
        <v>1225</v>
      </c>
      <c r="AO517" s="32" t="s">
        <v>1225</v>
      </c>
      <c r="AP517" s="32" t="s">
        <v>1225</v>
      </c>
      <c r="AQ517" s="32" t="s">
        <v>1225</v>
      </c>
      <c r="AR517" s="32" t="s">
        <v>1225</v>
      </c>
      <c r="AS517" s="32" t="s">
        <v>1225</v>
      </c>
      <c r="AT517" s="32" t="s">
        <v>1225</v>
      </c>
      <c r="AU517" s="32" t="s">
        <v>1225</v>
      </c>
      <c r="AV517" s="32" t="s">
        <v>1225</v>
      </c>
      <c r="AW517" s="34" t="s">
        <v>1317</v>
      </c>
      <c r="AX517" s="34">
        <v>2022</v>
      </c>
      <c r="AY517" s="32">
        <v>19</v>
      </c>
      <c r="AZ517" s="32">
        <v>1</v>
      </c>
      <c r="BA517" s="32" t="s">
        <v>1225</v>
      </c>
      <c r="BB517" s="32" t="s">
        <v>1225</v>
      </c>
      <c r="BC517" s="32" t="s">
        <v>1225</v>
      </c>
      <c r="BD517" s="32" t="s">
        <v>1225</v>
      </c>
      <c r="BE517" s="32">
        <v>48</v>
      </c>
      <c r="BF517" s="32">
        <v>59</v>
      </c>
      <c r="BG517" s="32" t="s">
        <v>1225</v>
      </c>
      <c r="BH517" s="34" t="s">
        <v>4798</v>
      </c>
      <c r="BI517" s="34" t="str">
        <f>HYPERLINK("http://dx.doi.org/10.1109/TASE.2021.3066001","http://dx.doi.org/10.1109/TASE.2021.3066001")</f>
        <v>http://dx.doi.org/10.1109/TASE.2021.3066001</v>
      </c>
      <c r="BJ517" s="32" t="s">
        <v>1225</v>
      </c>
      <c r="BK517" s="32" t="s">
        <v>2627</v>
      </c>
      <c r="BL517" s="32" t="s">
        <v>1225</v>
      </c>
      <c r="BM517" s="32" t="s">
        <v>1225</v>
      </c>
      <c r="BN517" s="32" t="s">
        <v>1225</v>
      </c>
      <c r="BO517" s="32" t="s">
        <v>1225</v>
      </c>
      <c r="BP517" s="32" t="s">
        <v>1225</v>
      </c>
      <c r="BQ517" s="32" t="s">
        <v>1225</v>
      </c>
      <c r="BR517" s="32" t="s">
        <v>1225</v>
      </c>
      <c r="BS517" s="32" t="s">
        <v>1225</v>
      </c>
      <c r="BT517" s="32" t="s">
        <v>1225</v>
      </c>
      <c r="BU517" s="32" t="s">
        <v>1225</v>
      </c>
      <c r="BV517" s="32" t="s">
        <v>1225</v>
      </c>
      <c r="BW517" s="32" t="str">
        <f t="shared" si="16"/>
        <v>View Full Record in Web of Science</v>
      </c>
      <c r="BY517" s="41" t="str">
        <f>IF(Deletion!J517=TRUE,"Yes","No")</f>
        <v>No</v>
      </c>
    </row>
    <row r="518" spans="1:77" x14ac:dyDescent="0.15">
      <c r="A518" s="32">
        <f t="shared" si="17"/>
        <v>517</v>
      </c>
      <c r="D518" s="32" t="s">
        <v>1223</v>
      </c>
      <c r="E518" s="32" t="s">
        <v>4799</v>
      </c>
      <c r="F518" s="32" t="s">
        <v>1225</v>
      </c>
      <c r="G518" s="32" t="s">
        <v>1225</v>
      </c>
      <c r="H518" s="32" t="s">
        <v>1225</v>
      </c>
      <c r="I518" s="32" t="s">
        <v>4800</v>
      </c>
      <c r="J518" s="32" t="s">
        <v>1225</v>
      </c>
      <c r="K518" s="32" t="s">
        <v>1225</v>
      </c>
      <c r="L518" s="32" t="s">
        <v>4801</v>
      </c>
      <c r="M518" s="32" t="s">
        <v>1743</v>
      </c>
      <c r="N518" s="32" t="s">
        <v>1225</v>
      </c>
      <c r="O518" s="32" t="s">
        <v>1225</v>
      </c>
      <c r="P518" s="32" t="s">
        <v>1225</v>
      </c>
      <c r="Q518" s="32" t="s">
        <v>1227</v>
      </c>
      <c r="R518" s="32" t="s">
        <v>1225</v>
      </c>
      <c r="S518" s="32" t="s">
        <v>1225</v>
      </c>
      <c r="T518" s="32" t="s">
        <v>1225</v>
      </c>
      <c r="U518" s="32" t="s">
        <v>1225</v>
      </c>
      <c r="V518" s="32" t="s">
        <v>1225</v>
      </c>
      <c r="W518" s="32" t="s">
        <v>4802</v>
      </c>
      <c r="X518" s="32" t="s">
        <v>4803</v>
      </c>
      <c r="Y518" s="32" t="s">
        <v>4804</v>
      </c>
      <c r="Z518" s="32" t="s">
        <v>1225</v>
      </c>
      <c r="AA518" s="32" t="s">
        <v>1225</v>
      </c>
      <c r="AB518" s="32" t="s">
        <v>1225</v>
      </c>
      <c r="AC518" s="32" t="s">
        <v>1225</v>
      </c>
      <c r="AD518" s="32" t="s">
        <v>1225</v>
      </c>
      <c r="AE518" s="32" t="s">
        <v>1225</v>
      </c>
      <c r="AF518" s="32" t="s">
        <v>1225</v>
      </c>
      <c r="AG518" s="32" t="s">
        <v>1225</v>
      </c>
      <c r="AH518" s="32" t="s">
        <v>1225</v>
      </c>
      <c r="AI518" s="32" t="s">
        <v>1225</v>
      </c>
      <c r="AJ518" s="32" t="s">
        <v>1225</v>
      </c>
      <c r="AK518" s="32" t="s">
        <v>1225</v>
      </c>
      <c r="AL518" s="32" t="s">
        <v>1225</v>
      </c>
      <c r="AM518" s="32" t="s">
        <v>1225</v>
      </c>
      <c r="AN518" s="32" t="s">
        <v>1225</v>
      </c>
      <c r="AO518" s="32" t="s">
        <v>1225</v>
      </c>
      <c r="AP518" s="32" t="s">
        <v>1225</v>
      </c>
      <c r="AQ518" s="32" t="s">
        <v>1225</v>
      </c>
      <c r="AR518" s="32" t="s">
        <v>1225</v>
      </c>
      <c r="AS518" s="32" t="s">
        <v>1225</v>
      </c>
      <c r="AT518" s="32" t="s">
        <v>1225</v>
      </c>
      <c r="AU518" s="32" t="s">
        <v>1225</v>
      </c>
      <c r="AV518" s="32" t="s">
        <v>1225</v>
      </c>
      <c r="AW518" s="32" t="s">
        <v>4805</v>
      </c>
      <c r="AX518" s="32">
        <v>2020</v>
      </c>
      <c r="AY518" s="32">
        <v>56</v>
      </c>
      <c r="AZ518" s="32">
        <v>4</v>
      </c>
      <c r="BA518" s="32" t="s">
        <v>1225</v>
      </c>
      <c r="BB518" s="32" t="s">
        <v>1225</v>
      </c>
      <c r="BC518" s="32" t="s">
        <v>1225</v>
      </c>
      <c r="BD518" s="32" t="s">
        <v>1225</v>
      </c>
      <c r="BE518" s="32">
        <v>4552</v>
      </c>
      <c r="BF518" s="32">
        <v>4562</v>
      </c>
      <c r="BG518" s="32" t="s">
        <v>1225</v>
      </c>
      <c r="BH518" s="32" t="s">
        <v>4806</v>
      </c>
      <c r="BI518" s="32" t="str">
        <f>HYPERLINK("http://dx.doi.org/10.1109/TIA.2020.2989522","http://dx.doi.org/10.1109/TIA.2020.2989522")</f>
        <v>http://dx.doi.org/10.1109/TIA.2020.2989522</v>
      </c>
      <c r="BJ518" s="32" t="s">
        <v>1225</v>
      </c>
      <c r="BK518" s="32" t="s">
        <v>1225</v>
      </c>
      <c r="BL518" s="32" t="s">
        <v>1225</v>
      </c>
      <c r="BM518" s="32" t="s">
        <v>1225</v>
      </c>
      <c r="BN518" s="32" t="s">
        <v>1225</v>
      </c>
      <c r="BO518" s="32" t="s">
        <v>1225</v>
      </c>
      <c r="BP518" s="32" t="s">
        <v>1225</v>
      </c>
      <c r="BQ518" s="32" t="s">
        <v>1225</v>
      </c>
      <c r="BR518" s="32" t="s">
        <v>1225</v>
      </c>
      <c r="BS518" s="32" t="s">
        <v>1225</v>
      </c>
      <c r="BT518" s="32" t="s">
        <v>1225</v>
      </c>
      <c r="BU518" s="32" t="s">
        <v>1225</v>
      </c>
      <c r="BV518" s="32" t="s">
        <v>1225</v>
      </c>
      <c r="BW518" s="32" t="str">
        <f t="shared" si="16"/>
        <v>View Full Record in Web of Science</v>
      </c>
      <c r="BY518" s="41" t="str">
        <f>IF(Deletion!J518=TRUE,"Yes","No")</f>
        <v>Yes</v>
      </c>
    </row>
    <row r="519" spans="1:77" x14ac:dyDescent="0.15">
      <c r="A519" s="32">
        <f t="shared" si="17"/>
        <v>518</v>
      </c>
      <c r="D519" s="32" t="s">
        <v>1223</v>
      </c>
      <c r="E519" s="32" t="s">
        <v>4807</v>
      </c>
      <c r="F519" s="32" t="s">
        <v>1225</v>
      </c>
      <c r="G519" s="32" t="s">
        <v>1225</v>
      </c>
      <c r="H519" s="32" t="s">
        <v>1225</v>
      </c>
      <c r="I519" s="32" t="s">
        <v>4808</v>
      </c>
      <c r="J519" s="32" t="s">
        <v>1225</v>
      </c>
      <c r="K519" s="32" t="s">
        <v>1225</v>
      </c>
      <c r="L519" s="32" t="s">
        <v>4809</v>
      </c>
      <c r="M519" s="32" t="s">
        <v>73</v>
      </c>
      <c r="N519" s="32" t="s">
        <v>1225</v>
      </c>
      <c r="O519" s="32" t="s">
        <v>1225</v>
      </c>
      <c r="P519" s="32" t="s">
        <v>1225</v>
      </c>
      <c r="Q519" s="32" t="s">
        <v>1227</v>
      </c>
      <c r="R519" s="32" t="s">
        <v>1225</v>
      </c>
      <c r="S519" s="32" t="s">
        <v>1225</v>
      </c>
      <c r="T519" s="32" t="s">
        <v>1225</v>
      </c>
      <c r="U519" s="32" t="s">
        <v>1225</v>
      </c>
      <c r="V519" s="32" t="s">
        <v>1225</v>
      </c>
      <c r="W519" s="32" t="s">
        <v>4810</v>
      </c>
      <c r="X519" s="32" t="s">
        <v>4811</v>
      </c>
      <c r="Y519" s="32" t="s">
        <v>4812</v>
      </c>
      <c r="Z519" s="32" t="s">
        <v>1225</v>
      </c>
      <c r="AA519" s="32" t="s">
        <v>1225</v>
      </c>
      <c r="AB519" s="32" t="s">
        <v>1225</v>
      </c>
      <c r="AC519" s="32" t="s">
        <v>1225</v>
      </c>
      <c r="AD519" s="32" t="s">
        <v>1225</v>
      </c>
      <c r="AE519" s="32" t="s">
        <v>1225</v>
      </c>
      <c r="AF519" s="32" t="s">
        <v>1225</v>
      </c>
      <c r="AG519" s="32" t="s">
        <v>1225</v>
      </c>
      <c r="AH519" s="32" t="s">
        <v>1225</v>
      </c>
      <c r="AI519" s="32" t="s">
        <v>1225</v>
      </c>
      <c r="AJ519" s="32" t="s">
        <v>1225</v>
      </c>
      <c r="AK519" s="32" t="s">
        <v>1225</v>
      </c>
      <c r="AL519" s="32" t="s">
        <v>1225</v>
      </c>
      <c r="AM519" s="32" t="s">
        <v>1225</v>
      </c>
      <c r="AN519" s="32" t="s">
        <v>1225</v>
      </c>
      <c r="AO519" s="32" t="s">
        <v>1225</v>
      </c>
      <c r="AP519" s="32" t="s">
        <v>1225</v>
      </c>
      <c r="AQ519" s="32" t="s">
        <v>1225</v>
      </c>
      <c r="AR519" s="32" t="s">
        <v>1225</v>
      </c>
      <c r="AS519" s="32" t="s">
        <v>1225</v>
      </c>
      <c r="AT519" s="32" t="s">
        <v>1225</v>
      </c>
      <c r="AU519" s="32" t="s">
        <v>1225</v>
      </c>
      <c r="AV519" s="32" t="s">
        <v>1225</v>
      </c>
      <c r="AW519" s="32" t="s">
        <v>1272</v>
      </c>
      <c r="AX519" s="32">
        <v>2017</v>
      </c>
      <c r="AY519" s="32">
        <v>3</v>
      </c>
      <c r="AZ519" s="32">
        <v>1</v>
      </c>
      <c r="BA519" s="32" t="s">
        <v>1225</v>
      </c>
      <c r="BB519" s="32" t="s">
        <v>1225</v>
      </c>
      <c r="BC519" s="32" t="s">
        <v>1225</v>
      </c>
      <c r="BD519" s="32" t="s">
        <v>1225</v>
      </c>
      <c r="BE519" s="32">
        <v>225</v>
      </c>
      <c r="BF519" s="32">
        <v>237</v>
      </c>
      <c r="BG519" s="32" t="s">
        <v>1225</v>
      </c>
      <c r="BH519" s="32" t="s">
        <v>4813</v>
      </c>
      <c r="BI519" s="32" t="str">
        <f>HYPERLINK("http://dx.doi.org/10.1109/TTE.2017.2659626","http://dx.doi.org/10.1109/TTE.2017.2659626")</f>
        <v>http://dx.doi.org/10.1109/TTE.2017.2659626</v>
      </c>
      <c r="BJ519" s="32" t="s">
        <v>1225</v>
      </c>
      <c r="BK519" s="32" t="s">
        <v>1225</v>
      </c>
      <c r="BL519" s="32" t="s">
        <v>1225</v>
      </c>
      <c r="BM519" s="32" t="s">
        <v>1225</v>
      </c>
      <c r="BN519" s="32" t="s">
        <v>1225</v>
      </c>
      <c r="BO519" s="32" t="s">
        <v>1225</v>
      </c>
      <c r="BP519" s="32" t="s">
        <v>1225</v>
      </c>
      <c r="BQ519" s="32" t="s">
        <v>1225</v>
      </c>
      <c r="BR519" s="32" t="s">
        <v>1225</v>
      </c>
      <c r="BS519" s="32" t="s">
        <v>1225</v>
      </c>
      <c r="BT519" s="32" t="s">
        <v>1225</v>
      </c>
      <c r="BU519" s="32" t="s">
        <v>1225</v>
      </c>
      <c r="BV519" s="32" t="s">
        <v>1225</v>
      </c>
      <c r="BW519" s="32" t="str">
        <f t="shared" si="16"/>
        <v>View Full Record in Web of Science</v>
      </c>
      <c r="BY519" s="41" t="str">
        <f>IF(Deletion!J519=TRUE,"Yes","No")</f>
        <v>Yes</v>
      </c>
    </row>
    <row r="520" spans="1:77" x14ac:dyDescent="0.15">
      <c r="A520" s="32">
        <f t="shared" si="17"/>
        <v>519</v>
      </c>
      <c r="D520" s="32" t="s">
        <v>1223</v>
      </c>
      <c r="E520" s="32" t="s">
        <v>4814</v>
      </c>
      <c r="F520" s="32" t="s">
        <v>1225</v>
      </c>
      <c r="G520" s="32" t="s">
        <v>1225</v>
      </c>
      <c r="H520" s="32" t="s">
        <v>1225</v>
      </c>
      <c r="I520" s="32" t="s">
        <v>4815</v>
      </c>
      <c r="J520" s="32" t="s">
        <v>1225</v>
      </c>
      <c r="K520" s="32" t="s">
        <v>1225</v>
      </c>
      <c r="L520" s="32" t="s">
        <v>4816</v>
      </c>
      <c r="M520" s="32" t="s">
        <v>124</v>
      </c>
      <c r="N520" s="32" t="s">
        <v>1225</v>
      </c>
      <c r="O520" s="32" t="s">
        <v>1225</v>
      </c>
      <c r="P520" s="32" t="s">
        <v>1225</v>
      </c>
      <c r="Q520" s="32" t="s">
        <v>1227</v>
      </c>
      <c r="R520" s="32" t="s">
        <v>1225</v>
      </c>
      <c r="S520" s="32" t="s">
        <v>1225</v>
      </c>
      <c r="T520" s="32" t="s">
        <v>1225</v>
      </c>
      <c r="U520" s="32" t="s">
        <v>1225</v>
      </c>
      <c r="V520" s="32" t="s">
        <v>1225</v>
      </c>
      <c r="W520" s="32" t="s">
        <v>4817</v>
      </c>
      <c r="X520" s="32" t="s">
        <v>4818</v>
      </c>
      <c r="Y520" s="32" t="s">
        <v>4819</v>
      </c>
      <c r="Z520" s="32" t="s">
        <v>1225</v>
      </c>
      <c r="AA520" s="32" t="s">
        <v>1225</v>
      </c>
      <c r="AB520" s="32" t="s">
        <v>1225</v>
      </c>
      <c r="AC520" s="32" t="s">
        <v>1225</v>
      </c>
      <c r="AD520" s="32" t="s">
        <v>1225</v>
      </c>
      <c r="AE520" s="32" t="s">
        <v>1225</v>
      </c>
      <c r="AF520" s="32" t="s">
        <v>1225</v>
      </c>
      <c r="AG520" s="32" t="s">
        <v>1225</v>
      </c>
      <c r="AH520" s="32" t="s">
        <v>1225</v>
      </c>
      <c r="AI520" s="32" t="s">
        <v>1225</v>
      </c>
      <c r="AJ520" s="32" t="s">
        <v>1225</v>
      </c>
      <c r="AK520" s="32" t="s">
        <v>1225</v>
      </c>
      <c r="AL520" s="32" t="s">
        <v>1225</v>
      </c>
      <c r="AM520" s="32" t="s">
        <v>1225</v>
      </c>
      <c r="AN520" s="32" t="s">
        <v>1225</v>
      </c>
      <c r="AO520" s="32" t="s">
        <v>1225</v>
      </c>
      <c r="AP520" s="32" t="s">
        <v>1225</v>
      </c>
      <c r="AQ520" s="32" t="s">
        <v>1225</v>
      </c>
      <c r="AR520" s="32" t="s">
        <v>1225</v>
      </c>
      <c r="AS520" s="32" t="s">
        <v>1225</v>
      </c>
      <c r="AT520" s="32" t="s">
        <v>1225</v>
      </c>
      <c r="AU520" s="32" t="s">
        <v>1225</v>
      </c>
      <c r="AV520" s="32" t="s">
        <v>1225</v>
      </c>
      <c r="AW520" s="32" t="s">
        <v>1272</v>
      </c>
      <c r="AX520" s="32">
        <v>2020</v>
      </c>
      <c r="AY520" s="32">
        <v>11</v>
      </c>
      <c r="AZ520" s="32">
        <v>2</v>
      </c>
      <c r="BA520" s="32" t="s">
        <v>1225</v>
      </c>
      <c r="BB520" s="32" t="s">
        <v>1225</v>
      </c>
      <c r="BC520" s="32" t="s">
        <v>1225</v>
      </c>
      <c r="BD520" s="32" t="s">
        <v>1225</v>
      </c>
      <c r="BE520" s="32">
        <v>1714</v>
      </c>
      <c r="BF520" s="32">
        <v>1723</v>
      </c>
      <c r="BG520" s="32" t="s">
        <v>1225</v>
      </c>
      <c r="BH520" s="32" t="s">
        <v>4820</v>
      </c>
      <c r="BI520" s="32" t="str">
        <f>HYPERLINK("http://dx.doi.org/10.1109/TSG.2019.2942593","http://dx.doi.org/10.1109/TSG.2019.2942593")</f>
        <v>http://dx.doi.org/10.1109/TSG.2019.2942593</v>
      </c>
      <c r="BJ520" s="32" t="s">
        <v>1225</v>
      </c>
      <c r="BK520" s="32" t="s">
        <v>1225</v>
      </c>
      <c r="BL520" s="32" t="s">
        <v>1225</v>
      </c>
      <c r="BM520" s="32" t="s">
        <v>1225</v>
      </c>
      <c r="BN520" s="32" t="s">
        <v>1225</v>
      </c>
      <c r="BO520" s="32" t="s">
        <v>1225</v>
      </c>
      <c r="BP520" s="32" t="s">
        <v>1225</v>
      </c>
      <c r="BQ520" s="32" t="s">
        <v>1225</v>
      </c>
      <c r="BR520" s="32" t="s">
        <v>1225</v>
      </c>
      <c r="BS520" s="32" t="s">
        <v>1225</v>
      </c>
      <c r="BT520" s="32" t="s">
        <v>1225</v>
      </c>
      <c r="BU520" s="32" t="s">
        <v>1225</v>
      </c>
      <c r="BV520" s="32" t="s">
        <v>1225</v>
      </c>
      <c r="BW520" s="32" t="str">
        <f t="shared" si="16"/>
        <v>View Full Record in Web of Science</v>
      </c>
      <c r="BY520" s="41" t="str">
        <f>IF(Deletion!J520=TRUE,"Yes","No")</f>
        <v>Yes</v>
      </c>
    </row>
    <row r="521" spans="1:77" x14ac:dyDescent="0.15">
      <c r="A521" s="32">
        <f t="shared" si="17"/>
        <v>520</v>
      </c>
      <c r="D521" s="32" t="s">
        <v>1223</v>
      </c>
      <c r="E521" s="32" t="s">
        <v>3770</v>
      </c>
      <c r="F521" s="32" t="s">
        <v>1225</v>
      </c>
      <c r="G521" s="32" t="s">
        <v>1225</v>
      </c>
      <c r="H521" s="32" t="s">
        <v>1225</v>
      </c>
      <c r="I521" s="32" t="s">
        <v>3771</v>
      </c>
      <c r="J521" s="32" t="s">
        <v>1225</v>
      </c>
      <c r="K521" s="32" t="s">
        <v>1225</v>
      </c>
      <c r="L521" s="32" t="s">
        <v>4821</v>
      </c>
      <c r="M521" s="32" t="s">
        <v>2302</v>
      </c>
      <c r="N521" s="32" t="s">
        <v>1225</v>
      </c>
      <c r="O521" s="32" t="s">
        <v>1225</v>
      </c>
      <c r="P521" s="32" t="s">
        <v>1225</v>
      </c>
      <c r="Q521" s="32" t="s">
        <v>1227</v>
      </c>
      <c r="R521" s="32" t="s">
        <v>1225</v>
      </c>
      <c r="S521" s="32" t="s">
        <v>1225</v>
      </c>
      <c r="T521" s="32" t="s">
        <v>1225</v>
      </c>
      <c r="U521" s="32" t="s">
        <v>1225</v>
      </c>
      <c r="V521" s="32" t="s">
        <v>1225</v>
      </c>
      <c r="W521" s="32" t="s">
        <v>4822</v>
      </c>
      <c r="X521" s="32" t="s">
        <v>4823</v>
      </c>
      <c r="Y521" s="32" t="s">
        <v>4824</v>
      </c>
      <c r="Z521" s="32" t="s">
        <v>1225</v>
      </c>
      <c r="AA521" s="32" t="s">
        <v>1225</v>
      </c>
      <c r="AB521" s="32" t="s">
        <v>1225</v>
      </c>
      <c r="AC521" s="32" t="s">
        <v>1225</v>
      </c>
      <c r="AD521" s="32" t="s">
        <v>1225</v>
      </c>
      <c r="AE521" s="32" t="s">
        <v>1225</v>
      </c>
      <c r="AF521" s="32" t="s">
        <v>1225</v>
      </c>
      <c r="AG521" s="32" t="s">
        <v>1225</v>
      </c>
      <c r="AH521" s="32" t="s">
        <v>1225</v>
      </c>
      <c r="AI521" s="32" t="s">
        <v>1225</v>
      </c>
      <c r="AJ521" s="32" t="s">
        <v>1225</v>
      </c>
      <c r="AK521" s="32" t="s">
        <v>1225</v>
      </c>
      <c r="AL521" s="32" t="s">
        <v>1225</v>
      </c>
      <c r="AM521" s="32" t="s">
        <v>1225</v>
      </c>
      <c r="AN521" s="32" t="s">
        <v>1225</v>
      </c>
      <c r="AO521" s="32" t="s">
        <v>1225</v>
      </c>
      <c r="AP521" s="32" t="s">
        <v>1225</v>
      </c>
      <c r="AQ521" s="32" t="s">
        <v>1225</v>
      </c>
      <c r="AR521" s="32" t="s">
        <v>1225</v>
      </c>
      <c r="AS521" s="32" t="s">
        <v>1225</v>
      </c>
      <c r="AT521" s="32" t="s">
        <v>1225</v>
      </c>
      <c r="AU521" s="32" t="s">
        <v>1225</v>
      </c>
      <c r="AV521" s="32" t="s">
        <v>1225</v>
      </c>
      <c r="AW521" s="32" t="s">
        <v>1393</v>
      </c>
      <c r="AX521" s="32">
        <v>2020</v>
      </c>
      <c r="AY521" s="32">
        <v>3</v>
      </c>
      <c r="AZ521" s="32">
        <v>3</v>
      </c>
      <c r="BA521" s="32" t="s">
        <v>1225</v>
      </c>
      <c r="BB521" s="32" t="s">
        <v>1225</v>
      </c>
      <c r="BC521" s="32" t="s">
        <v>1225</v>
      </c>
      <c r="BD521" s="32" t="s">
        <v>1225</v>
      </c>
      <c r="BE521" s="32">
        <v>287</v>
      </c>
      <c r="BF521" s="32">
        <v>299</v>
      </c>
      <c r="BG521" s="32" t="s">
        <v>1225</v>
      </c>
      <c r="BH521" s="32" t="s">
        <v>4825</v>
      </c>
      <c r="BI521" s="32" t="str">
        <f>HYPERLINK("http://dx.doi.org/10.1049/iet-stg.2019.0088","http://dx.doi.org/10.1049/iet-stg.2019.0088")</f>
        <v>http://dx.doi.org/10.1049/iet-stg.2019.0088</v>
      </c>
      <c r="BJ521" s="32" t="s">
        <v>1225</v>
      </c>
      <c r="BK521" s="32" t="s">
        <v>1225</v>
      </c>
      <c r="BL521" s="32" t="s">
        <v>1225</v>
      </c>
      <c r="BM521" s="32" t="s">
        <v>1225</v>
      </c>
      <c r="BN521" s="32" t="s">
        <v>1225</v>
      </c>
      <c r="BO521" s="32" t="s">
        <v>1225</v>
      </c>
      <c r="BP521" s="32" t="s">
        <v>1225</v>
      </c>
      <c r="BQ521" s="32" t="s">
        <v>1225</v>
      </c>
      <c r="BR521" s="32" t="s">
        <v>1225</v>
      </c>
      <c r="BS521" s="32" t="s">
        <v>1225</v>
      </c>
      <c r="BT521" s="32" t="s">
        <v>1225</v>
      </c>
      <c r="BU521" s="32" t="s">
        <v>1225</v>
      </c>
      <c r="BV521" s="32" t="s">
        <v>1225</v>
      </c>
      <c r="BW521" s="32" t="str">
        <f t="shared" si="16"/>
        <v>View Full Record in Web of Science</v>
      </c>
      <c r="BY521" s="41" t="str">
        <f>IF(Deletion!J521=TRUE,"Yes","No")</f>
        <v>Yes</v>
      </c>
    </row>
    <row r="522" spans="1:77" x14ac:dyDescent="0.15">
      <c r="A522" s="32">
        <f t="shared" si="17"/>
        <v>521</v>
      </c>
      <c r="D522" s="32" t="s">
        <v>1223</v>
      </c>
      <c r="E522" s="32" t="s">
        <v>4826</v>
      </c>
      <c r="F522" s="32" t="s">
        <v>1225</v>
      </c>
      <c r="G522" s="32" t="s">
        <v>1225</v>
      </c>
      <c r="H522" s="32" t="s">
        <v>1225</v>
      </c>
      <c r="I522" s="32" t="s">
        <v>4827</v>
      </c>
      <c r="J522" s="32" t="s">
        <v>1225</v>
      </c>
      <c r="K522" s="32" t="s">
        <v>1225</v>
      </c>
      <c r="L522" s="32" t="s">
        <v>4828</v>
      </c>
      <c r="M522" s="32" t="s">
        <v>422</v>
      </c>
      <c r="N522" s="32" t="s">
        <v>1225</v>
      </c>
      <c r="O522" s="32" t="s">
        <v>1225</v>
      </c>
      <c r="P522" s="32" t="s">
        <v>1225</v>
      </c>
      <c r="Q522" s="32" t="s">
        <v>1227</v>
      </c>
      <c r="R522" s="32" t="s">
        <v>1225</v>
      </c>
      <c r="S522" s="32" t="s">
        <v>1225</v>
      </c>
      <c r="T522" s="32" t="s">
        <v>1225</v>
      </c>
      <c r="U522" s="32" t="s">
        <v>1225</v>
      </c>
      <c r="V522" s="32" t="s">
        <v>1225</v>
      </c>
      <c r="W522" s="32" t="s">
        <v>4829</v>
      </c>
      <c r="X522" s="32" t="s">
        <v>4830</v>
      </c>
      <c r="Y522" s="32" t="s">
        <v>4831</v>
      </c>
      <c r="Z522" s="32" t="s">
        <v>1225</v>
      </c>
      <c r="AA522" s="32" t="s">
        <v>1225</v>
      </c>
      <c r="AB522" s="32" t="s">
        <v>1225</v>
      </c>
      <c r="AC522" s="32" t="s">
        <v>1225</v>
      </c>
      <c r="AD522" s="32" t="s">
        <v>1225</v>
      </c>
      <c r="AE522" s="32" t="s">
        <v>1225</v>
      </c>
      <c r="AF522" s="32" t="s">
        <v>1225</v>
      </c>
      <c r="AG522" s="32" t="s">
        <v>1225</v>
      </c>
      <c r="AH522" s="32" t="s">
        <v>1225</v>
      </c>
      <c r="AI522" s="32" t="s">
        <v>1225</v>
      </c>
      <c r="AJ522" s="32" t="s">
        <v>1225</v>
      </c>
      <c r="AK522" s="32" t="s">
        <v>1225</v>
      </c>
      <c r="AL522" s="32" t="s">
        <v>1225</v>
      </c>
      <c r="AM522" s="32" t="s">
        <v>1225</v>
      </c>
      <c r="AN522" s="32" t="s">
        <v>1225</v>
      </c>
      <c r="AO522" s="32" t="s">
        <v>1225</v>
      </c>
      <c r="AP522" s="32" t="s">
        <v>1225</v>
      </c>
      <c r="AQ522" s="32" t="s">
        <v>1225</v>
      </c>
      <c r="AR522" s="32" t="s">
        <v>1225</v>
      </c>
      <c r="AS522" s="32" t="s">
        <v>1225</v>
      </c>
      <c r="AT522" s="32" t="s">
        <v>1225</v>
      </c>
      <c r="AU522" s="32" t="s">
        <v>1225</v>
      </c>
      <c r="AV522" s="32" t="s">
        <v>1225</v>
      </c>
      <c r="AW522" s="32" t="s">
        <v>1393</v>
      </c>
      <c r="AX522" s="32">
        <v>2020</v>
      </c>
      <c r="AY522" s="32">
        <v>13</v>
      </c>
      <c r="AZ522" s="32">
        <v>12</v>
      </c>
      <c r="BA522" s="32" t="s">
        <v>1225</v>
      </c>
      <c r="BB522" s="32" t="s">
        <v>1225</v>
      </c>
      <c r="BC522" s="32" t="s">
        <v>1225</v>
      </c>
      <c r="BD522" s="32" t="s">
        <v>1225</v>
      </c>
      <c r="BE522" s="32" t="s">
        <v>1225</v>
      </c>
      <c r="BF522" s="32" t="s">
        <v>1225</v>
      </c>
      <c r="BG522" s="32">
        <v>3112</v>
      </c>
      <c r="BH522" s="32" t="s">
        <v>4832</v>
      </c>
      <c r="BI522" s="32" t="str">
        <f>HYPERLINK("http://dx.doi.org/10.3390/en13123112","http://dx.doi.org/10.3390/en13123112")</f>
        <v>http://dx.doi.org/10.3390/en13123112</v>
      </c>
      <c r="BJ522" s="32" t="s">
        <v>1225</v>
      </c>
      <c r="BK522" s="32" t="s">
        <v>1225</v>
      </c>
      <c r="BL522" s="32" t="s">
        <v>1225</v>
      </c>
      <c r="BM522" s="32" t="s">
        <v>1225</v>
      </c>
      <c r="BN522" s="32" t="s">
        <v>1225</v>
      </c>
      <c r="BO522" s="32" t="s">
        <v>1225</v>
      </c>
      <c r="BP522" s="32" t="s">
        <v>1225</v>
      </c>
      <c r="BQ522" s="32" t="s">
        <v>1225</v>
      </c>
      <c r="BR522" s="32" t="s">
        <v>1225</v>
      </c>
      <c r="BS522" s="32" t="s">
        <v>1225</v>
      </c>
      <c r="BT522" s="32" t="s">
        <v>1225</v>
      </c>
      <c r="BU522" s="32" t="s">
        <v>1225</v>
      </c>
      <c r="BV522" s="32" t="s">
        <v>1225</v>
      </c>
      <c r="BW522" s="32" t="str">
        <f t="shared" si="16"/>
        <v>View Full Record in Web of Science</v>
      </c>
      <c r="BY522" s="41" t="str">
        <f>IF(Deletion!J522=TRUE,"Yes","No")</f>
        <v>Yes</v>
      </c>
    </row>
    <row r="523" spans="1:77" x14ac:dyDescent="0.15">
      <c r="A523" s="34">
        <f t="shared" si="17"/>
        <v>522</v>
      </c>
      <c r="B523" s="34" t="s">
        <v>4</v>
      </c>
      <c r="C523" s="34" t="s">
        <v>4</v>
      </c>
      <c r="D523" s="34" t="s">
        <v>1223</v>
      </c>
      <c r="E523" s="34" t="s">
        <v>4833</v>
      </c>
      <c r="F523" s="32" t="s">
        <v>1225</v>
      </c>
      <c r="G523" s="32" t="s">
        <v>1225</v>
      </c>
      <c r="H523" s="32" t="s">
        <v>1225</v>
      </c>
      <c r="I523" s="34" t="s">
        <v>4834</v>
      </c>
      <c r="J523" s="32" t="s">
        <v>1225</v>
      </c>
      <c r="K523" s="32" t="s">
        <v>1225</v>
      </c>
      <c r="L523" s="34" t="s">
        <v>4835</v>
      </c>
      <c r="M523" s="34" t="s">
        <v>4836</v>
      </c>
      <c r="N523" s="32" t="s">
        <v>1225</v>
      </c>
      <c r="O523" s="32" t="s">
        <v>1225</v>
      </c>
      <c r="P523" s="32" t="s">
        <v>1225</v>
      </c>
      <c r="Q523" s="34" t="s">
        <v>1227</v>
      </c>
      <c r="R523" s="32" t="s">
        <v>1225</v>
      </c>
      <c r="S523" s="32" t="s">
        <v>1225</v>
      </c>
      <c r="T523" s="32" t="s">
        <v>1225</v>
      </c>
      <c r="U523" s="32" t="s">
        <v>1225</v>
      </c>
      <c r="V523" s="32" t="s">
        <v>1225</v>
      </c>
      <c r="W523" s="34" t="s">
        <v>4837</v>
      </c>
      <c r="X523" s="34" t="s">
        <v>4838</v>
      </c>
      <c r="Y523" s="34" t="s">
        <v>4839</v>
      </c>
      <c r="Z523" s="32" t="s">
        <v>1225</v>
      </c>
      <c r="AA523" s="32" t="s">
        <v>1225</v>
      </c>
      <c r="AB523" s="32" t="s">
        <v>1225</v>
      </c>
      <c r="AC523" s="32" t="s">
        <v>1225</v>
      </c>
      <c r="AD523" s="32" t="s">
        <v>1225</v>
      </c>
      <c r="AE523" s="32" t="s">
        <v>1225</v>
      </c>
      <c r="AF523" s="32" t="s">
        <v>1225</v>
      </c>
      <c r="AG523" s="32" t="s">
        <v>1225</v>
      </c>
      <c r="AH523" s="32" t="s">
        <v>1225</v>
      </c>
      <c r="AI523" s="32" t="s">
        <v>1225</v>
      </c>
      <c r="AJ523" s="32" t="s">
        <v>1225</v>
      </c>
      <c r="AK523" s="32" t="s">
        <v>1225</v>
      </c>
      <c r="AL523" s="32" t="s">
        <v>1225</v>
      </c>
      <c r="AM523" s="32" t="s">
        <v>1225</v>
      </c>
      <c r="AN523" s="32" t="s">
        <v>1225</v>
      </c>
      <c r="AO523" s="32" t="s">
        <v>1225</v>
      </c>
      <c r="AP523" s="32" t="s">
        <v>1225</v>
      </c>
      <c r="AQ523" s="32" t="s">
        <v>1225</v>
      </c>
      <c r="AR523" s="32" t="s">
        <v>1225</v>
      </c>
      <c r="AS523" s="32" t="s">
        <v>1225</v>
      </c>
      <c r="AT523" s="32" t="s">
        <v>1225</v>
      </c>
      <c r="AU523" s="32" t="s">
        <v>1225</v>
      </c>
      <c r="AV523" s="32" t="s">
        <v>1225</v>
      </c>
      <c r="AW523" s="34" t="s">
        <v>1225</v>
      </c>
      <c r="AX523" s="34">
        <v>2017</v>
      </c>
      <c r="AY523" s="32">
        <v>55</v>
      </c>
      <c r="AZ523" s="32">
        <v>2</v>
      </c>
      <c r="BA523" s="32" t="s">
        <v>1225</v>
      </c>
      <c r="BB523" s="32" t="s">
        <v>1225</v>
      </c>
      <c r="BC523" s="32" t="s">
        <v>1225</v>
      </c>
      <c r="BD523" s="32" t="s">
        <v>1225</v>
      </c>
      <c r="BE523" s="32">
        <v>519</v>
      </c>
      <c r="BF523" s="32">
        <v>535</v>
      </c>
      <c r="BG523" s="32" t="s">
        <v>1225</v>
      </c>
      <c r="BH523" s="34" t="s">
        <v>4840</v>
      </c>
      <c r="BI523" s="34" t="str">
        <f>HYPERLINK("http://dx.doi.org/10.1080/00207543.2016.1192695","http://dx.doi.org/10.1080/00207543.2016.1192695")</f>
        <v>http://dx.doi.org/10.1080/00207543.2016.1192695</v>
      </c>
      <c r="BJ523" s="32" t="s">
        <v>1225</v>
      </c>
      <c r="BK523" s="32" t="s">
        <v>1225</v>
      </c>
      <c r="BL523" s="32" t="s">
        <v>1225</v>
      </c>
      <c r="BM523" s="32" t="s">
        <v>1225</v>
      </c>
      <c r="BN523" s="32" t="s">
        <v>1225</v>
      </c>
      <c r="BO523" s="32" t="s">
        <v>1225</v>
      </c>
      <c r="BP523" s="32" t="s">
        <v>1225</v>
      </c>
      <c r="BQ523" s="32" t="s">
        <v>1225</v>
      </c>
      <c r="BR523" s="32" t="s">
        <v>1225</v>
      </c>
      <c r="BS523" s="32" t="s">
        <v>1225</v>
      </c>
      <c r="BT523" s="32" t="s">
        <v>1225</v>
      </c>
      <c r="BU523" s="32" t="s">
        <v>1225</v>
      </c>
      <c r="BV523" s="32" t="s">
        <v>1225</v>
      </c>
      <c r="BW523" s="32" t="str">
        <f t="shared" si="16"/>
        <v>View Full Record in Web of Science</v>
      </c>
      <c r="BY523" s="41" t="str">
        <f>IF(Deletion!J523=TRUE,"Yes","No")</f>
        <v>No</v>
      </c>
    </row>
    <row r="524" spans="1:77" x14ac:dyDescent="0.15">
      <c r="A524" s="32">
        <f t="shared" si="17"/>
        <v>523</v>
      </c>
      <c r="D524" s="32" t="s">
        <v>1223</v>
      </c>
      <c r="E524" s="32" t="s">
        <v>4841</v>
      </c>
      <c r="F524" s="32" t="s">
        <v>1225</v>
      </c>
      <c r="G524" s="32" t="s">
        <v>1225</v>
      </c>
      <c r="H524" s="32" t="s">
        <v>1225</v>
      </c>
      <c r="I524" s="32" t="s">
        <v>4842</v>
      </c>
      <c r="J524" s="32" t="s">
        <v>1225</v>
      </c>
      <c r="K524" s="32" t="s">
        <v>1225</v>
      </c>
      <c r="L524" s="32" t="s">
        <v>4843</v>
      </c>
      <c r="M524" s="32" t="s">
        <v>422</v>
      </c>
      <c r="N524" s="32" t="s">
        <v>1225</v>
      </c>
      <c r="O524" s="32" t="s">
        <v>1225</v>
      </c>
      <c r="P524" s="32" t="s">
        <v>1225</v>
      </c>
      <c r="Q524" s="32" t="s">
        <v>1227</v>
      </c>
      <c r="R524" s="32" t="s">
        <v>1225</v>
      </c>
      <c r="S524" s="32" t="s">
        <v>1225</v>
      </c>
      <c r="T524" s="32" t="s">
        <v>1225</v>
      </c>
      <c r="U524" s="32" t="s">
        <v>1225</v>
      </c>
      <c r="V524" s="32" t="s">
        <v>1225</v>
      </c>
      <c r="W524" s="32" t="s">
        <v>4844</v>
      </c>
      <c r="X524" s="32" t="s">
        <v>4845</v>
      </c>
      <c r="Y524" s="32" t="s">
        <v>4846</v>
      </c>
      <c r="Z524" s="32" t="s">
        <v>1225</v>
      </c>
      <c r="AA524" s="32" t="s">
        <v>1225</v>
      </c>
      <c r="AB524" s="32" t="s">
        <v>1225</v>
      </c>
      <c r="AC524" s="32" t="s">
        <v>1225</v>
      </c>
      <c r="AD524" s="32" t="s">
        <v>1225</v>
      </c>
      <c r="AE524" s="32" t="s">
        <v>1225</v>
      </c>
      <c r="AF524" s="32" t="s">
        <v>1225</v>
      </c>
      <c r="AG524" s="32" t="s">
        <v>1225</v>
      </c>
      <c r="AH524" s="32" t="s">
        <v>1225</v>
      </c>
      <c r="AI524" s="32" t="s">
        <v>1225</v>
      </c>
      <c r="AJ524" s="32" t="s">
        <v>1225</v>
      </c>
      <c r="AK524" s="32" t="s">
        <v>1225</v>
      </c>
      <c r="AL524" s="32" t="s">
        <v>1225</v>
      </c>
      <c r="AM524" s="32" t="s">
        <v>1225</v>
      </c>
      <c r="AN524" s="32" t="s">
        <v>1225</v>
      </c>
      <c r="AO524" s="32" t="s">
        <v>1225</v>
      </c>
      <c r="AP524" s="32" t="s">
        <v>1225</v>
      </c>
      <c r="AQ524" s="32" t="s">
        <v>1225</v>
      </c>
      <c r="AR524" s="32" t="s">
        <v>1225</v>
      </c>
      <c r="AS524" s="32" t="s">
        <v>1225</v>
      </c>
      <c r="AT524" s="32" t="s">
        <v>1225</v>
      </c>
      <c r="AU524" s="32" t="s">
        <v>1225</v>
      </c>
      <c r="AV524" s="32" t="s">
        <v>1225</v>
      </c>
      <c r="AW524" s="32" t="s">
        <v>1393</v>
      </c>
      <c r="AX524" s="32">
        <v>2021</v>
      </c>
      <c r="AY524" s="32">
        <v>14</v>
      </c>
      <c r="AZ524" s="32">
        <v>11</v>
      </c>
      <c r="BA524" s="32" t="s">
        <v>1225</v>
      </c>
      <c r="BB524" s="32" t="s">
        <v>1225</v>
      </c>
      <c r="BC524" s="32" t="s">
        <v>1225</v>
      </c>
      <c r="BD524" s="32" t="s">
        <v>1225</v>
      </c>
      <c r="BE524" s="32" t="s">
        <v>1225</v>
      </c>
      <c r="BF524" s="32" t="s">
        <v>1225</v>
      </c>
      <c r="BG524" s="32">
        <v>3152</v>
      </c>
      <c r="BH524" s="32" t="s">
        <v>4847</v>
      </c>
      <c r="BI524" s="32" t="str">
        <f>HYPERLINK("http://dx.doi.org/10.3390/en14113152","http://dx.doi.org/10.3390/en14113152")</f>
        <v>http://dx.doi.org/10.3390/en14113152</v>
      </c>
      <c r="BJ524" s="32" t="s">
        <v>1225</v>
      </c>
      <c r="BK524" s="32" t="s">
        <v>1225</v>
      </c>
      <c r="BL524" s="32" t="s">
        <v>1225</v>
      </c>
      <c r="BM524" s="32" t="s">
        <v>1225</v>
      </c>
      <c r="BN524" s="32" t="s">
        <v>1225</v>
      </c>
      <c r="BO524" s="32" t="s">
        <v>1225</v>
      </c>
      <c r="BP524" s="32" t="s">
        <v>1225</v>
      </c>
      <c r="BQ524" s="32" t="s">
        <v>1225</v>
      </c>
      <c r="BR524" s="32" t="s">
        <v>1225</v>
      </c>
      <c r="BS524" s="32" t="s">
        <v>1225</v>
      </c>
      <c r="BT524" s="32" t="s">
        <v>1225</v>
      </c>
      <c r="BU524" s="32" t="s">
        <v>1225</v>
      </c>
      <c r="BV524" s="32" t="s">
        <v>1225</v>
      </c>
      <c r="BW524" s="32" t="str">
        <f t="shared" si="16"/>
        <v>View Full Record in Web of Science</v>
      </c>
      <c r="BY524" s="41" t="str">
        <f>IF(Deletion!J524=TRUE,"Yes","No")</f>
        <v>Yes</v>
      </c>
    </row>
    <row r="525" spans="1:77" x14ac:dyDescent="0.15">
      <c r="A525" s="32">
        <f t="shared" si="17"/>
        <v>524</v>
      </c>
      <c r="D525" s="32" t="s">
        <v>1223</v>
      </c>
      <c r="E525" s="32" t="s">
        <v>4848</v>
      </c>
      <c r="F525" s="32" t="s">
        <v>1225</v>
      </c>
      <c r="G525" s="32" t="s">
        <v>1225</v>
      </c>
      <c r="H525" s="32" t="s">
        <v>1225</v>
      </c>
      <c r="I525" s="32" t="s">
        <v>4849</v>
      </c>
      <c r="J525" s="32" t="s">
        <v>1225</v>
      </c>
      <c r="K525" s="32" t="s">
        <v>1225</v>
      </c>
      <c r="L525" s="32" t="s">
        <v>4850</v>
      </c>
      <c r="M525" s="32" t="s">
        <v>97</v>
      </c>
      <c r="N525" s="32" t="s">
        <v>1225</v>
      </c>
      <c r="O525" s="32" t="s">
        <v>1225</v>
      </c>
      <c r="P525" s="32" t="s">
        <v>1225</v>
      </c>
      <c r="Q525" s="32" t="s">
        <v>1227</v>
      </c>
      <c r="R525" s="32" t="s">
        <v>1225</v>
      </c>
      <c r="S525" s="32" t="s">
        <v>1225</v>
      </c>
      <c r="T525" s="32" t="s">
        <v>1225</v>
      </c>
      <c r="U525" s="32" t="s">
        <v>1225</v>
      </c>
      <c r="V525" s="32" t="s">
        <v>1225</v>
      </c>
      <c r="W525" s="32" t="s">
        <v>4851</v>
      </c>
      <c r="X525" s="32" t="s">
        <v>4852</v>
      </c>
      <c r="Y525" s="32" t="s">
        <v>4853</v>
      </c>
      <c r="Z525" s="32" t="s">
        <v>1225</v>
      </c>
      <c r="AA525" s="32" t="s">
        <v>1225</v>
      </c>
      <c r="AB525" s="32" t="s">
        <v>1225</v>
      </c>
      <c r="AC525" s="32" t="s">
        <v>1225</v>
      </c>
      <c r="AD525" s="32" t="s">
        <v>1225</v>
      </c>
      <c r="AE525" s="32" t="s">
        <v>1225</v>
      </c>
      <c r="AF525" s="32" t="s">
        <v>1225</v>
      </c>
      <c r="AG525" s="32" t="s">
        <v>1225</v>
      </c>
      <c r="AH525" s="32" t="s">
        <v>1225</v>
      </c>
      <c r="AI525" s="32" t="s">
        <v>1225</v>
      </c>
      <c r="AJ525" s="32" t="s">
        <v>1225</v>
      </c>
      <c r="AK525" s="32" t="s">
        <v>1225</v>
      </c>
      <c r="AL525" s="32" t="s">
        <v>1225</v>
      </c>
      <c r="AM525" s="32" t="s">
        <v>1225</v>
      </c>
      <c r="AN525" s="32" t="s">
        <v>1225</v>
      </c>
      <c r="AO525" s="32" t="s">
        <v>1225</v>
      </c>
      <c r="AP525" s="32" t="s">
        <v>1225</v>
      </c>
      <c r="AQ525" s="32" t="s">
        <v>1225</v>
      </c>
      <c r="AR525" s="32" t="s">
        <v>1225</v>
      </c>
      <c r="AS525" s="32" t="s">
        <v>1225</v>
      </c>
      <c r="AT525" s="32" t="s">
        <v>1225</v>
      </c>
      <c r="AU525" s="32" t="s">
        <v>1225</v>
      </c>
      <c r="AV525" s="32" t="s">
        <v>1225</v>
      </c>
      <c r="AW525" s="32" t="s">
        <v>2090</v>
      </c>
      <c r="AX525" s="32">
        <v>2020</v>
      </c>
      <c r="AY525" s="32">
        <v>276</v>
      </c>
      <c r="AZ525" s="32" t="s">
        <v>1225</v>
      </c>
      <c r="BA525" s="32" t="s">
        <v>1225</v>
      </c>
      <c r="BB525" s="32" t="s">
        <v>1225</v>
      </c>
      <c r="BC525" s="32" t="s">
        <v>1225</v>
      </c>
      <c r="BD525" s="32" t="s">
        <v>1225</v>
      </c>
      <c r="BE525" s="32" t="s">
        <v>1225</v>
      </c>
      <c r="BF525" s="32" t="s">
        <v>1225</v>
      </c>
      <c r="BG525" s="32">
        <v>115285</v>
      </c>
      <c r="BH525" s="32" t="s">
        <v>4854</v>
      </c>
      <c r="BI525" s="32" t="str">
        <f>HYPERLINK("http://dx.doi.org/10.1016/j.apenergy.2020.115285","http://dx.doi.org/10.1016/j.apenergy.2020.115285")</f>
        <v>http://dx.doi.org/10.1016/j.apenergy.2020.115285</v>
      </c>
      <c r="BJ525" s="32" t="s">
        <v>1225</v>
      </c>
      <c r="BK525" s="32" t="s">
        <v>1225</v>
      </c>
      <c r="BL525" s="32" t="s">
        <v>1225</v>
      </c>
      <c r="BM525" s="32" t="s">
        <v>1225</v>
      </c>
      <c r="BN525" s="32" t="s">
        <v>1225</v>
      </c>
      <c r="BO525" s="32" t="s">
        <v>1225</v>
      </c>
      <c r="BP525" s="32" t="s">
        <v>1225</v>
      </c>
      <c r="BQ525" s="32" t="s">
        <v>1225</v>
      </c>
      <c r="BR525" s="32" t="s">
        <v>1225</v>
      </c>
      <c r="BS525" s="32" t="s">
        <v>1225</v>
      </c>
      <c r="BT525" s="32" t="s">
        <v>1225</v>
      </c>
      <c r="BU525" s="32" t="s">
        <v>1225</v>
      </c>
      <c r="BV525" s="32" t="s">
        <v>1225</v>
      </c>
      <c r="BW525" s="32" t="str">
        <f t="shared" si="16"/>
        <v>View Full Record in Web of Science</v>
      </c>
      <c r="BY525" s="41" t="str">
        <f>IF(Deletion!J525=TRUE,"Yes","No")</f>
        <v>Yes</v>
      </c>
    </row>
    <row r="526" spans="1:77" x14ac:dyDescent="0.15">
      <c r="A526" s="34">
        <f t="shared" si="17"/>
        <v>525</v>
      </c>
      <c r="B526" s="34" t="s">
        <v>4</v>
      </c>
      <c r="C526" s="34" t="s">
        <v>4</v>
      </c>
      <c r="D526" s="34" t="s">
        <v>1223</v>
      </c>
      <c r="E526" s="34" t="s">
        <v>4700</v>
      </c>
      <c r="F526" s="32" t="s">
        <v>1225</v>
      </c>
      <c r="G526" s="32" t="s">
        <v>1225</v>
      </c>
      <c r="H526" s="32" t="s">
        <v>1225</v>
      </c>
      <c r="I526" s="34" t="s">
        <v>4701</v>
      </c>
      <c r="J526" s="32" t="s">
        <v>1225</v>
      </c>
      <c r="K526" s="32" t="s">
        <v>1225</v>
      </c>
      <c r="L526" s="34" t="s">
        <v>4855</v>
      </c>
      <c r="M526" s="34" t="s">
        <v>849</v>
      </c>
      <c r="N526" s="32" t="s">
        <v>1225</v>
      </c>
      <c r="O526" s="32" t="s">
        <v>1225</v>
      </c>
      <c r="P526" s="32" t="s">
        <v>1225</v>
      </c>
      <c r="Q526" s="34" t="s">
        <v>1227</v>
      </c>
      <c r="R526" s="32" t="s">
        <v>1225</v>
      </c>
      <c r="S526" s="32" t="s">
        <v>1225</v>
      </c>
      <c r="T526" s="32" t="s">
        <v>1225</v>
      </c>
      <c r="U526" s="32" t="s">
        <v>1225</v>
      </c>
      <c r="V526" s="32" t="s">
        <v>1225</v>
      </c>
      <c r="W526" s="34" t="s">
        <v>4856</v>
      </c>
      <c r="X526" s="34" t="s">
        <v>1225</v>
      </c>
      <c r="Y526" s="34" t="s">
        <v>4857</v>
      </c>
      <c r="Z526" s="32" t="s">
        <v>1225</v>
      </c>
      <c r="AA526" s="32" t="s">
        <v>1225</v>
      </c>
      <c r="AB526" s="32" t="s">
        <v>1225</v>
      </c>
      <c r="AC526" s="32" t="s">
        <v>1225</v>
      </c>
      <c r="AD526" s="32" t="s">
        <v>1225</v>
      </c>
      <c r="AE526" s="32" t="s">
        <v>1225</v>
      </c>
      <c r="AF526" s="32" t="s">
        <v>1225</v>
      </c>
      <c r="AG526" s="32" t="s">
        <v>1225</v>
      </c>
      <c r="AH526" s="32" t="s">
        <v>1225</v>
      </c>
      <c r="AI526" s="32" t="s">
        <v>1225</v>
      </c>
      <c r="AJ526" s="32" t="s">
        <v>1225</v>
      </c>
      <c r="AK526" s="32" t="s">
        <v>1225</v>
      </c>
      <c r="AL526" s="32" t="s">
        <v>1225</v>
      </c>
      <c r="AM526" s="32" t="s">
        <v>1225</v>
      </c>
      <c r="AN526" s="32" t="s">
        <v>1225</v>
      </c>
      <c r="AO526" s="32" t="s">
        <v>1225</v>
      </c>
      <c r="AP526" s="32" t="s">
        <v>1225</v>
      </c>
      <c r="AQ526" s="32" t="s">
        <v>1225</v>
      </c>
      <c r="AR526" s="32" t="s">
        <v>1225</v>
      </c>
      <c r="AS526" s="32" t="s">
        <v>1225</v>
      </c>
      <c r="AT526" s="32" t="s">
        <v>1225</v>
      </c>
      <c r="AU526" s="32" t="s">
        <v>1225</v>
      </c>
      <c r="AV526" s="32" t="s">
        <v>1225</v>
      </c>
      <c r="AW526" s="34" t="s">
        <v>1229</v>
      </c>
      <c r="AX526" s="34">
        <v>2013</v>
      </c>
      <c r="AY526" s="32">
        <v>28</v>
      </c>
      <c r="AZ526" s="32">
        <v>4</v>
      </c>
      <c r="BA526" s="32" t="s">
        <v>1225</v>
      </c>
      <c r="BB526" s="32" t="s">
        <v>1225</v>
      </c>
      <c r="BC526" s="32" t="s">
        <v>1225</v>
      </c>
      <c r="BD526" s="32" t="s">
        <v>1225</v>
      </c>
      <c r="BE526" s="32">
        <v>3556</v>
      </c>
      <c r="BF526" s="32">
        <v>3565</v>
      </c>
      <c r="BG526" s="32" t="s">
        <v>1225</v>
      </c>
      <c r="BH526" s="34" t="s">
        <v>4858</v>
      </c>
      <c r="BI526" s="34" t="str">
        <f>HYPERLINK("http://dx.doi.org/10.1109/TPWRS.2013.2252028","http://dx.doi.org/10.1109/TPWRS.2013.2252028")</f>
        <v>http://dx.doi.org/10.1109/TPWRS.2013.2252028</v>
      </c>
      <c r="BJ526" s="32" t="s">
        <v>1225</v>
      </c>
      <c r="BK526" s="32" t="s">
        <v>1225</v>
      </c>
      <c r="BL526" s="32" t="s">
        <v>1225</v>
      </c>
      <c r="BM526" s="32" t="s">
        <v>1225</v>
      </c>
      <c r="BN526" s="32" t="s">
        <v>1225</v>
      </c>
      <c r="BO526" s="32" t="s">
        <v>1225</v>
      </c>
      <c r="BP526" s="32" t="s">
        <v>1225</v>
      </c>
      <c r="BQ526" s="32" t="s">
        <v>1225</v>
      </c>
      <c r="BR526" s="32" t="s">
        <v>1225</v>
      </c>
      <c r="BS526" s="32" t="s">
        <v>1225</v>
      </c>
      <c r="BT526" s="32" t="s">
        <v>1225</v>
      </c>
      <c r="BU526" s="32" t="s">
        <v>1225</v>
      </c>
      <c r="BV526" s="32" t="s">
        <v>1225</v>
      </c>
      <c r="BW526" s="32" t="str">
        <f t="shared" si="16"/>
        <v>View Full Record in Web of Science</v>
      </c>
      <c r="BY526" s="41" t="str">
        <f>IF(Deletion!J526=TRUE,"Yes","No")</f>
        <v>No</v>
      </c>
    </row>
    <row r="527" spans="1:77" x14ac:dyDescent="0.15">
      <c r="A527" s="32">
        <f t="shared" si="17"/>
        <v>526</v>
      </c>
      <c r="D527" s="32" t="s">
        <v>1223</v>
      </c>
      <c r="E527" s="32" t="s">
        <v>4859</v>
      </c>
      <c r="F527" s="32" t="s">
        <v>1225</v>
      </c>
      <c r="G527" s="32" t="s">
        <v>1225</v>
      </c>
      <c r="H527" s="32" t="s">
        <v>1225</v>
      </c>
      <c r="I527" s="32" t="s">
        <v>4860</v>
      </c>
      <c r="J527" s="32" t="s">
        <v>1225</v>
      </c>
      <c r="K527" s="32" t="s">
        <v>1225</v>
      </c>
      <c r="L527" s="32" t="s">
        <v>4861</v>
      </c>
      <c r="M527" s="32" t="s">
        <v>1669</v>
      </c>
      <c r="N527" s="32" t="s">
        <v>1225</v>
      </c>
      <c r="O527" s="32" t="s">
        <v>1225</v>
      </c>
      <c r="P527" s="32" t="s">
        <v>1225</v>
      </c>
      <c r="Q527" s="32" t="s">
        <v>1227</v>
      </c>
      <c r="R527" s="32" t="s">
        <v>1225</v>
      </c>
      <c r="S527" s="32" t="s">
        <v>1225</v>
      </c>
      <c r="T527" s="32" t="s">
        <v>1225</v>
      </c>
      <c r="U527" s="32" t="s">
        <v>1225</v>
      </c>
      <c r="V527" s="32" t="s">
        <v>1225</v>
      </c>
      <c r="W527" s="32" t="s">
        <v>4862</v>
      </c>
      <c r="X527" s="32" t="s">
        <v>1225</v>
      </c>
      <c r="Y527" s="32" t="s">
        <v>4863</v>
      </c>
      <c r="Z527" s="32" t="s">
        <v>1225</v>
      </c>
      <c r="AA527" s="32" t="s">
        <v>1225</v>
      </c>
      <c r="AB527" s="32" t="s">
        <v>1225</v>
      </c>
      <c r="AC527" s="32" t="s">
        <v>1225</v>
      </c>
      <c r="AD527" s="32" t="s">
        <v>1225</v>
      </c>
      <c r="AE527" s="32" t="s">
        <v>1225</v>
      </c>
      <c r="AF527" s="32" t="s">
        <v>1225</v>
      </c>
      <c r="AG527" s="32" t="s">
        <v>1225</v>
      </c>
      <c r="AH527" s="32" t="s">
        <v>1225</v>
      </c>
      <c r="AI527" s="32" t="s">
        <v>1225</v>
      </c>
      <c r="AJ527" s="32" t="s">
        <v>1225</v>
      </c>
      <c r="AK527" s="32" t="s">
        <v>1225</v>
      </c>
      <c r="AL527" s="32" t="s">
        <v>1225</v>
      </c>
      <c r="AM527" s="32" t="s">
        <v>1225</v>
      </c>
      <c r="AN527" s="32" t="s">
        <v>1225</v>
      </c>
      <c r="AO527" s="32" t="s">
        <v>1225</v>
      </c>
      <c r="AP527" s="32" t="s">
        <v>1225</v>
      </c>
      <c r="AQ527" s="32" t="s">
        <v>1225</v>
      </c>
      <c r="AR527" s="32" t="s">
        <v>1225</v>
      </c>
      <c r="AS527" s="32" t="s">
        <v>1225</v>
      </c>
      <c r="AT527" s="32" t="s">
        <v>1225</v>
      </c>
      <c r="AU527" s="32" t="s">
        <v>1225</v>
      </c>
      <c r="AV527" s="32" t="s">
        <v>1225</v>
      </c>
      <c r="AW527" s="32" t="s">
        <v>1239</v>
      </c>
      <c r="AX527" s="32">
        <v>2020</v>
      </c>
      <c r="AY527" s="32">
        <v>85</v>
      </c>
      <c r="AZ527" s="32" t="s">
        <v>1225</v>
      </c>
      <c r="BA527" s="32" t="s">
        <v>1225</v>
      </c>
      <c r="BB527" s="32" t="s">
        <v>1225</v>
      </c>
      <c r="BC527" s="32" t="s">
        <v>1225</v>
      </c>
      <c r="BD527" s="32" t="s">
        <v>1225</v>
      </c>
      <c r="BE527" s="32" t="s">
        <v>1225</v>
      </c>
      <c r="BF527" s="32" t="s">
        <v>1225</v>
      </c>
      <c r="BG527" s="32">
        <v>106670</v>
      </c>
      <c r="BH527" s="32" t="s">
        <v>4864</v>
      </c>
      <c r="BI527" s="32" t="str">
        <f>HYPERLINK("http://dx.doi.org/10.1016/j.compeleceng.2020.106670","http://dx.doi.org/10.1016/j.compeleceng.2020.106670")</f>
        <v>http://dx.doi.org/10.1016/j.compeleceng.2020.106670</v>
      </c>
      <c r="BJ527" s="32" t="s">
        <v>1225</v>
      </c>
      <c r="BK527" s="32" t="s">
        <v>1225</v>
      </c>
      <c r="BL527" s="32" t="s">
        <v>1225</v>
      </c>
      <c r="BM527" s="32" t="s">
        <v>1225</v>
      </c>
      <c r="BN527" s="32" t="s">
        <v>1225</v>
      </c>
      <c r="BO527" s="32" t="s">
        <v>1225</v>
      </c>
      <c r="BP527" s="32" t="s">
        <v>1225</v>
      </c>
      <c r="BQ527" s="32" t="s">
        <v>1225</v>
      </c>
      <c r="BR527" s="32" t="s">
        <v>1225</v>
      </c>
      <c r="BS527" s="32" t="s">
        <v>1225</v>
      </c>
      <c r="BT527" s="32" t="s">
        <v>1225</v>
      </c>
      <c r="BU527" s="32" t="s">
        <v>1225</v>
      </c>
      <c r="BV527" s="32" t="s">
        <v>1225</v>
      </c>
      <c r="BW527" s="32" t="str">
        <f t="shared" si="16"/>
        <v>View Full Record in Web of Science</v>
      </c>
      <c r="BY527" s="41" t="str">
        <f>IF(Deletion!J527=TRUE,"Yes","No")</f>
        <v>Yes</v>
      </c>
    </row>
    <row r="528" spans="1:77" x14ac:dyDescent="0.15">
      <c r="A528" s="34">
        <f t="shared" si="17"/>
        <v>527</v>
      </c>
      <c r="B528" s="34" t="s">
        <v>4</v>
      </c>
      <c r="C528" s="34" t="s">
        <v>4</v>
      </c>
      <c r="D528" s="34" t="s">
        <v>1223</v>
      </c>
      <c r="E528" s="34" t="s">
        <v>4865</v>
      </c>
      <c r="F528" s="32" t="s">
        <v>1225</v>
      </c>
      <c r="G528" s="32" t="s">
        <v>1225</v>
      </c>
      <c r="H528" s="32" t="s">
        <v>1225</v>
      </c>
      <c r="I528" s="34" t="s">
        <v>4866</v>
      </c>
      <c r="J528" s="32" t="s">
        <v>1225</v>
      </c>
      <c r="K528" s="32" t="s">
        <v>1225</v>
      </c>
      <c r="L528" s="34" t="s">
        <v>4867</v>
      </c>
      <c r="M528" s="34" t="s">
        <v>502</v>
      </c>
      <c r="N528" s="32" t="s">
        <v>1225</v>
      </c>
      <c r="O528" s="32" t="s">
        <v>1225</v>
      </c>
      <c r="P528" s="32" t="s">
        <v>1225</v>
      </c>
      <c r="Q528" s="34" t="s">
        <v>1227</v>
      </c>
      <c r="R528" s="32" t="s">
        <v>1225</v>
      </c>
      <c r="S528" s="32" t="s">
        <v>1225</v>
      </c>
      <c r="T528" s="32" t="s">
        <v>1225</v>
      </c>
      <c r="U528" s="32" t="s">
        <v>1225</v>
      </c>
      <c r="V528" s="32" t="s">
        <v>1225</v>
      </c>
      <c r="W528" s="34" t="s">
        <v>4868</v>
      </c>
      <c r="X528" s="34" t="s">
        <v>4869</v>
      </c>
      <c r="Y528" s="34" t="s">
        <v>4870</v>
      </c>
      <c r="Z528" s="32" t="s">
        <v>1225</v>
      </c>
      <c r="AA528" s="32" t="s">
        <v>1225</v>
      </c>
      <c r="AB528" s="32" t="s">
        <v>1225</v>
      </c>
      <c r="AC528" s="32" t="s">
        <v>1225</v>
      </c>
      <c r="AD528" s="32" t="s">
        <v>1225</v>
      </c>
      <c r="AE528" s="32" t="s">
        <v>1225</v>
      </c>
      <c r="AF528" s="32" t="s">
        <v>1225</v>
      </c>
      <c r="AG528" s="32" t="s">
        <v>1225</v>
      </c>
      <c r="AH528" s="32" t="s">
        <v>1225</v>
      </c>
      <c r="AI528" s="32" t="s">
        <v>1225</v>
      </c>
      <c r="AJ528" s="32" t="s">
        <v>1225</v>
      </c>
      <c r="AK528" s="32" t="s">
        <v>1225</v>
      </c>
      <c r="AL528" s="32" t="s">
        <v>1225</v>
      </c>
      <c r="AM528" s="32" t="s">
        <v>1225</v>
      </c>
      <c r="AN528" s="32" t="s">
        <v>1225</v>
      </c>
      <c r="AO528" s="32" t="s">
        <v>1225</v>
      </c>
      <c r="AP528" s="32" t="s">
        <v>1225</v>
      </c>
      <c r="AQ528" s="32" t="s">
        <v>1225</v>
      </c>
      <c r="AR528" s="32" t="s">
        <v>1225</v>
      </c>
      <c r="AS528" s="32" t="s">
        <v>1225</v>
      </c>
      <c r="AT528" s="32" t="s">
        <v>1225</v>
      </c>
      <c r="AU528" s="32" t="s">
        <v>1225</v>
      </c>
      <c r="AV528" s="32" t="s">
        <v>1225</v>
      </c>
      <c r="AW528" s="34" t="s">
        <v>1437</v>
      </c>
      <c r="AX528" s="34">
        <v>2013</v>
      </c>
      <c r="AY528" s="32">
        <v>61</v>
      </c>
      <c r="AZ528" s="32" t="s">
        <v>1225</v>
      </c>
      <c r="BA528" s="32" t="s">
        <v>1225</v>
      </c>
      <c r="BB528" s="32" t="s">
        <v>1225</v>
      </c>
      <c r="BC528" s="32" t="s">
        <v>1225</v>
      </c>
      <c r="BD528" s="32" t="s">
        <v>1225</v>
      </c>
      <c r="BE528" s="32">
        <v>118</v>
      </c>
      <c r="BF528" s="32">
        <v>127</v>
      </c>
      <c r="BG528" s="32" t="s">
        <v>1225</v>
      </c>
      <c r="BH528" s="34" t="s">
        <v>4871</v>
      </c>
      <c r="BI528" s="34" t="str">
        <f>HYPERLINK("http://dx.doi.org/10.1016/j.energy.2013.01.025","http://dx.doi.org/10.1016/j.energy.2013.01.025")</f>
        <v>http://dx.doi.org/10.1016/j.energy.2013.01.025</v>
      </c>
      <c r="BJ528" s="32" t="s">
        <v>1225</v>
      </c>
      <c r="BK528" s="32" t="s">
        <v>1225</v>
      </c>
      <c r="BL528" s="32" t="s">
        <v>1225</v>
      </c>
      <c r="BM528" s="32" t="s">
        <v>1225</v>
      </c>
      <c r="BN528" s="32" t="s">
        <v>1225</v>
      </c>
      <c r="BO528" s="32" t="s">
        <v>1225</v>
      </c>
      <c r="BP528" s="32" t="s">
        <v>1225</v>
      </c>
      <c r="BQ528" s="32" t="s">
        <v>1225</v>
      </c>
      <c r="BR528" s="32" t="s">
        <v>1225</v>
      </c>
      <c r="BS528" s="32" t="s">
        <v>1225</v>
      </c>
      <c r="BT528" s="32" t="s">
        <v>1225</v>
      </c>
      <c r="BU528" s="32" t="s">
        <v>1225</v>
      </c>
      <c r="BV528" s="32" t="s">
        <v>1225</v>
      </c>
      <c r="BW528" s="32" t="str">
        <f t="shared" si="16"/>
        <v>View Full Record in Web of Science</v>
      </c>
      <c r="BY528" s="41" t="str">
        <f>IF(Deletion!J528=TRUE,"Yes","No")</f>
        <v>No</v>
      </c>
    </row>
    <row r="529" spans="1:77" x14ac:dyDescent="0.15">
      <c r="A529" s="32">
        <f t="shared" si="17"/>
        <v>528</v>
      </c>
      <c r="D529" s="32" t="s">
        <v>1223</v>
      </c>
      <c r="E529" s="32" t="s">
        <v>4872</v>
      </c>
      <c r="F529" s="32" t="s">
        <v>1225</v>
      </c>
      <c r="G529" s="32" t="s">
        <v>1225</v>
      </c>
      <c r="H529" s="32" t="s">
        <v>1225</v>
      </c>
      <c r="I529" s="32" t="s">
        <v>4873</v>
      </c>
      <c r="J529" s="32" t="s">
        <v>1225</v>
      </c>
      <c r="K529" s="32" t="s">
        <v>1225</v>
      </c>
      <c r="L529" s="32" t="s">
        <v>4874</v>
      </c>
      <c r="M529" s="32" t="s">
        <v>68</v>
      </c>
      <c r="N529" s="32" t="s">
        <v>1225</v>
      </c>
      <c r="O529" s="32" t="s">
        <v>1225</v>
      </c>
      <c r="P529" s="32" t="s">
        <v>1225</v>
      </c>
      <c r="Q529" s="32" t="s">
        <v>1227</v>
      </c>
      <c r="R529" s="32" t="s">
        <v>1225</v>
      </c>
      <c r="S529" s="32" t="s">
        <v>1225</v>
      </c>
      <c r="T529" s="32" t="s">
        <v>1225</v>
      </c>
      <c r="U529" s="32" t="s">
        <v>1225</v>
      </c>
      <c r="V529" s="32" t="s">
        <v>1225</v>
      </c>
      <c r="W529" s="32" t="s">
        <v>4875</v>
      </c>
      <c r="X529" s="32" t="s">
        <v>4876</v>
      </c>
      <c r="Y529" s="32" t="s">
        <v>4877</v>
      </c>
      <c r="Z529" s="32" t="s">
        <v>1225</v>
      </c>
      <c r="AA529" s="32" t="s">
        <v>1225</v>
      </c>
      <c r="AB529" s="32" t="s">
        <v>1225</v>
      </c>
      <c r="AC529" s="32" t="s">
        <v>1225</v>
      </c>
      <c r="AD529" s="32" t="s">
        <v>1225</v>
      </c>
      <c r="AE529" s="32" t="s">
        <v>1225</v>
      </c>
      <c r="AF529" s="32" t="s">
        <v>1225</v>
      </c>
      <c r="AG529" s="32" t="s">
        <v>1225</v>
      </c>
      <c r="AH529" s="32" t="s">
        <v>1225</v>
      </c>
      <c r="AI529" s="32" t="s">
        <v>1225</v>
      </c>
      <c r="AJ529" s="32" t="s">
        <v>1225</v>
      </c>
      <c r="AK529" s="32" t="s">
        <v>1225</v>
      </c>
      <c r="AL529" s="32" t="s">
        <v>1225</v>
      </c>
      <c r="AM529" s="32" t="s">
        <v>1225</v>
      </c>
      <c r="AN529" s="32" t="s">
        <v>1225</v>
      </c>
      <c r="AO529" s="32" t="s">
        <v>1225</v>
      </c>
      <c r="AP529" s="32" t="s">
        <v>1225</v>
      </c>
      <c r="AQ529" s="32" t="s">
        <v>1225</v>
      </c>
      <c r="AR529" s="32" t="s">
        <v>1225</v>
      </c>
      <c r="AS529" s="32" t="s">
        <v>1225</v>
      </c>
      <c r="AT529" s="32" t="s">
        <v>1225</v>
      </c>
      <c r="AU529" s="32" t="s">
        <v>1225</v>
      </c>
      <c r="AV529" s="32" t="s">
        <v>1225</v>
      </c>
      <c r="AW529" s="32" t="s">
        <v>1225</v>
      </c>
      <c r="AX529" s="32">
        <v>2019</v>
      </c>
      <c r="AY529" s="32">
        <v>7</v>
      </c>
      <c r="AZ529" s="32" t="s">
        <v>1225</v>
      </c>
      <c r="BA529" s="32" t="s">
        <v>1225</v>
      </c>
      <c r="BB529" s="32" t="s">
        <v>1225</v>
      </c>
      <c r="BC529" s="32" t="s">
        <v>1225</v>
      </c>
      <c r="BD529" s="32" t="s">
        <v>1225</v>
      </c>
      <c r="BE529" s="32">
        <v>157535</v>
      </c>
      <c r="BF529" s="32">
        <v>157554</v>
      </c>
      <c r="BG529" s="32" t="s">
        <v>1225</v>
      </c>
      <c r="BH529" s="32" t="s">
        <v>4878</v>
      </c>
      <c r="BI529" s="32" t="str">
        <f>HYPERLINK("http://dx.doi.org/10.1109/ACCESS.2019.2950372","http://dx.doi.org/10.1109/ACCESS.2019.2950372")</f>
        <v>http://dx.doi.org/10.1109/ACCESS.2019.2950372</v>
      </c>
      <c r="BJ529" s="32" t="s">
        <v>1225</v>
      </c>
      <c r="BK529" s="32" t="s">
        <v>1225</v>
      </c>
      <c r="BL529" s="32" t="s">
        <v>1225</v>
      </c>
      <c r="BM529" s="32" t="s">
        <v>1225</v>
      </c>
      <c r="BN529" s="32" t="s">
        <v>1225</v>
      </c>
      <c r="BO529" s="32" t="s">
        <v>1225</v>
      </c>
      <c r="BP529" s="32" t="s">
        <v>1225</v>
      </c>
      <c r="BQ529" s="32" t="s">
        <v>1225</v>
      </c>
      <c r="BR529" s="32" t="s">
        <v>1225</v>
      </c>
      <c r="BS529" s="32" t="s">
        <v>1225</v>
      </c>
      <c r="BT529" s="32" t="s">
        <v>1225</v>
      </c>
      <c r="BU529" s="32" t="s">
        <v>1225</v>
      </c>
      <c r="BV529" s="32" t="s">
        <v>1225</v>
      </c>
      <c r="BW529" s="32" t="str">
        <f t="shared" si="16"/>
        <v>View Full Record in Web of Science</v>
      </c>
      <c r="BY529" s="41" t="str">
        <f>IF(Deletion!J529=TRUE,"Yes","No")</f>
        <v>Yes</v>
      </c>
    </row>
    <row r="530" spans="1:77" x14ac:dyDescent="0.15">
      <c r="A530" s="32">
        <f t="shared" si="17"/>
        <v>529</v>
      </c>
      <c r="D530" s="32" t="s">
        <v>1223</v>
      </c>
      <c r="E530" s="32" t="s">
        <v>4879</v>
      </c>
      <c r="F530" s="32" t="s">
        <v>1225</v>
      </c>
      <c r="G530" s="32" t="s">
        <v>1225</v>
      </c>
      <c r="H530" s="32" t="s">
        <v>1225</v>
      </c>
      <c r="I530" s="32" t="s">
        <v>4880</v>
      </c>
      <c r="J530" s="32" t="s">
        <v>1225</v>
      </c>
      <c r="K530" s="32" t="s">
        <v>1225</v>
      </c>
      <c r="L530" s="32" t="s">
        <v>4881</v>
      </c>
      <c r="M530" s="32" t="s">
        <v>2459</v>
      </c>
      <c r="N530" s="32" t="s">
        <v>1225</v>
      </c>
      <c r="O530" s="32" t="s">
        <v>1225</v>
      </c>
      <c r="P530" s="32" t="s">
        <v>1225</v>
      </c>
      <c r="Q530" s="32" t="s">
        <v>1227</v>
      </c>
      <c r="R530" s="32" t="s">
        <v>1225</v>
      </c>
      <c r="S530" s="32" t="s">
        <v>1225</v>
      </c>
      <c r="T530" s="32" t="s">
        <v>1225</v>
      </c>
      <c r="U530" s="32" t="s">
        <v>1225</v>
      </c>
      <c r="V530" s="32" t="s">
        <v>1225</v>
      </c>
      <c r="W530" s="32" t="s">
        <v>4882</v>
      </c>
      <c r="X530" s="32" t="s">
        <v>4883</v>
      </c>
      <c r="Y530" s="32" t="s">
        <v>4884</v>
      </c>
      <c r="Z530" s="32" t="s">
        <v>1225</v>
      </c>
      <c r="AA530" s="32" t="s">
        <v>1225</v>
      </c>
      <c r="AB530" s="32" t="s">
        <v>1225</v>
      </c>
      <c r="AC530" s="32" t="s">
        <v>1225</v>
      </c>
      <c r="AD530" s="32" t="s">
        <v>1225</v>
      </c>
      <c r="AE530" s="32" t="s">
        <v>1225</v>
      </c>
      <c r="AF530" s="32" t="s">
        <v>1225</v>
      </c>
      <c r="AG530" s="32" t="s">
        <v>1225</v>
      </c>
      <c r="AH530" s="32" t="s">
        <v>1225</v>
      </c>
      <c r="AI530" s="32" t="s">
        <v>1225</v>
      </c>
      <c r="AJ530" s="32" t="s">
        <v>1225</v>
      </c>
      <c r="AK530" s="32" t="s">
        <v>1225</v>
      </c>
      <c r="AL530" s="32" t="s">
        <v>1225</v>
      </c>
      <c r="AM530" s="32" t="s">
        <v>1225</v>
      </c>
      <c r="AN530" s="32" t="s">
        <v>1225</v>
      </c>
      <c r="AO530" s="32" t="s">
        <v>1225</v>
      </c>
      <c r="AP530" s="32" t="s">
        <v>1225</v>
      </c>
      <c r="AQ530" s="32" t="s">
        <v>1225</v>
      </c>
      <c r="AR530" s="32" t="s">
        <v>1225</v>
      </c>
      <c r="AS530" s="32" t="s">
        <v>1225</v>
      </c>
      <c r="AT530" s="32" t="s">
        <v>1225</v>
      </c>
      <c r="AU530" s="32" t="s">
        <v>1225</v>
      </c>
      <c r="AV530" s="32" t="s">
        <v>1225</v>
      </c>
      <c r="AW530" s="32" t="s">
        <v>1298</v>
      </c>
      <c r="AX530" s="32">
        <v>2017</v>
      </c>
      <c r="AY530" s="32">
        <v>12</v>
      </c>
      <c r="AZ530" s="32">
        <v>5</v>
      </c>
      <c r="BA530" s="32" t="s">
        <v>1225</v>
      </c>
      <c r="BB530" s="32" t="s">
        <v>1225</v>
      </c>
      <c r="BC530" s="32" t="s">
        <v>1225</v>
      </c>
      <c r="BD530" s="32" t="s">
        <v>1225</v>
      </c>
      <c r="BE530" s="32">
        <v>1789</v>
      </c>
      <c r="BF530" s="32">
        <v>1797</v>
      </c>
      <c r="BG530" s="32" t="s">
        <v>1225</v>
      </c>
      <c r="BH530" s="32" t="s">
        <v>4885</v>
      </c>
      <c r="BI530" s="32" t="str">
        <f>HYPERLINK("http://dx.doi.org/10.5370/JEET.2017.12.5.1789","http://dx.doi.org/10.5370/JEET.2017.12.5.1789")</f>
        <v>http://dx.doi.org/10.5370/JEET.2017.12.5.1789</v>
      </c>
      <c r="BJ530" s="32" t="s">
        <v>1225</v>
      </c>
      <c r="BK530" s="32" t="s">
        <v>1225</v>
      </c>
      <c r="BL530" s="32" t="s">
        <v>1225</v>
      </c>
      <c r="BM530" s="32" t="s">
        <v>1225</v>
      </c>
      <c r="BN530" s="32" t="s">
        <v>1225</v>
      </c>
      <c r="BO530" s="32" t="s">
        <v>1225</v>
      </c>
      <c r="BP530" s="32" t="s">
        <v>1225</v>
      </c>
      <c r="BQ530" s="32" t="s">
        <v>1225</v>
      </c>
      <c r="BR530" s="32" t="s">
        <v>1225</v>
      </c>
      <c r="BS530" s="32" t="s">
        <v>1225</v>
      </c>
      <c r="BT530" s="32" t="s">
        <v>1225</v>
      </c>
      <c r="BU530" s="32" t="s">
        <v>1225</v>
      </c>
      <c r="BV530" s="32" t="s">
        <v>1225</v>
      </c>
      <c r="BW530" s="32" t="str">
        <f t="shared" si="16"/>
        <v>View Full Record in Web of Science</v>
      </c>
      <c r="BY530" s="41" t="str">
        <f>IF(Deletion!J530=TRUE,"Yes","No")</f>
        <v>Yes</v>
      </c>
    </row>
    <row r="531" spans="1:77" x14ac:dyDescent="0.15">
      <c r="A531" s="32">
        <f t="shared" si="17"/>
        <v>530</v>
      </c>
      <c r="D531" s="32" t="s">
        <v>1223</v>
      </c>
      <c r="E531" s="32" t="s">
        <v>4886</v>
      </c>
      <c r="F531" s="32" t="s">
        <v>1225</v>
      </c>
      <c r="G531" s="32" t="s">
        <v>1225</v>
      </c>
      <c r="H531" s="32" t="s">
        <v>1225</v>
      </c>
      <c r="I531" s="32" t="s">
        <v>4887</v>
      </c>
      <c r="J531" s="32" t="s">
        <v>1225</v>
      </c>
      <c r="K531" s="32" t="s">
        <v>1225</v>
      </c>
      <c r="L531" s="32" t="s">
        <v>4888</v>
      </c>
      <c r="M531" s="32" t="s">
        <v>4099</v>
      </c>
      <c r="N531" s="32" t="s">
        <v>1225</v>
      </c>
      <c r="O531" s="32" t="s">
        <v>1225</v>
      </c>
      <c r="P531" s="32" t="s">
        <v>1225</v>
      </c>
      <c r="Q531" s="32" t="s">
        <v>1227</v>
      </c>
      <c r="R531" s="32" t="s">
        <v>1225</v>
      </c>
      <c r="S531" s="32" t="s">
        <v>1225</v>
      </c>
      <c r="T531" s="32" t="s">
        <v>1225</v>
      </c>
      <c r="U531" s="32" t="s">
        <v>1225</v>
      </c>
      <c r="V531" s="32" t="s">
        <v>1225</v>
      </c>
      <c r="W531" s="32" t="s">
        <v>4889</v>
      </c>
      <c r="X531" s="32" t="s">
        <v>1225</v>
      </c>
      <c r="Y531" s="32" t="s">
        <v>4890</v>
      </c>
      <c r="Z531" s="32" t="s">
        <v>1225</v>
      </c>
      <c r="AA531" s="32" t="s">
        <v>1225</v>
      </c>
      <c r="AB531" s="32" t="s">
        <v>1225</v>
      </c>
      <c r="AC531" s="32" t="s">
        <v>1225</v>
      </c>
      <c r="AD531" s="32" t="s">
        <v>1225</v>
      </c>
      <c r="AE531" s="32" t="s">
        <v>1225</v>
      </c>
      <c r="AF531" s="32" t="s">
        <v>1225</v>
      </c>
      <c r="AG531" s="32" t="s">
        <v>1225</v>
      </c>
      <c r="AH531" s="32" t="s">
        <v>1225</v>
      </c>
      <c r="AI531" s="32" t="s">
        <v>1225</v>
      </c>
      <c r="AJ531" s="32" t="s">
        <v>1225</v>
      </c>
      <c r="AK531" s="32" t="s">
        <v>1225</v>
      </c>
      <c r="AL531" s="32" t="s">
        <v>1225</v>
      </c>
      <c r="AM531" s="32" t="s">
        <v>1225</v>
      </c>
      <c r="AN531" s="32" t="s">
        <v>1225</v>
      </c>
      <c r="AO531" s="32" t="s">
        <v>1225</v>
      </c>
      <c r="AP531" s="32" t="s">
        <v>1225</v>
      </c>
      <c r="AQ531" s="32" t="s">
        <v>1225</v>
      </c>
      <c r="AR531" s="32" t="s">
        <v>1225</v>
      </c>
      <c r="AS531" s="32" t="s">
        <v>1225</v>
      </c>
      <c r="AT531" s="32" t="s">
        <v>1225</v>
      </c>
      <c r="AU531" s="32" t="s">
        <v>1225</v>
      </c>
      <c r="AV531" s="32" t="s">
        <v>1225</v>
      </c>
      <c r="AW531" s="32" t="s">
        <v>4891</v>
      </c>
      <c r="AX531" s="32">
        <v>2020</v>
      </c>
      <c r="AY531" s="32">
        <v>48</v>
      </c>
      <c r="AZ531" s="32" t="s">
        <v>4892</v>
      </c>
      <c r="BA531" s="32" t="s">
        <v>1225</v>
      </c>
      <c r="BB531" s="32" t="s">
        <v>1225</v>
      </c>
      <c r="BC531" s="32" t="s">
        <v>1225</v>
      </c>
      <c r="BD531" s="32" t="s">
        <v>1225</v>
      </c>
      <c r="BE531" s="32">
        <v>1282</v>
      </c>
      <c r="BF531" s="32">
        <v>1295</v>
      </c>
      <c r="BG531" s="32" t="s">
        <v>1225</v>
      </c>
      <c r="BH531" s="32" t="s">
        <v>4893</v>
      </c>
      <c r="BI531" s="32" t="str">
        <f>HYPERLINK("http://dx.doi.org/10.1080/15325008.2020.1854386","http://dx.doi.org/10.1080/15325008.2020.1854386")</f>
        <v>http://dx.doi.org/10.1080/15325008.2020.1854386</v>
      </c>
      <c r="BJ531" s="32" t="s">
        <v>1225</v>
      </c>
      <c r="BK531" s="32" t="s">
        <v>4894</v>
      </c>
      <c r="BL531" s="32" t="s">
        <v>1225</v>
      </c>
      <c r="BM531" s="32" t="s">
        <v>1225</v>
      </c>
      <c r="BN531" s="32" t="s">
        <v>1225</v>
      </c>
      <c r="BO531" s="32" t="s">
        <v>1225</v>
      </c>
      <c r="BP531" s="32" t="s">
        <v>1225</v>
      </c>
      <c r="BQ531" s="32" t="s">
        <v>1225</v>
      </c>
      <c r="BR531" s="32" t="s">
        <v>1225</v>
      </c>
      <c r="BS531" s="32" t="s">
        <v>1225</v>
      </c>
      <c r="BT531" s="32" t="s">
        <v>1225</v>
      </c>
      <c r="BU531" s="32" t="s">
        <v>1225</v>
      </c>
      <c r="BV531" s="32" t="s">
        <v>1225</v>
      </c>
      <c r="BW531" s="32" t="str">
        <f t="shared" si="16"/>
        <v>View Full Record in Web of Science</v>
      </c>
      <c r="BY531" s="41" t="str">
        <f>IF(Deletion!J531=TRUE,"Yes","No")</f>
        <v>Yes</v>
      </c>
    </row>
    <row r="532" spans="1:77" x14ac:dyDescent="0.15">
      <c r="A532" s="34">
        <f t="shared" si="17"/>
        <v>531</v>
      </c>
      <c r="B532" s="34" t="s">
        <v>4</v>
      </c>
      <c r="C532" s="34" t="s">
        <v>4</v>
      </c>
      <c r="D532" s="34" t="s">
        <v>1223</v>
      </c>
      <c r="E532" s="34" t="s">
        <v>4895</v>
      </c>
      <c r="F532" s="32" t="s">
        <v>1225</v>
      </c>
      <c r="G532" s="32" t="s">
        <v>1225</v>
      </c>
      <c r="H532" s="32" t="s">
        <v>1225</v>
      </c>
      <c r="I532" s="34" t="s">
        <v>4896</v>
      </c>
      <c r="J532" s="32" t="s">
        <v>1225</v>
      </c>
      <c r="K532" s="32" t="s">
        <v>1225</v>
      </c>
      <c r="L532" s="34" t="s">
        <v>4897</v>
      </c>
      <c r="M532" s="34" t="s">
        <v>4898</v>
      </c>
      <c r="N532" s="32" t="s">
        <v>1225</v>
      </c>
      <c r="O532" s="32" t="s">
        <v>1225</v>
      </c>
      <c r="P532" s="32" t="s">
        <v>1225</v>
      </c>
      <c r="Q532" s="34" t="s">
        <v>1227</v>
      </c>
      <c r="R532" s="32" t="s">
        <v>1225</v>
      </c>
      <c r="S532" s="32" t="s">
        <v>1225</v>
      </c>
      <c r="T532" s="32" t="s">
        <v>1225</v>
      </c>
      <c r="U532" s="32" t="s">
        <v>1225</v>
      </c>
      <c r="V532" s="32" t="s">
        <v>1225</v>
      </c>
      <c r="W532" s="34" t="s">
        <v>4899</v>
      </c>
      <c r="X532" s="34" t="s">
        <v>1859</v>
      </c>
      <c r="Y532" s="34" t="s">
        <v>4900</v>
      </c>
      <c r="Z532" s="32" t="s">
        <v>1225</v>
      </c>
      <c r="AA532" s="32" t="s">
        <v>1225</v>
      </c>
      <c r="AB532" s="32" t="s">
        <v>1225</v>
      </c>
      <c r="AC532" s="32" t="s">
        <v>1225</v>
      </c>
      <c r="AD532" s="32" t="s">
        <v>1225</v>
      </c>
      <c r="AE532" s="32" t="s">
        <v>1225</v>
      </c>
      <c r="AF532" s="32" t="s">
        <v>1225</v>
      </c>
      <c r="AG532" s="32" t="s">
        <v>1225</v>
      </c>
      <c r="AH532" s="32" t="s">
        <v>1225</v>
      </c>
      <c r="AI532" s="32" t="s">
        <v>1225</v>
      </c>
      <c r="AJ532" s="32" t="s">
        <v>1225</v>
      </c>
      <c r="AK532" s="32" t="s">
        <v>1225</v>
      </c>
      <c r="AL532" s="32" t="s">
        <v>1225</v>
      </c>
      <c r="AM532" s="32" t="s">
        <v>1225</v>
      </c>
      <c r="AN532" s="32" t="s">
        <v>1225</v>
      </c>
      <c r="AO532" s="32" t="s">
        <v>1225</v>
      </c>
      <c r="AP532" s="32" t="s">
        <v>1225</v>
      </c>
      <c r="AQ532" s="32" t="s">
        <v>1225</v>
      </c>
      <c r="AR532" s="32" t="s">
        <v>1225</v>
      </c>
      <c r="AS532" s="32" t="s">
        <v>1225</v>
      </c>
      <c r="AT532" s="32" t="s">
        <v>1225</v>
      </c>
      <c r="AU532" s="32" t="s">
        <v>1225</v>
      </c>
      <c r="AV532" s="32" t="s">
        <v>1225</v>
      </c>
      <c r="AW532" s="34" t="s">
        <v>1393</v>
      </c>
      <c r="AX532" s="34">
        <v>2020</v>
      </c>
      <c r="AY532" s="32">
        <v>14</v>
      </c>
      <c r="AZ532" s="32">
        <v>6</v>
      </c>
      <c r="BA532" s="32" t="s">
        <v>1225</v>
      </c>
      <c r="BB532" s="32" t="s">
        <v>1225</v>
      </c>
      <c r="BC532" s="32" t="s">
        <v>1225</v>
      </c>
      <c r="BD532" s="32" t="s">
        <v>1225</v>
      </c>
      <c r="BE532" s="32">
        <v>504</v>
      </c>
      <c r="BF532" s="32">
        <v>510</v>
      </c>
      <c r="BG532" s="32" t="s">
        <v>1225</v>
      </c>
      <c r="BH532" s="34" t="s">
        <v>4901</v>
      </c>
      <c r="BI532" s="34" t="str">
        <f>HYPERLINK("http://dx.doi.org/10.1049/iet-its.2019.0351","http://dx.doi.org/10.1049/iet-its.2019.0351")</f>
        <v>http://dx.doi.org/10.1049/iet-its.2019.0351</v>
      </c>
      <c r="BJ532" s="32" t="s">
        <v>1225</v>
      </c>
      <c r="BK532" s="32" t="s">
        <v>1225</v>
      </c>
      <c r="BL532" s="32" t="s">
        <v>1225</v>
      </c>
      <c r="BM532" s="32" t="s">
        <v>1225</v>
      </c>
      <c r="BN532" s="32" t="s">
        <v>1225</v>
      </c>
      <c r="BO532" s="32" t="s">
        <v>1225</v>
      </c>
      <c r="BP532" s="32" t="s">
        <v>1225</v>
      </c>
      <c r="BQ532" s="32" t="s">
        <v>1225</v>
      </c>
      <c r="BR532" s="32" t="s">
        <v>1225</v>
      </c>
      <c r="BS532" s="32" t="s">
        <v>1225</v>
      </c>
      <c r="BT532" s="32" t="s">
        <v>1225</v>
      </c>
      <c r="BU532" s="32" t="s">
        <v>1225</v>
      </c>
      <c r="BV532" s="32" t="s">
        <v>1225</v>
      </c>
      <c r="BW532" s="32" t="str">
        <f t="shared" si="16"/>
        <v>View Full Record in Web of Science</v>
      </c>
      <c r="BY532" s="41" t="str">
        <f>IF(Deletion!J532=TRUE,"Yes","No")</f>
        <v>No</v>
      </c>
    </row>
    <row r="533" spans="1:77" x14ac:dyDescent="0.15">
      <c r="A533" s="32">
        <f t="shared" si="17"/>
        <v>532</v>
      </c>
      <c r="D533" s="32" t="s">
        <v>1223</v>
      </c>
      <c r="E533" s="32" t="s">
        <v>4902</v>
      </c>
      <c r="F533" s="32" t="s">
        <v>1225</v>
      </c>
      <c r="G533" s="32" t="s">
        <v>1225</v>
      </c>
      <c r="H533" s="32" t="s">
        <v>1225</v>
      </c>
      <c r="I533" s="32" t="s">
        <v>4903</v>
      </c>
      <c r="J533" s="32" t="s">
        <v>1225</v>
      </c>
      <c r="K533" s="32" t="s">
        <v>1225</v>
      </c>
      <c r="L533" s="32" t="s">
        <v>4904</v>
      </c>
      <c r="M533" s="32" t="s">
        <v>114</v>
      </c>
      <c r="N533" s="32" t="s">
        <v>1225</v>
      </c>
      <c r="O533" s="32" t="s">
        <v>1225</v>
      </c>
      <c r="P533" s="32" t="s">
        <v>1225</v>
      </c>
      <c r="Q533" s="32" t="s">
        <v>1688</v>
      </c>
      <c r="R533" s="32" t="s">
        <v>1225</v>
      </c>
      <c r="S533" s="32" t="s">
        <v>1225</v>
      </c>
      <c r="T533" s="32" t="s">
        <v>1225</v>
      </c>
      <c r="U533" s="32" t="s">
        <v>1225</v>
      </c>
      <c r="V533" s="32" t="s">
        <v>1225</v>
      </c>
      <c r="W533" s="32" t="s">
        <v>4905</v>
      </c>
      <c r="X533" s="32" t="s">
        <v>4906</v>
      </c>
      <c r="Y533" s="32" t="s">
        <v>4907</v>
      </c>
      <c r="Z533" s="32" t="s">
        <v>1225</v>
      </c>
      <c r="AA533" s="32" t="s">
        <v>1225</v>
      </c>
      <c r="AB533" s="32" t="s">
        <v>1225</v>
      </c>
      <c r="AC533" s="32" t="s">
        <v>1225</v>
      </c>
      <c r="AD533" s="32" t="s">
        <v>1225</v>
      </c>
      <c r="AE533" s="32" t="s">
        <v>1225</v>
      </c>
      <c r="AF533" s="32" t="s">
        <v>1225</v>
      </c>
      <c r="AG533" s="32" t="s">
        <v>1225</v>
      </c>
      <c r="AH533" s="32" t="s">
        <v>1225</v>
      </c>
      <c r="AI533" s="32" t="s">
        <v>1225</v>
      </c>
      <c r="AJ533" s="32" t="s">
        <v>1225</v>
      </c>
      <c r="AK533" s="32" t="s">
        <v>1225</v>
      </c>
      <c r="AL533" s="32" t="s">
        <v>1225</v>
      </c>
      <c r="AM533" s="32" t="s">
        <v>1225</v>
      </c>
      <c r="AN533" s="32" t="s">
        <v>1225</v>
      </c>
      <c r="AO533" s="32" t="s">
        <v>1225</v>
      </c>
      <c r="AP533" s="32" t="s">
        <v>1225</v>
      </c>
      <c r="AQ533" s="32" t="s">
        <v>1225</v>
      </c>
      <c r="AR533" s="32" t="s">
        <v>1225</v>
      </c>
      <c r="AS533" s="32" t="s">
        <v>1225</v>
      </c>
      <c r="AT533" s="32" t="s">
        <v>1225</v>
      </c>
      <c r="AU533" s="32" t="s">
        <v>1225</v>
      </c>
      <c r="AV533" s="32" t="s">
        <v>1225</v>
      </c>
      <c r="AW533" s="32" t="s">
        <v>1225</v>
      </c>
      <c r="AX533" s="32" t="s">
        <v>1225</v>
      </c>
      <c r="AY533" s="32" t="s">
        <v>1225</v>
      </c>
      <c r="AZ533" s="32" t="s">
        <v>1225</v>
      </c>
      <c r="BA533" s="32" t="s">
        <v>1225</v>
      </c>
      <c r="BB533" s="32" t="s">
        <v>1225</v>
      </c>
      <c r="BC533" s="32" t="s">
        <v>1225</v>
      </c>
      <c r="BD533" s="32" t="s">
        <v>1225</v>
      </c>
      <c r="BE533" s="32" t="s">
        <v>1225</v>
      </c>
      <c r="BF533" s="32" t="s">
        <v>1225</v>
      </c>
      <c r="BG533" s="32" t="s">
        <v>1225</v>
      </c>
      <c r="BH533" s="32" t="s">
        <v>4908</v>
      </c>
      <c r="BI533" s="32" t="str">
        <f>HYPERLINK("http://dx.doi.org/10.1109/TITS.2022.3161398","http://dx.doi.org/10.1109/TITS.2022.3161398")</f>
        <v>http://dx.doi.org/10.1109/TITS.2022.3161398</v>
      </c>
      <c r="BJ533" s="32" t="s">
        <v>1225</v>
      </c>
      <c r="BK533" s="32" t="s">
        <v>4045</v>
      </c>
      <c r="BL533" s="32" t="s">
        <v>1225</v>
      </c>
      <c r="BM533" s="32" t="s">
        <v>1225</v>
      </c>
      <c r="BN533" s="32" t="s">
        <v>1225</v>
      </c>
      <c r="BO533" s="32" t="s">
        <v>1225</v>
      </c>
      <c r="BP533" s="32" t="s">
        <v>1225</v>
      </c>
      <c r="BQ533" s="32" t="s">
        <v>1225</v>
      </c>
      <c r="BR533" s="32" t="s">
        <v>1225</v>
      </c>
      <c r="BS533" s="32" t="s">
        <v>1225</v>
      </c>
      <c r="BT533" s="32" t="s">
        <v>1225</v>
      </c>
      <c r="BU533" s="32" t="s">
        <v>1225</v>
      </c>
      <c r="BV533" s="32" t="s">
        <v>1225</v>
      </c>
      <c r="BW533" s="32" t="str">
        <f t="shared" si="16"/>
        <v>View Full Record in Web of Science</v>
      </c>
      <c r="BY533" s="41" t="str">
        <f>IF(Deletion!J533=TRUE,"Yes","No")</f>
        <v>Yes</v>
      </c>
    </row>
    <row r="534" spans="1:77" x14ac:dyDescent="0.15">
      <c r="A534" s="32">
        <f t="shared" si="17"/>
        <v>533</v>
      </c>
      <c r="D534" s="32" t="s">
        <v>1223</v>
      </c>
      <c r="E534" s="32" t="s">
        <v>4909</v>
      </c>
      <c r="F534" s="32" t="s">
        <v>1225</v>
      </c>
      <c r="G534" s="32" t="s">
        <v>1225</v>
      </c>
      <c r="H534" s="32" t="s">
        <v>1225</v>
      </c>
      <c r="I534" s="32" t="s">
        <v>4910</v>
      </c>
      <c r="J534" s="32" t="s">
        <v>1225</v>
      </c>
      <c r="K534" s="32" t="s">
        <v>1225</v>
      </c>
      <c r="L534" s="32" t="s">
        <v>4911</v>
      </c>
      <c r="M534" s="32" t="s">
        <v>1586</v>
      </c>
      <c r="N534" s="32" t="s">
        <v>1225</v>
      </c>
      <c r="O534" s="32" t="s">
        <v>1225</v>
      </c>
      <c r="P534" s="32" t="s">
        <v>1225</v>
      </c>
      <c r="Q534" s="32" t="s">
        <v>1227</v>
      </c>
      <c r="R534" s="32" t="s">
        <v>1225</v>
      </c>
      <c r="S534" s="32" t="s">
        <v>1225</v>
      </c>
      <c r="T534" s="32" t="s">
        <v>1225</v>
      </c>
      <c r="U534" s="32" t="s">
        <v>1225</v>
      </c>
      <c r="V534" s="32" t="s">
        <v>1225</v>
      </c>
      <c r="W534" s="32" t="s">
        <v>4912</v>
      </c>
      <c r="X534" s="32" t="s">
        <v>1225</v>
      </c>
      <c r="Y534" s="32" t="s">
        <v>4913</v>
      </c>
      <c r="Z534" s="32" t="s">
        <v>1225</v>
      </c>
      <c r="AA534" s="32" t="s">
        <v>1225</v>
      </c>
      <c r="AB534" s="32" t="s">
        <v>1225</v>
      </c>
      <c r="AC534" s="32" t="s">
        <v>1225</v>
      </c>
      <c r="AD534" s="32" t="s">
        <v>1225</v>
      </c>
      <c r="AE534" s="32" t="s">
        <v>1225</v>
      </c>
      <c r="AF534" s="32" t="s">
        <v>1225</v>
      </c>
      <c r="AG534" s="32" t="s">
        <v>1225</v>
      </c>
      <c r="AH534" s="32" t="s">
        <v>1225</v>
      </c>
      <c r="AI534" s="32" t="s">
        <v>1225</v>
      </c>
      <c r="AJ534" s="32" t="s">
        <v>1225</v>
      </c>
      <c r="AK534" s="32" t="s">
        <v>1225</v>
      </c>
      <c r="AL534" s="32" t="s">
        <v>1225</v>
      </c>
      <c r="AM534" s="32" t="s">
        <v>1225</v>
      </c>
      <c r="AN534" s="32" t="s">
        <v>1225</v>
      </c>
      <c r="AO534" s="32" t="s">
        <v>1225</v>
      </c>
      <c r="AP534" s="32" t="s">
        <v>1225</v>
      </c>
      <c r="AQ534" s="32" t="s">
        <v>1225</v>
      </c>
      <c r="AR534" s="32" t="s">
        <v>1225</v>
      </c>
      <c r="AS534" s="32" t="s">
        <v>1225</v>
      </c>
      <c r="AT534" s="32" t="s">
        <v>1225</v>
      </c>
      <c r="AU534" s="32" t="s">
        <v>1225</v>
      </c>
      <c r="AV534" s="32" t="s">
        <v>1225</v>
      </c>
      <c r="AW534" s="32" t="s">
        <v>1276</v>
      </c>
      <c r="AX534" s="32">
        <v>2021</v>
      </c>
      <c r="AY534" s="32">
        <v>13</v>
      </c>
      <c r="AZ534" s="32">
        <v>19</v>
      </c>
      <c r="BA534" s="32" t="s">
        <v>1225</v>
      </c>
      <c r="BB534" s="32" t="s">
        <v>1225</v>
      </c>
      <c r="BC534" s="32" t="s">
        <v>1225</v>
      </c>
      <c r="BD534" s="32" t="s">
        <v>1225</v>
      </c>
      <c r="BE534" s="32" t="s">
        <v>1225</v>
      </c>
      <c r="BF534" s="32" t="s">
        <v>1225</v>
      </c>
      <c r="BG534" s="32">
        <v>10639</v>
      </c>
      <c r="BH534" s="32" t="s">
        <v>4914</v>
      </c>
      <c r="BI534" s="32" t="str">
        <f>HYPERLINK("http://dx.doi.org/10.3390/su131910639","http://dx.doi.org/10.3390/su131910639")</f>
        <v>http://dx.doi.org/10.3390/su131910639</v>
      </c>
      <c r="BJ534" s="32" t="s">
        <v>1225</v>
      </c>
      <c r="BK534" s="32" t="s">
        <v>1225</v>
      </c>
      <c r="BL534" s="32" t="s">
        <v>1225</v>
      </c>
      <c r="BM534" s="32" t="s">
        <v>1225</v>
      </c>
      <c r="BN534" s="32" t="s">
        <v>1225</v>
      </c>
      <c r="BO534" s="32" t="s">
        <v>1225</v>
      </c>
      <c r="BP534" s="32" t="s">
        <v>1225</v>
      </c>
      <c r="BQ534" s="32" t="s">
        <v>1225</v>
      </c>
      <c r="BR534" s="32" t="s">
        <v>1225</v>
      </c>
      <c r="BS534" s="32" t="s">
        <v>1225</v>
      </c>
      <c r="BT534" s="32" t="s">
        <v>1225</v>
      </c>
      <c r="BU534" s="32" t="s">
        <v>1225</v>
      </c>
      <c r="BV534" s="32" t="s">
        <v>1225</v>
      </c>
      <c r="BW534" s="32" t="str">
        <f t="shared" si="16"/>
        <v>View Full Record in Web of Science</v>
      </c>
      <c r="BY534" s="41" t="str">
        <f>IF(Deletion!J534=TRUE,"Yes","No")</f>
        <v>Yes</v>
      </c>
    </row>
    <row r="535" spans="1:77" x14ac:dyDescent="0.15">
      <c r="A535" s="32">
        <f t="shared" si="17"/>
        <v>534</v>
      </c>
      <c r="D535" s="32" t="s">
        <v>1223</v>
      </c>
      <c r="E535" s="32" t="s">
        <v>4915</v>
      </c>
      <c r="F535" s="32" t="s">
        <v>1225</v>
      </c>
      <c r="G535" s="32" t="s">
        <v>1225</v>
      </c>
      <c r="H535" s="32" t="s">
        <v>1225</v>
      </c>
      <c r="I535" s="32" t="s">
        <v>4916</v>
      </c>
      <c r="J535" s="32" t="s">
        <v>1225</v>
      </c>
      <c r="K535" s="32" t="s">
        <v>1225</v>
      </c>
      <c r="L535" s="32" t="s">
        <v>4917</v>
      </c>
      <c r="M535" s="32" t="s">
        <v>2044</v>
      </c>
      <c r="N535" s="32" t="s">
        <v>1225</v>
      </c>
      <c r="O535" s="32" t="s">
        <v>1225</v>
      </c>
      <c r="P535" s="32" t="s">
        <v>1225</v>
      </c>
      <c r="Q535" s="32" t="s">
        <v>1227</v>
      </c>
      <c r="R535" s="32" t="s">
        <v>1225</v>
      </c>
      <c r="S535" s="32" t="s">
        <v>1225</v>
      </c>
      <c r="T535" s="32" t="s">
        <v>1225</v>
      </c>
      <c r="U535" s="32" t="s">
        <v>1225</v>
      </c>
      <c r="V535" s="32" t="s">
        <v>1225</v>
      </c>
      <c r="W535" s="32" t="s">
        <v>4918</v>
      </c>
      <c r="X535" s="32" t="s">
        <v>3760</v>
      </c>
      <c r="Y535" s="32" t="s">
        <v>4919</v>
      </c>
      <c r="Z535" s="32" t="s">
        <v>1225</v>
      </c>
      <c r="AA535" s="32" t="s">
        <v>1225</v>
      </c>
      <c r="AB535" s="32" t="s">
        <v>1225</v>
      </c>
      <c r="AC535" s="32" t="s">
        <v>1225</v>
      </c>
      <c r="AD535" s="32" t="s">
        <v>1225</v>
      </c>
      <c r="AE535" s="32" t="s">
        <v>1225</v>
      </c>
      <c r="AF535" s="32" t="s">
        <v>1225</v>
      </c>
      <c r="AG535" s="32" t="s">
        <v>1225</v>
      </c>
      <c r="AH535" s="32" t="s">
        <v>1225</v>
      </c>
      <c r="AI535" s="32" t="s">
        <v>1225</v>
      </c>
      <c r="AJ535" s="32" t="s">
        <v>1225</v>
      </c>
      <c r="AK535" s="32" t="s">
        <v>1225</v>
      </c>
      <c r="AL535" s="32" t="s">
        <v>1225</v>
      </c>
      <c r="AM535" s="32" t="s">
        <v>1225</v>
      </c>
      <c r="AN535" s="32" t="s">
        <v>1225</v>
      </c>
      <c r="AO535" s="32" t="s">
        <v>1225</v>
      </c>
      <c r="AP535" s="32" t="s">
        <v>1225</v>
      </c>
      <c r="AQ535" s="32" t="s">
        <v>1225</v>
      </c>
      <c r="AR535" s="32" t="s">
        <v>1225</v>
      </c>
      <c r="AS535" s="32" t="s">
        <v>1225</v>
      </c>
      <c r="AT535" s="32" t="s">
        <v>1225</v>
      </c>
      <c r="AU535" s="32" t="s">
        <v>1225</v>
      </c>
      <c r="AV535" s="32" t="s">
        <v>1225</v>
      </c>
      <c r="AW535" s="32" t="s">
        <v>1298</v>
      </c>
      <c r="AX535" s="32">
        <v>2021</v>
      </c>
      <c r="AY535" s="32">
        <v>70</v>
      </c>
      <c r="AZ535" s="32">
        <v>9</v>
      </c>
      <c r="BA535" s="32" t="s">
        <v>1225</v>
      </c>
      <c r="BB535" s="32" t="s">
        <v>1225</v>
      </c>
      <c r="BC535" s="32" t="s">
        <v>1225</v>
      </c>
      <c r="BD535" s="32" t="s">
        <v>1225</v>
      </c>
      <c r="BE535" s="32">
        <v>9369</v>
      </c>
      <c r="BF535" s="32">
        <v>9384</v>
      </c>
      <c r="BG535" s="32" t="s">
        <v>1225</v>
      </c>
      <c r="BH535" s="32" t="s">
        <v>4920</v>
      </c>
      <c r="BI535" s="32" t="str">
        <f>HYPERLINK("http://dx.doi.org/10.1109/TVT.2021.3098188","http://dx.doi.org/10.1109/TVT.2021.3098188")</f>
        <v>http://dx.doi.org/10.1109/TVT.2021.3098188</v>
      </c>
      <c r="BJ535" s="32" t="s">
        <v>1225</v>
      </c>
      <c r="BK535" s="32" t="s">
        <v>1225</v>
      </c>
      <c r="BL535" s="32" t="s">
        <v>1225</v>
      </c>
      <c r="BM535" s="32" t="s">
        <v>1225</v>
      </c>
      <c r="BN535" s="32" t="s">
        <v>1225</v>
      </c>
      <c r="BO535" s="32" t="s">
        <v>1225</v>
      </c>
      <c r="BP535" s="32" t="s">
        <v>1225</v>
      </c>
      <c r="BQ535" s="32" t="s">
        <v>1225</v>
      </c>
      <c r="BR535" s="32" t="s">
        <v>1225</v>
      </c>
      <c r="BS535" s="32" t="s">
        <v>1225</v>
      </c>
      <c r="BT535" s="32" t="s">
        <v>1225</v>
      </c>
      <c r="BU535" s="32" t="s">
        <v>1225</v>
      </c>
      <c r="BV535" s="32" t="s">
        <v>1225</v>
      </c>
      <c r="BW535" s="32" t="str">
        <f t="shared" si="16"/>
        <v>View Full Record in Web of Science</v>
      </c>
      <c r="BY535" s="41" t="str">
        <f>IF(Deletion!J535=TRUE,"Yes","No")</f>
        <v>Yes</v>
      </c>
    </row>
    <row r="536" spans="1:77" x14ac:dyDescent="0.15">
      <c r="A536" s="32">
        <f t="shared" si="17"/>
        <v>535</v>
      </c>
      <c r="D536" s="32" t="s">
        <v>1223</v>
      </c>
      <c r="E536" s="32" t="s">
        <v>4921</v>
      </c>
      <c r="F536" s="32" t="s">
        <v>1225</v>
      </c>
      <c r="G536" s="32" t="s">
        <v>1225</v>
      </c>
      <c r="H536" s="32" t="s">
        <v>1225</v>
      </c>
      <c r="I536" s="32" t="s">
        <v>4922</v>
      </c>
      <c r="J536" s="32" t="s">
        <v>1225</v>
      </c>
      <c r="K536" s="32" t="s">
        <v>1225</v>
      </c>
      <c r="L536" s="32" t="s">
        <v>4923</v>
      </c>
      <c r="M536" s="32" t="s">
        <v>278</v>
      </c>
      <c r="N536" s="32" t="s">
        <v>1225</v>
      </c>
      <c r="O536" s="32" t="s">
        <v>1225</v>
      </c>
      <c r="P536" s="32" t="s">
        <v>1225</v>
      </c>
      <c r="Q536" s="32" t="s">
        <v>1227</v>
      </c>
      <c r="R536" s="32" t="s">
        <v>1225</v>
      </c>
      <c r="S536" s="32" t="s">
        <v>1225</v>
      </c>
      <c r="T536" s="32" t="s">
        <v>1225</v>
      </c>
      <c r="U536" s="32" t="s">
        <v>1225</v>
      </c>
      <c r="V536" s="32" t="s">
        <v>1225</v>
      </c>
      <c r="W536" s="32" t="s">
        <v>4924</v>
      </c>
      <c r="X536" s="32" t="s">
        <v>4925</v>
      </c>
      <c r="Y536" s="32" t="s">
        <v>4926</v>
      </c>
      <c r="Z536" s="32" t="s">
        <v>1225</v>
      </c>
      <c r="AA536" s="32" t="s">
        <v>1225</v>
      </c>
      <c r="AB536" s="32" t="s">
        <v>1225</v>
      </c>
      <c r="AC536" s="32" t="s">
        <v>1225</v>
      </c>
      <c r="AD536" s="32" t="s">
        <v>1225</v>
      </c>
      <c r="AE536" s="32" t="s">
        <v>1225</v>
      </c>
      <c r="AF536" s="32" t="s">
        <v>1225</v>
      </c>
      <c r="AG536" s="32" t="s">
        <v>1225</v>
      </c>
      <c r="AH536" s="32" t="s">
        <v>1225</v>
      </c>
      <c r="AI536" s="32" t="s">
        <v>1225</v>
      </c>
      <c r="AJ536" s="32" t="s">
        <v>1225</v>
      </c>
      <c r="AK536" s="32" t="s">
        <v>1225</v>
      </c>
      <c r="AL536" s="32" t="s">
        <v>1225</v>
      </c>
      <c r="AM536" s="32" t="s">
        <v>1225</v>
      </c>
      <c r="AN536" s="32" t="s">
        <v>1225</v>
      </c>
      <c r="AO536" s="32" t="s">
        <v>1225</v>
      </c>
      <c r="AP536" s="32" t="s">
        <v>1225</v>
      </c>
      <c r="AQ536" s="32" t="s">
        <v>1225</v>
      </c>
      <c r="AR536" s="32" t="s">
        <v>1225</v>
      </c>
      <c r="AS536" s="32" t="s">
        <v>1225</v>
      </c>
      <c r="AT536" s="32" t="s">
        <v>1225</v>
      </c>
      <c r="AU536" s="32" t="s">
        <v>1225</v>
      </c>
      <c r="AV536" s="32" t="s">
        <v>1225</v>
      </c>
      <c r="AW536" s="32" t="s">
        <v>1465</v>
      </c>
      <c r="AX536" s="32">
        <v>2019</v>
      </c>
      <c r="AY536" s="32">
        <v>45</v>
      </c>
      <c r="AZ536" s="32" t="s">
        <v>1225</v>
      </c>
      <c r="BA536" s="32" t="s">
        <v>1225</v>
      </c>
      <c r="BB536" s="32" t="s">
        <v>1225</v>
      </c>
      <c r="BC536" s="32" t="s">
        <v>1225</v>
      </c>
      <c r="BD536" s="32" t="s">
        <v>1225</v>
      </c>
      <c r="BE536" s="32">
        <v>439</v>
      </c>
      <c r="BF536" s="32">
        <v>450</v>
      </c>
      <c r="BG536" s="32" t="s">
        <v>1225</v>
      </c>
      <c r="BH536" s="32" t="s">
        <v>4927</v>
      </c>
      <c r="BI536" s="32" t="str">
        <f>HYPERLINK("http://dx.doi.org/10.1016/j.scs.2018.11.046","http://dx.doi.org/10.1016/j.scs.2018.11.046")</f>
        <v>http://dx.doi.org/10.1016/j.scs.2018.11.046</v>
      </c>
      <c r="BJ536" s="32" t="s">
        <v>1225</v>
      </c>
      <c r="BK536" s="32" t="s">
        <v>1225</v>
      </c>
      <c r="BL536" s="32" t="s">
        <v>1225</v>
      </c>
      <c r="BM536" s="32" t="s">
        <v>1225</v>
      </c>
      <c r="BN536" s="32" t="s">
        <v>1225</v>
      </c>
      <c r="BO536" s="32" t="s">
        <v>1225</v>
      </c>
      <c r="BP536" s="32" t="s">
        <v>1225</v>
      </c>
      <c r="BQ536" s="32" t="s">
        <v>1225</v>
      </c>
      <c r="BR536" s="32" t="s">
        <v>1225</v>
      </c>
      <c r="BS536" s="32" t="s">
        <v>1225</v>
      </c>
      <c r="BT536" s="32" t="s">
        <v>1225</v>
      </c>
      <c r="BU536" s="32" t="s">
        <v>1225</v>
      </c>
      <c r="BV536" s="32" t="s">
        <v>1225</v>
      </c>
      <c r="BW536" s="32" t="str">
        <f t="shared" si="16"/>
        <v>View Full Record in Web of Science</v>
      </c>
      <c r="BY536" s="41" t="str">
        <f>IF(Deletion!J536=TRUE,"Yes","No")</f>
        <v>Yes</v>
      </c>
    </row>
    <row r="537" spans="1:77" x14ac:dyDescent="0.15">
      <c r="A537" s="32">
        <f t="shared" si="17"/>
        <v>536</v>
      </c>
      <c r="D537" s="32" t="s">
        <v>1223</v>
      </c>
      <c r="E537" s="32" t="s">
        <v>4928</v>
      </c>
      <c r="F537" s="32" t="s">
        <v>1225</v>
      </c>
      <c r="G537" s="32" t="s">
        <v>1225</v>
      </c>
      <c r="H537" s="32" t="s">
        <v>1225</v>
      </c>
      <c r="I537" s="32" t="s">
        <v>4929</v>
      </c>
      <c r="J537" s="32" t="s">
        <v>1225</v>
      </c>
      <c r="K537" s="32" t="s">
        <v>1225</v>
      </c>
      <c r="L537" s="32" t="s">
        <v>4930</v>
      </c>
      <c r="M537" s="32" t="s">
        <v>124</v>
      </c>
      <c r="N537" s="32" t="s">
        <v>1225</v>
      </c>
      <c r="O537" s="32" t="s">
        <v>1225</v>
      </c>
      <c r="P537" s="32" t="s">
        <v>1225</v>
      </c>
      <c r="Q537" s="32" t="s">
        <v>1227</v>
      </c>
      <c r="R537" s="32" t="s">
        <v>1225</v>
      </c>
      <c r="S537" s="32" t="s">
        <v>1225</v>
      </c>
      <c r="T537" s="32" t="s">
        <v>1225</v>
      </c>
      <c r="U537" s="32" t="s">
        <v>1225</v>
      </c>
      <c r="V537" s="32" t="s">
        <v>1225</v>
      </c>
      <c r="W537" s="32" t="s">
        <v>4931</v>
      </c>
      <c r="X537" s="32" t="s">
        <v>4932</v>
      </c>
      <c r="Y537" s="32" t="s">
        <v>4933</v>
      </c>
      <c r="Z537" s="32" t="s">
        <v>1225</v>
      </c>
      <c r="AA537" s="32" t="s">
        <v>1225</v>
      </c>
      <c r="AB537" s="32" t="s">
        <v>1225</v>
      </c>
      <c r="AC537" s="32" t="s">
        <v>1225</v>
      </c>
      <c r="AD537" s="32" t="s">
        <v>1225</v>
      </c>
      <c r="AE537" s="32" t="s">
        <v>1225</v>
      </c>
      <c r="AF537" s="32" t="s">
        <v>1225</v>
      </c>
      <c r="AG537" s="32" t="s">
        <v>1225</v>
      </c>
      <c r="AH537" s="32" t="s">
        <v>1225</v>
      </c>
      <c r="AI537" s="32" t="s">
        <v>1225</v>
      </c>
      <c r="AJ537" s="32" t="s">
        <v>1225</v>
      </c>
      <c r="AK537" s="32" t="s">
        <v>1225</v>
      </c>
      <c r="AL537" s="32" t="s">
        <v>1225</v>
      </c>
      <c r="AM537" s="32" t="s">
        <v>1225</v>
      </c>
      <c r="AN537" s="32" t="s">
        <v>1225</v>
      </c>
      <c r="AO537" s="32" t="s">
        <v>1225</v>
      </c>
      <c r="AP537" s="32" t="s">
        <v>1225</v>
      </c>
      <c r="AQ537" s="32" t="s">
        <v>1225</v>
      </c>
      <c r="AR537" s="32" t="s">
        <v>1225</v>
      </c>
      <c r="AS537" s="32" t="s">
        <v>1225</v>
      </c>
      <c r="AT537" s="32" t="s">
        <v>1225</v>
      </c>
      <c r="AU537" s="32" t="s">
        <v>1225</v>
      </c>
      <c r="AV537" s="32" t="s">
        <v>1225</v>
      </c>
      <c r="AW537" s="32" t="s">
        <v>1317</v>
      </c>
      <c r="AX537" s="32">
        <v>2018</v>
      </c>
      <c r="AY537" s="32">
        <v>9</v>
      </c>
      <c r="AZ537" s="32">
        <v>1</v>
      </c>
      <c r="BA537" s="32" t="s">
        <v>1225</v>
      </c>
      <c r="BB537" s="32" t="s">
        <v>1225</v>
      </c>
      <c r="BC537" s="32" t="s">
        <v>1225</v>
      </c>
      <c r="BD537" s="32" t="s">
        <v>1225</v>
      </c>
      <c r="BE537" s="32">
        <v>299</v>
      </c>
      <c r="BF537" s="32">
        <v>312</v>
      </c>
      <c r="BG537" s="32" t="s">
        <v>1225</v>
      </c>
      <c r="BH537" s="32" t="s">
        <v>4934</v>
      </c>
      <c r="BI537" s="32" t="str">
        <f>HYPERLINK("http://dx.doi.org/10.1109/TSG.2016.2550559","http://dx.doi.org/10.1109/TSG.2016.2550559")</f>
        <v>http://dx.doi.org/10.1109/TSG.2016.2550559</v>
      </c>
      <c r="BJ537" s="32" t="s">
        <v>1225</v>
      </c>
      <c r="BK537" s="32" t="s">
        <v>1225</v>
      </c>
      <c r="BL537" s="32" t="s">
        <v>1225</v>
      </c>
      <c r="BM537" s="32" t="s">
        <v>1225</v>
      </c>
      <c r="BN537" s="32" t="s">
        <v>1225</v>
      </c>
      <c r="BO537" s="32" t="s">
        <v>1225</v>
      </c>
      <c r="BP537" s="32" t="s">
        <v>1225</v>
      </c>
      <c r="BQ537" s="32" t="s">
        <v>1225</v>
      </c>
      <c r="BR537" s="32" t="s">
        <v>1225</v>
      </c>
      <c r="BS537" s="32" t="s">
        <v>1225</v>
      </c>
      <c r="BT537" s="32" t="s">
        <v>1225</v>
      </c>
      <c r="BU537" s="32" t="s">
        <v>1225</v>
      </c>
      <c r="BV537" s="32" t="s">
        <v>1225</v>
      </c>
      <c r="BW537" s="32" t="str">
        <f t="shared" si="16"/>
        <v>View Full Record in Web of Science</v>
      </c>
      <c r="BY537" s="41" t="str">
        <f>IF(Deletion!J537=TRUE,"Yes","No")</f>
        <v>Yes</v>
      </c>
    </row>
    <row r="538" spans="1:77" x14ac:dyDescent="0.15">
      <c r="A538" s="33">
        <f t="shared" si="17"/>
        <v>537</v>
      </c>
      <c r="B538" s="41" t="s">
        <v>1222</v>
      </c>
      <c r="C538" s="41" t="s">
        <v>1222</v>
      </c>
      <c r="D538" s="33" t="s">
        <v>1223</v>
      </c>
      <c r="E538" s="33" t="s">
        <v>4935</v>
      </c>
      <c r="F538" s="32" t="s">
        <v>1225</v>
      </c>
      <c r="G538" s="32" t="s">
        <v>1225</v>
      </c>
      <c r="H538" s="32" t="s">
        <v>1225</v>
      </c>
      <c r="I538" s="33" t="s">
        <v>850</v>
      </c>
      <c r="J538" s="32" t="s">
        <v>1225</v>
      </c>
      <c r="K538" s="32" t="s">
        <v>1225</v>
      </c>
      <c r="L538" s="33" t="s">
        <v>848</v>
      </c>
      <c r="M538" s="33" t="s">
        <v>849</v>
      </c>
      <c r="N538" s="32" t="s">
        <v>1225</v>
      </c>
      <c r="O538" s="32" t="s">
        <v>1225</v>
      </c>
      <c r="P538" s="32" t="s">
        <v>1225</v>
      </c>
      <c r="Q538" s="33" t="s">
        <v>1227</v>
      </c>
      <c r="R538" s="32" t="s">
        <v>1225</v>
      </c>
      <c r="S538" s="32" t="s">
        <v>1225</v>
      </c>
      <c r="T538" s="32" t="s">
        <v>1225</v>
      </c>
      <c r="U538" s="32" t="s">
        <v>1225</v>
      </c>
      <c r="V538" s="32" t="s">
        <v>1225</v>
      </c>
      <c r="W538" s="33" t="s">
        <v>852</v>
      </c>
      <c r="X538" s="33" t="s">
        <v>1225</v>
      </c>
      <c r="Y538" s="33" t="s">
        <v>851</v>
      </c>
      <c r="Z538" s="32" t="s">
        <v>1225</v>
      </c>
      <c r="AA538" s="32" t="s">
        <v>1225</v>
      </c>
      <c r="AB538" s="32" t="s">
        <v>1225</v>
      </c>
      <c r="AC538" s="32" t="s">
        <v>1225</v>
      </c>
      <c r="AD538" s="32" t="s">
        <v>1225</v>
      </c>
      <c r="AE538" s="32" t="s">
        <v>1225</v>
      </c>
      <c r="AF538" s="32" t="s">
        <v>1225</v>
      </c>
      <c r="AG538" s="32" t="s">
        <v>1225</v>
      </c>
      <c r="AH538" s="32" t="s">
        <v>1225</v>
      </c>
      <c r="AI538" s="32" t="s">
        <v>1225</v>
      </c>
      <c r="AJ538" s="32" t="s">
        <v>1225</v>
      </c>
      <c r="AK538" s="32" t="s">
        <v>1225</v>
      </c>
      <c r="AL538" s="32" t="s">
        <v>1225</v>
      </c>
      <c r="AM538" s="32" t="s">
        <v>1225</v>
      </c>
      <c r="AN538" s="32" t="s">
        <v>1225</v>
      </c>
      <c r="AO538" s="32" t="s">
        <v>1225</v>
      </c>
      <c r="AP538" s="32" t="s">
        <v>1225</v>
      </c>
      <c r="AQ538" s="32" t="s">
        <v>1225</v>
      </c>
      <c r="AR538" s="32" t="s">
        <v>1225</v>
      </c>
      <c r="AS538" s="32" t="s">
        <v>1225</v>
      </c>
      <c r="AT538" s="32" t="s">
        <v>1225</v>
      </c>
      <c r="AU538" s="32" t="s">
        <v>1225</v>
      </c>
      <c r="AV538" s="32" t="s">
        <v>1225</v>
      </c>
      <c r="AW538" s="33" t="s">
        <v>1298</v>
      </c>
      <c r="AX538" s="33">
        <v>2015</v>
      </c>
      <c r="AY538" s="32">
        <v>30</v>
      </c>
      <c r="AZ538" s="32">
        <v>5</v>
      </c>
      <c r="BA538" s="32" t="s">
        <v>1225</v>
      </c>
      <c r="BB538" s="32" t="s">
        <v>1225</v>
      </c>
      <c r="BC538" s="32" t="s">
        <v>1225</v>
      </c>
      <c r="BD538" s="32" t="s">
        <v>1225</v>
      </c>
      <c r="BE538" s="32">
        <v>2375</v>
      </c>
      <c r="BF538" s="32">
        <v>2385</v>
      </c>
      <c r="BG538" s="32" t="s">
        <v>1225</v>
      </c>
      <c r="BH538" s="33" t="s">
        <v>4936</v>
      </c>
      <c r="BI538" s="33" t="str">
        <f>HYPERLINK("http://dx.doi.org/10.1109/TPWRS.2014.2363159","http://dx.doi.org/10.1109/TPWRS.2014.2363159")</f>
        <v>http://dx.doi.org/10.1109/TPWRS.2014.2363159</v>
      </c>
      <c r="BJ538" s="32" t="s">
        <v>1225</v>
      </c>
      <c r="BK538" s="32" t="s">
        <v>1225</v>
      </c>
      <c r="BL538" s="32" t="s">
        <v>1225</v>
      </c>
      <c r="BM538" s="32" t="s">
        <v>1225</v>
      </c>
      <c r="BN538" s="32" t="s">
        <v>1225</v>
      </c>
      <c r="BO538" s="32" t="s">
        <v>1225</v>
      </c>
      <c r="BP538" s="32" t="s">
        <v>1225</v>
      </c>
      <c r="BQ538" s="32" t="s">
        <v>1225</v>
      </c>
      <c r="BR538" s="32" t="s">
        <v>1225</v>
      </c>
      <c r="BS538" s="32" t="s">
        <v>1225</v>
      </c>
      <c r="BT538" s="32" t="s">
        <v>1225</v>
      </c>
      <c r="BU538" s="32" t="s">
        <v>1225</v>
      </c>
      <c r="BV538" s="32" t="s">
        <v>1225</v>
      </c>
      <c r="BW538" s="32" t="str">
        <f t="shared" si="16"/>
        <v>View Full Record in Web of Science</v>
      </c>
      <c r="BY538" s="41" t="str">
        <f>IF(Deletion!J538=TRUE,"Yes","No")</f>
        <v>Yes</v>
      </c>
    </row>
    <row r="539" spans="1:77" x14ac:dyDescent="0.15">
      <c r="A539" s="32">
        <f t="shared" si="17"/>
        <v>538</v>
      </c>
      <c r="D539" s="32" t="s">
        <v>1223</v>
      </c>
      <c r="E539" s="32" t="s">
        <v>4937</v>
      </c>
      <c r="F539" s="32" t="s">
        <v>1225</v>
      </c>
      <c r="G539" s="32" t="s">
        <v>1225</v>
      </c>
      <c r="H539" s="32" t="s">
        <v>1225</v>
      </c>
      <c r="I539" s="32" t="s">
        <v>4938</v>
      </c>
      <c r="J539" s="32" t="s">
        <v>1225</v>
      </c>
      <c r="K539" s="32" t="s">
        <v>1225</v>
      </c>
      <c r="L539" s="32" t="s">
        <v>4939</v>
      </c>
      <c r="M539" s="32" t="s">
        <v>1743</v>
      </c>
      <c r="N539" s="32" t="s">
        <v>1225</v>
      </c>
      <c r="O539" s="32" t="s">
        <v>1225</v>
      </c>
      <c r="P539" s="32" t="s">
        <v>1225</v>
      </c>
      <c r="Q539" s="32" t="s">
        <v>1227</v>
      </c>
      <c r="R539" s="32" t="s">
        <v>1225</v>
      </c>
      <c r="S539" s="32" t="s">
        <v>1225</v>
      </c>
      <c r="T539" s="32" t="s">
        <v>1225</v>
      </c>
      <c r="U539" s="32" t="s">
        <v>1225</v>
      </c>
      <c r="V539" s="32" t="s">
        <v>1225</v>
      </c>
      <c r="W539" s="32" t="s">
        <v>4940</v>
      </c>
      <c r="X539" s="32" t="s">
        <v>4941</v>
      </c>
      <c r="Y539" s="32" t="s">
        <v>4942</v>
      </c>
      <c r="Z539" s="32" t="s">
        <v>1225</v>
      </c>
      <c r="AA539" s="32" t="s">
        <v>1225</v>
      </c>
      <c r="AB539" s="32" t="s">
        <v>1225</v>
      </c>
      <c r="AC539" s="32" t="s">
        <v>1225</v>
      </c>
      <c r="AD539" s="32" t="s">
        <v>1225</v>
      </c>
      <c r="AE539" s="32" t="s">
        <v>1225</v>
      </c>
      <c r="AF539" s="32" t="s">
        <v>1225</v>
      </c>
      <c r="AG539" s="32" t="s">
        <v>1225</v>
      </c>
      <c r="AH539" s="32" t="s">
        <v>1225</v>
      </c>
      <c r="AI539" s="32" t="s">
        <v>1225</v>
      </c>
      <c r="AJ539" s="32" t="s">
        <v>1225</v>
      </c>
      <c r="AK539" s="32" t="s">
        <v>1225</v>
      </c>
      <c r="AL539" s="32" t="s">
        <v>1225</v>
      </c>
      <c r="AM539" s="32" t="s">
        <v>1225</v>
      </c>
      <c r="AN539" s="32" t="s">
        <v>1225</v>
      </c>
      <c r="AO539" s="32" t="s">
        <v>1225</v>
      </c>
      <c r="AP539" s="32" t="s">
        <v>1225</v>
      </c>
      <c r="AQ539" s="32" t="s">
        <v>1225</v>
      </c>
      <c r="AR539" s="32" t="s">
        <v>1225</v>
      </c>
      <c r="AS539" s="32" t="s">
        <v>1225</v>
      </c>
      <c r="AT539" s="32" t="s">
        <v>1225</v>
      </c>
      <c r="AU539" s="32" t="s">
        <v>1225</v>
      </c>
      <c r="AV539" s="32" t="s">
        <v>1225</v>
      </c>
      <c r="AW539" s="32" t="s">
        <v>1746</v>
      </c>
      <c r="AX539" s="32">
        <v>2020</v>
      </c>
      <c r="AY539" s="32">
        <v>56</v>
      </c>
      <c r="AZ539" s="32">
        <v>5</v>
      </c>
      <c r="BA539" s="32" t="s">
        <v>1747</v>
      </c>
      <c r="BB539" s="32" t="s">
        <v>1225</v>
      </c>
      <c r="BC539" s="32" t="s">
        <v>1225</v>
      </c>
      <c r="BD539" s="32" t="s">
        <v>1225</v>
      </c>
      <c r="BE539" s="32">
        <v>5944</v>
      </c>
      <c r="BF539" s="32">
        <v>5954</v>
      </c>
      <c r="BG539" s="32" t="s">
        <v>1225</v>
      </c>
      <c r="BH539" s="32" t="s">
        <v>4943</v>
      </c>
      <c r="BI539" s="32" t="str">
        <f>HYPERLINK("http://dx.doi.org/10.1109/TIA.2020.2990887","http://dx.doi.org/10.1109/TIA.2020.2990887")</f>
        <v>http://dx.doi.org/10.1109/TIA.2020.2990887</v>
      </c>
      <c r="BJ539" s="32" t="s">
        <v>1225</v>
      </c>
      <c r="BK539" s="32" t="s">
        <v>1225</v>
      </c>
      <c r="BL539" s="32" t="s">
        <v>1225</v>
      </c>
      <c r="BM539" s="32" t="s">
        <v>1225</v>
      </c>
      <c r="BN539" s="32" t="s">
        <v>1225</v>
      </c>
      <c r="BO539" s="32" t="s">
        <v>1225</v>
      </c>
      <c r="BP539" s="32" t="s">
        <v>1225</v>
      </c>
      <c r="BQ539" s="32" t="s">
        <v>1225</v>
      </c>
      <c r="BR539" s="32" t="s">
        <v>1225</v>
      </c>
      <c r="BS539" s="32" t="s">
        <v>1225</v>
      </c>
      <c r="BT539" s="32" t="s">
        <v>1225</v>
      </c>
      <c r="BU539" s="32" t="s">
        <v>1225</v>
      </c>
      <c r="BV539" s="32" t="s">
        <v>1225</v>
      </c>
      <c r="BW539" s="32" t="str">
        <f t="shared" si="16"/>
        <v>View Full Record in Web of Science</v>
      </c>
      <c r="BY539" s="41" t="str">
        <f>IF(Deletion!J539=TRUE,"Yes","No")</f>
        <v>Yes</v>
      </c>
    </row>
    <row r="540" spans="1:77" x14ac:dyDescent="0.15">
      <c r="A540" s="32">
        <f t="shared" si="17"/>
        <v>539</v>
      </c>
      <c r="D540" s="32" t="s">
        <v>1223</v>
      </c>
      <c r="E540" s="32" t="s">
        <v>4944</v>
      </c>
      <c r="F540" s="32" t="s">
        <v>1225</v>
      </c>
      <c r="G540" s="32" t="s">
        <v>1225</v>
      </c>
      <c r="H540" s="32" t="s">
        <v>1225</v>
      </c>
      <c r="I540" s="32" t="s">
        <v>4945</v>
      </c>
      <c r="J540" s="32" t="s">
        <v>1225</v>
      </c>
      <c r="K540" s="32" t="s">
        <v>1225</v>
      </c>
      <c r="L540" s="32" t="s">
        <v>4946</v>
      </c>
      <c r="M540" s="32" t="s">
        <v>313</v>
      </c>
      <c r="N540" s="32" t="s">
        <v>1225</v>
      </c>
      <c r="O540" s="32" t="s">
        <v>1225</v>
      </c>
      <c r="P540" s="32" t="s">
        <v>1225</v>
      </c>
      <c r="Q540" s="32" t="s">
        <v>1227</v>
      </c>
      <c r="R540" s="32" t="s">
        <v>1225</v>
      </c>
      <c r="S540" s="32" t="s">
        <v>1225</v>
      </c>
      <c r="T540" s="32" t="s">
        <v>1225</v>
      </c>
      <c r="U540" s="32" t="s">
        <v>1225</v>
      </c>
      <c r="V540" s="32" t="s">
        <v>1225</v>
      </c>
      <c r="W540" s="32" t="s">
        <v>4947</v>
      </c>
      <c r="X540" s="32" t="s">
        <v>4948</v>
      </c>
      <c r="Y540" s="32" t="s">
        <v>4949</v>
      </c>
      <c r="Z540" s="32" t="s">
        <v>1225</v>
      </c>
      <c r="AA540" s="32" t="s">
        <v>1225</v>
      </c>
      <c r="AB540" s="32" t="s">
        <v>1225</v>
      </c>
      <c r="AC540" s="32" t="s">
        <v>1225</v>
      </c>
      <c r="AD540" s="32" t="s">
        <v>1225</v>
      </c>
      <c r="AE540" s="32" t="s">
        <v>1225</v>
      </c>
      <c r="AF540" s="32" t="s">
        <v>1225</v>
      </c>
      <c r="AG540" s="32" t="s">
        <v>1225</v>
      </c>
      <c r="AH540" s="32" t="s">
        <v>1225</v>
      </c>
      <c r="AI540" s="32" t="s">
        <v>1225</v>
      </c>
      <c r="AJ540" s="32" t="s">
        <v>1225</v>
      </c>
      <c r="AK540" s="32" t="s">
        <v>1225</v>
      </c>
      <c r="AL540" s="32" t="s">
        <v>1225</v>
      </c>
      <c r="AM540" s="32" t="s">
        <v>1225</v>
      </c>
      <c r="AN540" s="32" t="s">
        <v>1225</v>
      </c>
      <c r="AO540" s="32" t="s">
        <v>1225</v>
      </c>
      <c r="AP540" s="32" t="s">
        <v>1225</v>
      </c>
      <c r="AQ540" s="32" t="s">
        <v>1225</v>
      </c>
      <c r="AR540" s="32" t="s">
        <v>1225</v>
      </c>
      <c r="AS540" s="32" t="s">
        <v>1225</v>
      </c>
      <c r="AT540" s="32" t="s">
        <v>1225</v>
      </c>
      <c r="AU540" s="32" t="s">
        <v>1225</v>
      </c>
      <c r="AV540" s="32" t="s">
        <v>1225</v>
      </c>
      <c r="AW540" s="32" t="s">
        <v>1393</v>
      </c>
      <c r="AX540" s="32">
        <v>2019</v>
      </c>
      <c r="AY540" s="32">
        <v>108</v>
      </c>
      <c r="AZ540" s="32" t="s">
        <v>1225</v>
      </c>
      <c r="BA540" s="32" t="s">
        <v>1225</v>
      </c>
      <c r="BB540" s="32" t="s">
        <v>1225</v>
      </c>
      <c r="BC540" s="32" t="s">
        <v>1225</v>
      </c>
      <c r="BD540" s="32" t="s">
        <v>1225</v>
      </c>
      <c r="BE540" s="32">
        <v>162</v>
      </c>
      <c r="BF540" s="32">
        <v>176</v>
      </c>
      <c r="BG540" s="32" t="s">
        <v>1225</v>
      </c>
      <c r="BH540" s="32" t="s">
        <v>4950</v>
      </c>
      <c r="BI540" s="32" t="str">
        <f>HYPERLINK("http://dx.doi.org/10.1016/j.ijepes.2018.12.024","http://dx.doi.org/10.1016/j.ijepes.2018.12.024")</f>
        <v>http://dx.doi.org/10.1016/j.ijepes.2018.12.024</v>
      </c>
      <c r="BJ540" s="32" t="s">
        <v>1225</v>
      </c>
      <c r="BK540" s="32" t="s">
        <v>1225</v>
      </c>
      <c r="BL540" s="32" t="s">
        <v>1225</v>
      </c>
      <c r="BM540" s="32" t="s">
        <v>1225</v>
      </c>
      <c r="BN540" s="32" t="s">
        <v>1225</v>
      </c>
      <c r="BO540" s="32" t="s">
        <v>1225</v>
      </c>
      <c r="BP540" s="32" t="s">
        <v>1225</v>
      </c>
      <c r="BQ540" s="32" t="s">
        <v>1225</v>
      </c>
      <c r="BR540" s="32" t="s">
        <v>1225</v>
      </c>
      <c r="BS540" s="32" t="s">
        <v>1225</v>
      </c>
      <c r="BT540" s="32" t="s">
        <v>1225</v>
      </c>
      <c r="BU540" s="32" t="s">
        <v>1225</v>
      </c>
      <c r="BV540" s="32" t="s">
        <v>1225</v>
      </c>
      <c r="BW540" s="32" t="str">
        <f t="shared" si="16"/>
        <v>View Full Record in Web of Science</v>
      </c>
      <c r="BY540" s="41" t="str">
        <f>IF(Deletion!J540=TRUE,"Yes","No")</f>
        <v>Yes</v>
      </c>
    </row>
    <row r="541" spans="1:77" x14ac:dyDescent="0.15">
      <c r="A541" s="32">
        <f t="shared" si="17"/>
        <v>540</v>
      </c>
      <c r="D541" s="32" t="s">
        <v>1223</v>
      </c>
      <c r="E541" s="32" t="s">
        <v>4951</v>
      </c>
      <c r="F541" s="32" t="s">
        <v>1225</v>
      </c>
      <c r="G541" s="32" t="s">
        <v>1225</v>
      </c>
      <c r="H541" s="32" t="s">
        <v>1225</v>
      </c>
      <c r="I541" s="32" t="s">
        <v>4952</v>
      </c>
      <c r="J541" s="32" t="s">
        <v>1225</v>
      </c>
      <c r="K541" s="32" t="s">
        <v>1225</v>
      </c>
      <c r="L541" s="32" t="s">
        <v>4953</v>
      </c>
      <c r="M541" s="32" t="s">
        <v>572</v>
      </c>
      <c r="N541" s="32" t="s">
        <v>1225</v>
      </c>
      <c r="O541" s="32" t="s">
        <v>1225</v>
      </c>
      <c r="P541" s="32" t="s">
        <v>1225</v>
      </c>
      <c r="Q541" s="32" t="s">
        <v>1227</v>
      </c>
      <c r="R541" s="32" t="s">
        <v>1225</v>
      </c>
      <c r="S541" s="32" t="s">
        <v>1225</v>
      </c>
      <c r="T541" s="32" t="s">
        <v>1225</v>
      </c>
      <c r="U541" s="32" t="s">
        <v>1225</v>
      </c>
      <c r="V541" s="32" t="s">
        <v>1225</v>
      </c>
      <c r="W541" s="32" t="s">
        <v>4954</v>
      </c>
      <c r="X541" s="32" t="s">
        <v>4955</v>
      </c>
      <c r="Y541" s="32" t="s">
        <v>4956</v>
      </c>
      <c r="Z541" s="32" t="s">
        <v>1225</v>
      </c>
      <c r="AA541" s="32" t="s">
        <v>1225</v>
      </c>
      <c r="AB541" s="32" t="s">
        <v>1225</v>
      </c>
      <c r="AC541" s="32" t="s">
        <v>1225</v>
      </c>
      <c r="AD541" s="32" t="s">
        <v>1225</v>
      </c>
      <c r="AE541" s="32" t="s">
        <v>1225</v>
      </c>
      <c r="AF541" s="32" t="s">
        <v>1225</v>
      </c>
      <c r="AG541" s="32" t="s">
        <v>1225</v>
      </c>
      <c r="AH541" s="32" t="s">
        <v>1225</v>
      </c>
      <c r="AI541" s="32" t="s">
        <v>1225</v>
      </c>
      <c r="AJ541" s="32" t="s">
        <v>1225</v>
      </c>
      <c r="AK541" s="32" t="s">
        <v>1225</v>
      </c>
      <c r="AL541" s="32" t="s">
        <v>1225</v>
      </c>
      <c r="AM541" s="32" t="s">
        <v>1225</v>
      </c>
      <c r="AN541" s="32" t="s">
        <v>1225</v>
      </c>
      <c r="AO541" s="32" t="s">
        <v>1225</v>
      </c>
      <c r="AP541" s="32" t="s">
        <v>1225</v>
      </c>
      <c r="AQ541" s="32" t="s">
        <v>1225</v>
      </c>
      <c r="AR541" s="32" t="s">
        <v>1225</v>
      </c>
      <c r="AS541" s="32" t="s">
        <v>1225</v>
      </c>
      <c r="AT541" s="32" t="s">
        <v>1225</v>
      </c>
      <c r="AU541" s="32" t="s">
        <v>1225</v>
      </c>
      <c r="AV541" s="32" t="s">
        <v>1225</v>
      </c>
      <c r="AW541" s="32" t="s">
        <v>1465</v>
      </c>
      <c r="AX541" s="32">
        <v>2017</v>
      </c>
      <c r="AY541" s="32">
        <v>64</v>
      </c>
      <c r="AZ541" s="32">
        <v>2</v>
      </c>
      <c r="BA541" s="32" t="s">
        <v>1225</v>
      </c>
      <c r="BB541" s="32" t="s">
        <v>1225</v>
      </c>
      <c r="BC541" s="32" t="s">
        <v>1225</v>
      </c>
      <c r="BD541" s="32" t="s">
        <v>1225</v>
      </c>
      <c r="BE541" s="32">
        <v>1358</v>
      </c>
      <c r="BF541" s="32">
        <v>1369</v>
      </c>
      <c r="BG541" s="32" t="s">
        <v>1225</v>
      </c>
      <c r="BH541" s="32" t="s">
        <v>4957</v>
      </c>
      <c r="BI541" s="32" t="str">
        <f>HYPERLINK("http://dx.doi.org/10.1109/TIE.2016.2615042","http://dx.doi.org/10.1109/TIE.2016.2615042")</f>
        <v>http://dx.doi.org/10.1109/TIE.2016.2615042</v>
      </c>
      <c r="BJ541" s="32" t="s">
        <v>1225</v>
      </c>
      <c r="BK541" s="32" t="s">
        <v>1225</v>
      </c>
      <c r="BL541" s="32" t="s">
        <v>1225</v>
      </c>
      <c r="BM541" s="32" t="s">
        <v>1225</v>
      </c>
      <c r="BN541" s="32" t="s">
        <v>1225</v>
      </c>
      <c r="BO541" s="32" t="s">
        <v>1225</v>
      </c>
      <c r="BP541" s="32" t="s">
        <v>1225</v>
      </c>
      <c r="BQ541" s="32" t="s">
        <v>1225</v>
      </c>
      <c r="BR541" s="32" t="s">
        <v>1225</v>
      </c>
      <c r="BS541" s="32" t="s">
        <v>1225</v>
      </c>
      <c r="BT541" s="32" t="s">
        <v>1225</v>
      </c>
      <c r="BU541" s="32" t="s">
        <v>1225</v>
      </c>
      <c r="BV541" s="32" t="s">
        <v>1225</v>
      </c>
      <c r="BW541" s="32" t="str">
        <f t="shared" si="16"/>
        <v>View Full Record in Web of Science</v>
      </c>
      <c r="BY541" s="41" t="str">
        <f>IF(Deletion!J541=TRUE,"Yes","No")</f>
        <v>Yes</v>
      </c>
    </row>
    <row r="542" spans="1:77" x14ac:dyDescent="0.15">
      <c r="A542" s="32">
        <f t="shared" si="17"/>
        <v>541</v>
      </c>
      <c r="D542" s="32" t="s">
        <v>1223</v>
      </c>
      <c r="E542" s="32" t="s">
        <v>4958</v>
      </c>
      <c r="F542" s="32" t="s">
        <v>1225</v>
      </c>
      <c r="G542" s="32" t="s">
        <v>1225</v>
      </c>
      <c r="H542" s="32" t="s">
        <v>1225</v>
      </c>
      <c r="I542" s="32" t="s">
        <v>4959</v>
      </c>
      <c r="J542" s="32" t="s">
        <v>1225</v>
      </c>
      <c r="K542" s="32" t="s">
        <v>1225</v>
      </c>
      <c r="L542" s="32" t="s">
        <v>4960</v>
      </c>
      <c r="M542" s="32" t="s">
        <v>124</v>
      </c>
      <c r="N542" s="32" t="s">
        <v>1225</v>
      </c>
      <c r="O542" s="32" t="s">
        <v>1225</v>
      </c>
      <c r="P542" s="32" t="s">
        <v>1225</v>
      </c>
      <c r="Q542" s="32" t="s">
        <v>1227</v>
      </c>
      <c r="R542" s="32" t="s">
        <v>1225</v>
      </c>
      <c r="S542" s="32" t="s">
        <v>1225</v>
      </c>
      <c r="T542" s="32" t="s">
        <v>1225</v>
      </c>
      <c r="U542" s="32" t="s">
        <v>1225</v>
      </c>
      <c r="V542" s="32" t="s">
        <v>1225</v>
      </c>
      <c r="W542" s="32" t="s">
        <v>4961</v>
      </c>
      <c r="X542" s="32" t="s">
        <v>4962</v>
      </c>
      <c r="Y542" s="32" t="s">
        <v>4963</v>
      </c>
      <c r="Z542" s="32" t="s">
        <v>1225</v>
      </c>
      <c r="AA542" s="32" t="s">
        <v>1225</v>
      </c>
      <c r="AB542" s="32" t="s">
        <v>1225</v>
      </c>
      <c r="AC542" s="32" t="s">
        <v>1225</v>
      </c>
      <c r="AD542" s="32" t="s">
        <v>1225</v>
      </c>
      <c r="AE542" s="32" t="s">
        <v>1225</v>
      </c>
      <c r="AF542" s="32" t="s">
        <v>1225</v>
      </c>
      <c r="AG542" s="32" t="s">
        <v>1225</v>
      </c>
      <c r="AH542" s="32" t="s">
        <v>1225</v>
      </c>
      <c r="AI542" s="32" t="s">
        <v>1225</v>
      </c>
      <c r="AJ542" s="32" t="s">
        <v>1225</v>
      </c>
      <c r="AK542" s="32" t="s">
        <v>1225</v>
      </c>
      <c r="AL542" s="32" t="s">
        <v>1225</v>
      </c>
      <c r="AM542" s="32" t="s">
        <v>1225</v>
      </c>
      <c r="AN542" s="32" t="s">
        <v>1225</v>
      </c>
      <c r="AO542" s="32" t="s">
        <v>1225</v>
      </c>
      <c r="AP542" s="32" t="s">
        <v>1225</v>
      </c>
      <c r="AQ542" s="32" t="s">
        <v>1225</v>
      </c>
      <c r="AR542" s="32" t="s">
        <v>1225</v>
      </c>
      <c r="AS542" s="32" t="s">
        <v>1225</v>
      </c>
      <c r="AT542" s="32" t="s">
        <v>1225</v>
      </c>
      <c r="AU542" s="32" t="s">
        <v>1225</v>
      </c>
      <c r="AV542" s="32" t="s">
        <v>1225</v>
      </c>
      <c r="AW542" s="32" t="s">
        <v>1298</v>
      </c>
      <c r="AX542" s="32">
        <v>2013</v>
      </c>
      <c r="AY542" s="32">
        <v>4</v>
      </c>
      <c r="AZ542" s="32">
        <v>3</v>
      </c>
      <c r="BA542" s="32" t="s">
        <v>1225</v>
      </c>
      <c r="BB542" s="32" t="s">
        <v>1225</v>
      </c>
      <c r="BC542" s="32" t="s">
        <v>1225</v>
      </c>
      <c r="BD542" s="32" t="s">
        <v>1225</v>
      </c>
      <c r="BE542" s="32">
        <v>1442</v>
      </c>
      <c r="BF542" s="32">
        <v>1452</v>
      </c>
      <c r="BG542" s="32" t="s">
        <v>1225</v>
      </c>
      <c r="BH542" s="32" t="s">
        <v>4964</v>
      </c>
      <c r="BI542" s="32" t="str">
        <f>HYPERLINK("http://dx.doi.org/10.1109/TSG.2013.2246198","http://dx.doi.org/10.1109/TSG.2013.2246198")</f>
        <v>http://dx.doi.org/10.1109/TSG.2013.2246198</v>
      </c>
      <c r="BJ542" s="32" t="s">
        <v>1225</v>
      </c>
      <c r="BK542" s="32" t="s">
        <v>1225</v>
      </c>
      <c r="BL542" s="32" t="s">
        <v>1225</v>
      </c>
      <c r="BM542" s="32" t="s">
        <v>1225</v>
      </c>
      <c r="BN542" s="32" t="s">
        <v>1225</v>
      </c>
      <c r="BO542" s="32" t="s">
        <v>1225</v>
      </c>
      <c r="BP542" s="32" t="s">
        <v>1225</v>
      </c>
      <c r="BQ542" s="32" t="s">
        <v>1225</v>
      </c>
      <c r="BR542" s="32" t="s">
        <v>1225</v>
      </c>
      <c r="BS542" s="32" t="s">
        <v>1225</v>
      </c>
      <c r="BT542" s="32" t="s">
        <v>1225</v>
      </c>
      <c r="BU542" s="32" t="s">
        <v>1225</v>
      </c>
      <c r="BV542" s="32" t="s">
        <v>1225</v>
      </c>
      <c r="BW542" s="32" t="str">
        <f t="shared" si="16"/>
        <v>View Full Record in Web of Science</v>
      </c>
      <c r="BY542" s="41" t="str">
        <f>IF(Deletion!J542=TRUE,"Yes","No")</f>
        <v>Yes</v>
      </c>
    </row>
    <row r="543" spans="1:77" x14ac:dyDescent="0.15">
      <c r="A543" s="32">
        <f t="shared" si="17"/>
        <v>542</v>
      </c>
      <c r="D543" s="32" t="s">
        <v>1223</v>
      </c>
      <c r="E543" s="32" t="s">
        <v>4965</v>
      </c>
      <c r="F543" s="32" t="s">
        <v>1225</v>
      </c>
      <c r="G543" s="32" t="s">
        <v>1225</v>
      </c>
      <c r="H543" s="32" t="s">
        <v>1225</v>
      </c>
      <c r="I543" s="32" t="s">
        <v>4966</v>
      </c>
      <c r="J543" s="32" t="s">
        <v>1225</v>
      </c>
      <c r="K543" s="32" t="s">
        <v>1225</v>
      </c>
      <c r="L543" s="32" t="s">
        <v>4967</v>
      </c>
      <c r="M543" s="32" t="s">
        <v>882</v>
      </c>
      <c r="N543" s="32" t="s">
        <v>1225</v>
      </c>
      <c r="O543" s="32" t="s">
        <v>1225</v>
      </c>
      <c r="P543" s="32" t="s">
        <v>1225</v>
      </c>
      <c r="Q543" s="32" t="s">
        <v>1227</v>
      </c>
      <c r="R543" s="32" t="s">
        <v>1225</v>
      </c>
      <c r="S543" s="32" t="s">
        <v>1225</v>
      </c>
      <c r="T543" s="32" t="s">
        <v>1225</v>
      </c>
      <c r="U543" s="32" t="s">
        <v>1225</v>
      </c>
      <c r="V543" s="32" t="s">
        <v>1225</v>
      </c>
      <c r="W543" s="32" t="s">
        <v>4968</v>
      </c>
      <c r="X543" s="32" t="s">
        <v>4969</v>
      </c>
      <c r="Y543" s="32" t="s">
        <v>4970</v>
      </c>
      <c r="Z543" s="32" t="s">
        <v>1225</v>
      </c>
      <c r="AA543" s="32" t="s">
        <v>1225</v>
      </c>
      <c r="AB543" s="32" t="s">
        <v>1225</v>
      </c>
      <c r="AC543" s="32" t="s">
        <v>1225</v>
      </c>
      <c r="AD543" s="32" t="s">
        <v>1225</v>
      </c>
      <c r="AE543" s="32" t="s">
        <v>1225</v>
      </c>
      <c r="AF543" s="32" t="s">
        <v>1225</v>
      </c>
      <c r="AG543" s="32" t="s">
        <v>1225</v>
      </c>
      <c r="AH543" s="32" t="s">
        <v>1225</v>
      </c>
      <c r="AI543" s="32" t="s">
        <v>1225</v>
      </c>
      <c r="AJ543" s="32" t="s">
        <v>1225</v>
      </c>
      <c r="AK543" s="32" t="s">
        <v>1225</v>
      </c>
      <c r="AL543" s="32" t="s">
        <v>1225</v>
      </c>
      <c r="AM543" s="32" t="s">
        <v>1225</v>
      </c>
      <c r="AN543" s="32" t="s">
        <v>1225</v>
      </c>
      <c r="AO543" s="32" t="s">
        <v>1225</v>
      </c>
      <c r="AP543" s="32" t="s">
        <v>1225</v>
      </c>
      <c r="AQ543" s="32" t="s">
        <v>1225</v>
      </c>
      <c r="AR543" s="32" t="s">
        <v>1225</v>
      </c>
      <c r="AS543" s="32" t="s">
        <v>1225</v>
      </c>
      <c r="AT543" s="32" t="s">
        <v>1225</v>
      </c>
      <c r="AU543" s="32" t="s">
        <v>1225</v>
      </c>
      <c r="AV543" s="32" t="s">
        <v>1225</v>
      </c>
      <c r="AW543" s="32" t="s">
        <v>4971</v>
      </c>
      <c r="AX543" s="32">
        <v>2018</v>
      </c>
      <c r="AY543" s="32">
        <v>12</v>
      </c>
      <c r="AZ543" s="32">
        <v>15</v>
      </c>
      <c r="BA543" s="32" t="s">
        <v>1225</v>
      </c>
      <c r="BB543" s="32" t="s">
        <v>1225</v>
      </c>
      <c r="BC543" s="32" t="s">
        <v>1225</v>
      </c>
      <c r="BD543" s="32" t="s">
        <v>1225</v>
      </c>
      <c r="BE543" s="32">
        <v>3655</v>
      </c>
      <c r="BF543" s="32">
        <v>3665</v>
      </c>
      <c r="BG543" s="32" t="s">
        <v>1225</v>
      </c>
      <c r="BH543" s="32" t="s">
        <v>4972</v>
      </c>
      <c r="BI543" s="32" t="str">
        <f>HYPERLINK("http://dx.doi.org/10.1049/iet-gtd.2017.0780","http://dx.doi.org/10.1049/iet-gtd.2017.0780")</f>
        <v>http://dx.doi.org/10.1049/iet-gtd.2017.0780</v>
      </c>
      <c r="BJ543" s="32" t="s">
        <v>1225</v>
      </c>
      <c r="BK543" s="32" t="s">
        <v>1225</v>
      </c>
      <c r="BL543" s="32" t="s">
        <v>1225</v>
      </c>
      <c r="BM543" s="32" t="s">
        <v>1225</v>
      </c>
      <c r="BN543" s="32" t="s">
        <v>1225</v>
      </c>
      <c r="BO543" s="32" t="s">
        <v>1225</v>
      </c>
      <c r="BP543" s="32" t="s">
        <v>1225</v>
      </c>
      <c r="BQ543" s="32" t="s">
        <v>1225</v>
      </c>
      <c r="BR543" s="32" t="s">
        <v>1225</v>
      </c>
      <c r="BS543" s="32" t="s">
        <v>1225</v>
      </c>
      <c r="BT543" s="32" t="s">
        <v>1225</v>
      </c>
      <c r="BU543" s="32" t="s">
        <v>1225</v>
      </c>
      <c r="BV543" s="32" t="s">
        <v>1225</v>
      </c>
      <c r="BW543" s="32" t="str">
        <f t="shared" si="16"/>
        <v>View Full Record in Web of Science</v>
      </c>
      <c r="BY543" s="41" t="str">
        <f>IF(Deletion!J543=TRUE,"Yes","No")</f>
        <v>Yes</v>
      </c>
    </row>
    <row r="544" spans="1:77" x14ac:dyDescent="0.15">
      <c r="A544" s="34">
        <f t="shared" si="17"/>
        <v>543</v>
      </c>
      <c r="B544" s="35" t="s">
        <v>4973</v>
      </c>
      <c r="C544" s="35" t="s">
        <v>1232</v>
      </c>
      <c r="D544" s="34" t="s">
        <v>1223</v>
      </c>
      <c r="E544" s="34" t="s">
        <v>4974</v>
      </c>
      <c r="F544" s="32" t="s">
        <v>1225</v>
      </c>
      <c r="G544" s="32" t="s">
        <v>1225</v>
      </c>
      <c r="H544" s="32" t="s">
        <v>1225</v>
      </c>
      <c r="I544" s="34" t="s">
        <v>4975</v>
      </c>
      <c r="J544" s="32" t="s">
        <v>1225</v>
      </c>
      <c r="K544" s="32" t="s">
        <v>1225</v>
      </c>
      <c r="L544" s="34" t="s">
        <v>4976</v>
      </c>
      <c r="M544" s="34" t="s">
        <v>124</v>
      </c>
      <c r="N544" s="32" t="s">
        <v>1225</v>
      </c>
      <c r="O544" s="32" t="s">
        <v>1225</v>
      </c>
      <c r="P544" s="32" t="s">
        <v>1225</v>
      </c>
      <c r="Q544" s="34" t="s">
        <v>1227</v>
      </c>
      <c r="R544" s="32" t="s">
        <v>1225</v>
      </c>
      <c r="S544" s="32" t="s">
        <v>1225</v>
      </c>
      <c r="T544" s="32" t="s">
        <v>1225</v>
      </c>
      <c r="U544" s="32" t="s">
        <v>1225</v>
      </c>
      <c r="V544" s="32" t="s">
        <v>1225</v>
      </c>
      <c r="W544" s="34" t="s">
        <v>4977</v>
      </c>
      <c r="X544" s="34" t="s">
        <v>4978</v>
      </c>
      <c r="Y544" s="34" t="s">
        <v>4979</v>
      </c>
      <c r="Z544" s="32" t="s">
        <v>1225</v>
      </c>
      <c r="AA544" s="32" t="s">
        <v>1225</v>
      </c>
      <c r="AB544" s="32" t="s">
        <v>1225</v>
      </c>
      <c r="AC544" s="32" t="s">
        <v>1225</v>
      </c>
      <c r="AD544" s="32" t="s">
        <v>1225</v>
      </c>
      <c r="AE544" s="32" t="s">
        <v>1225</v>
      </c>
      <c r="AF544" s="32" t="s">
        <v>1225</v>
      </c>
      <c r="AG544" s="32" t="s">
        <v>1225</v>
      </c>
      <c r="AH544" s="32" t="s">
        <v>1225</v>
      </c>
      <c r="AI544" s="32" t="s">
        <v>1225</v>
      </c>
      <c r="AJ544" s="32" t="s">
        <v>1225</v>
      </c>
      <c r="AK544" s="32" t="s">
        <v>1225</v>
      </c>
      <c r="AL544" s="32" t="s">
        <v>1225</v>
      </c>
      <c r="AM544" s="32" t="s">
        <v>1225</v>
      </c>
      <c r="AN544" s="32" t="s">
        <v>1225</v>
      </c>
      <c r="AO544" s="32" t="s">
        <v>1225</v>
      </c>
      <c r="AP544" s="32" t="s">
        <v>1225</v>
      </c>
      <c r="AQ544" s="32" t="s">
        <v>1225</v>
      </c>
      <c r="AR544" s="32" t="s">
        <v>1225</v>
      </c>
      <c r="AS544" s="32" t="s">
        <v>1225</v>
      </c>
      <c r="AT544" s="32" t="s">
        <v>1225</v>
      </c>
      <c r="AU544" s="32" t="s">
        <v>1225</v>
      </c>
      <c r="AV544" s="32" t="s">
        <v>1225</v>
      </c>
      <c r="AW544" s="34" t="s">
        <v>1239</v>
      </c>
      <c r="AX544" s="34">
        <v>2020</v>
      </c>
      <c r="AY544" s="32">
        <v>11</v>
      </c>
      <c r="AZ544" s="32">
        <v>4</v>
      </c>
      <c r="BA544" s="32" t="s">
        <v>1225</v>
      </c>
      <c r="BB544" s="32" t="s">
        <v>1225</v>
      </c>
      <c r="BC544" s="32" t="s">
        <v>1225</v>
      </c>
      <c r="BD544" s="32" t="s">
        <v>1225</v>
      </c>
      <c r="BE544" s="32">
        <v>3019</v>
      </c>
      <c r="BF544" s="32">
        <v>3030</v>
      </c>
      <c r="BG544" s="32" t="s">
        <v>1225</v>
      </c>
      <c r="BH544" s="34" t="s">
        <v>4980</v>
      </c>
      <c r="BI544" s="34" t="str">
        <f>HYPERLINK("http://dx.doi.org/10.1109/TSG.2020.2969650","http://dx.doi.org/10.1109/TSG.2020.2969650")</f>
        <v>http://dx.doi.org/10.1109/TSG.2020.2969650</v>
      </c>
      <c r="BJ544" s="32" t="s">
        <v>1225</v>
      </c>
      <c r="BK544" s="32" t="s">
        <v>1225</v>
      </c>
      <c r="BL544" s="32" t="s">
        <v>1225</v>
      </c>
      <c r="BM544" s="32" t="s">
        <v>1225</v>
      </c>
      <c r="BN544" s="32" t="s">
        <v>1225</v>
      </c>
      <c r="BO544" s="32" t="s">
        <v>1225</v>
      </c>
      <c r="BP544" s="32" t="s">
        <v>1225</v>
      </c>
      <c r="BQ544" s="32" t="s">
        <v>1225</v>
      </c>
      <c r="BR544" s="32" t="s">
        <v>1225</v>
      </c>
      <c r="BS544" s="32" t="s">
        <v>1225</v>
      </c>
      <c r="BT544" s="32" t="s">
        <v>1225</v>
      </c>
      <c r="BU544" s="32" t="s">
        <v>1225</v>
      </c>
      <c r="BV544" s="32" t="s">
        <v>1225</v>
      </c>
      <c r="BW544" s="32" t="str">
        <f t="shared" si="16"/>
        <v>View Full Record in Web of Science</v>
      </c>
      <c r="BY544" s="41" t="str">
        <f>IF(Deletion!J544=TRUE,"Yes","No")</f>
        <v>Yes</v>
      </c>
    </row>
    <row r="545" spans="1:77" x14ac:dyDescent="0.15">
      <c r="A545" s="32">
        <f t="shared" si="17"/>
        <v>544</v>
      </c>
      <c r="D545" s="32" t="s">
        <v>1223</v>
      </c>
      <c r="E545" s="32" t="s">
        <v>4981</v>
      </c>
      <c r="F545" s="32" t="s">
        <v>1225</v>
      </c>
      <c r="G545" s="32" t="s">
        <v>1225</v>
      </c>
      <c r="H545" s="32" t="s">
        <v>1225</v>
      </c>
      <c r="I545" s="32" t="s">
        <v>4982</v>
      </c>
      <c r="J545" s="32" t="s">
        <v>1225</v>
      </c>
      <c r="K545" s="32" t="s">
        <v>1225</v>
      </c>
      <c r="L545" s="32" t="s">
        <v>4983</v>
      </c>
      <c r="M545" s="32" t="s">
        <v>2051</v>
      </c>
      <c r="N545" s="32" t="s">
        <v>1225</v>
      </c>
      <c r="O545" s="32" t="s">
        <v>1225</v>
      </c>
      <c r="P545" s="32" t="s">
        <v>1225</v>
      </c>
      <c r="Q545" s="32" t="s">
        <v>1227</v>
      </c>
      <c r="R545" s="32" t="s">
        <v>1225</v>
      </c>
      <c r="S545" s="32" t="s">
        <v>1225</v>
      </c>
      <c r="T545" s="32" t="s">
        <v>1225</v>
      </c>
      <c r="U545" s="32" t="s">
        <v>1225</v>
      </c>
      <c r="V545" s="32" t="s">
        <v>1225</v>
      </c>
      <c r="W545" s="32" t="s">
        <v>4984</v>
      </c>
      <c r="X545" s="32" t="s">
        <v>3001</v>
      </c>
      <c r="Y545" s="32" t="s">
        <v>4985</v>
      </c>
      <c r="Z545" s="32" t="s">
        <v>1225</v>
      </c>
      <c r="AA545" s="32" t="s">
        <v>1225</v>
      </c>
      <c r="AB545" s="32" t="s">
        <v>1225</v>
      </c>
      <c r="AC545" s="32" t="s">
        <v>1225</v>
      </c>
      <c r="AD545" s="32" t="s">
        <v>1225</v>
      </c>
      <c r="AE545" s="32" t="s">
        <v>1225</v>
      </c>
      <c r="AF545" s="32" t="s">
        <v>1225</v>
      </c>
      <c r="AG545" s="32" t="s">
        <v>1225</v>
      </c>
      <c r="AH545" s="32" t="s">
        <v>1225</v>
      </c>
      <c r="AI545" s="32" t="s">
        <v>1225</v>
      </c>
      <c r="AJ545" s="32" t="s">
        <v>1225</v>
      </c>
      <c r="AK545" s="32" t="s">
        <v>1225</v>
      </c>
      <c r="AL545" s="32" t="s">
        <v>1225</v>
      </c>
      <c r="AM545" s="32" t="s">
        <v>1225</v>
      </c>
      <c r="AN545" s="32" t="s">
        <v>1225</v>
      </c>
      <c r="AO545" s="32" t="s">
        <v>1225</v>
      </c>
      <c r="AP545" s="32" t="s">
        <v>1225</v>
      </c>
      <c r="AQ545" s="32" t="s">
        <v>1225</v>
      </c>
      <c r="AR545" s="32" t="s">
        <v>1225</v>
      </c>
      <c r="AS545" s="32" t="s">
        <v>1225</v>
      </c>
      <c r="AT545" s="32" t="s">
        <v>1225</v>
      </c>
      <c r="AU545" s="32" t="s">
        <v>1225</v>
      </c>
      <c r="AV545" s="32" t="s">
        <v>1225</v>
      </c>
      <c r="AW545" s="32" t="s">
        <v>1465</v>
      </c>
      <c r="AX545" s="32">
        <v>2021</v>
      </c>
      <c r="AY545" s="32">
        <v>17</v>
      </c>
      <c r="AZ545" s="32">
        <v>2</v>
      </c>
      <c r="BA545" s="32" t="s">
        <v>1225</v>
      </c>
      <c r="BB545" s="32" t="s">
        <v>1225</v>
      </c>
      <c r="BC545" s="32" t="s">
        <v>1225</v>
      </c>
      <c r="BD545" s="32" t="s">
        <v>1225</v>
      </c>
      <c r="BE545" s="32">
        <v>849</v>
      </c>
      <c r="BF545" s="32">
        <v>859</v>
      </c>
      <c r="BG545" s="32" t="s">
        <v>1225</v>
      </c>
      <c r="BH545" s="32" t="s">
        <v>4986</v>
      </c>
      <c r="BI545" s="32" t="str">
        <f>HYPERLINK("http://dx.doi.org/10.1109/TII.2019.2950809","http://dx.doi.org/10.1109/TII.2019.2950809")</f>
        <v>http://dx.doi.org/10.1109/TII.2019.2950809</v>
      </c>
      <c r="BJ545" s="32" t="s">
        <v>1225</v>
      </c>
      <c r="BK545" s="32" t="s">
        <v>1225</v>
      </c>
      <c r="BL545" s="32" t="s">
        <v>1225</v>
      </c>
      <c r="BM545" s="32" t="s">
        <v>1225</v>
      </c>
      <c r="BN545" s="32" t="s">
        <v>1225</v>
      </c>
      <c r="BO545" s="32" t="s">
        <v>1225</v>
      </c>
      <c r="BP545" s="32" t="s">
        <v>1225</v>
      </c>
      <c r="BQ545" s="32" t="s">
        <v>1225</v>
      </c>
      <c r="BR545" s="32" t="s">
        <v>1225</v>
      </c>
      <c r="BS545" s="32" t="s">
        <v>1225</v>
      </c>
      <c r="BT545" s="32" t="s">
        <v>1225</v>
      </c>
      <c r="BU545" s="32" t="s">
        <v>1225</v>
      </c>
      <c r="BV545" s="32" t="s">
        <v>1225</v>
      </c>
      <c r="BW545" s="32" t="str">
        <f t="shared" si="16"/>
        <v>View Full Record in Web of Science</v>
      </c>
      <c r="BY545" s="41" t="str">
        <f>IF(Deletion!J545=TRUE,"Yes","No")</f>
        <v>Yes</v>
      </c>
    </row>
    <row r="546" spans="1:77" x14ac:dyDescent="0.15">
      <c r="A546" s="32">
        <f t="shared" si="17"/>
        <v>545</v>
      </c>
      <c r="D546" s="32" t="s">
        <v>1223</v>
      </c>
      <c r="E546" s="32" t="s">
        <v>4987</v>
      </c>
      <c r="F546" s="32" t="s">
        <v>1225</v>
      </c>
      <c r="G546" s="32" t="s">
        <v>1225</v>
      </c>
      <c r="H546" s="32" t="s">
        <v>1225</v>
      </c>
      <c r="I546" s="32" t="s">
        <v>4988</v>
      </c>
      <c r="J546" s="32" t="s">
        <v>1225</v>
      </c>
      <c r="K546" s="32" t="s">
        <v>1225</v>
      </c>
      <c r="L546" s="32" t="s">
        <v>4989</v>
      </c>
      <c r="M546" s="32" t="s">
        <v>1634</v>
      </c>
      <c r="N546" s="32" t="s">
        <v>1225</v>
      </c>
      <c r="O546" s="32" t="s">
        <v>1225</v>
      </c>
      <c r="P546" s="32" t="s">
        <v>1225</v>
      </c>
      <c r="Q546" s="32" t="s">
        <v>1227</v>
      </c>
      <c r="R546" s="32" t="s">
        <v>1225</v>
      </c>
      <c r="S546" s="32" t="s">
        <v>1225</v>
      </c>
      <c r="T546" s="32" t="s">
        <v>1225</v>
      </c>
      <c r="U546" s="32" t="s">
        <v>1225</v>
      </c>
      <c r="V546" s="32" t="s">
        <v>1225</v>
      </c>
      <c r="W546" s="32" t="s">
        <v>4990</v>
      </c>
      <c r="X546" s="32" t="s">
        <v>4991</v>
      </c>
      <c r="Y546" s="32" t="s">
        <v>4992</v>
      </c>
      <c r="Z546" s="32" t="s">
        <v>1225</v>
      </c>
      <c r="AA546" s="32" t="s">
        <v>1225</v>
      </c>
      <c r="AB546" s="32" t="s">
        <v>1225</v>
      </c>
      <c r="AC546" s="32" t="s">
        <v>1225</v>
      </c>
      <c r="AD546" s="32" t="s">
        <v>1225</v>
      </c>
      <c r="AE546" s="32" t="s">
        <v>1225</v>
      </c>
      <c r="AF546" s="32" t="s">
        <v>1225</v>
      </c>
      <c r="AG546" s="32" t="s">
        <v>1225</v>
      </c>
      <c r="AH546" s="32" t="s">
        <v>1225</v>
      </c>
      <c r="AI546" s="32" t="s">
        <v>1225</v>
      </c>
      <c r="AJ546" s="32" t="s">
        <v>1225</v>
      </c>
      <c r="AK546" s="32" t="s">
        <v>1225</v>
      </c>
      <c r="AL546" s="32" t="s">
        <v>1225</v>
      </c>
      <c r="AM546" s="32" t="s">
        <v>1225</v>
      </c>
      <c r="AN546" s="32" t="s">
        <v>1225</v>
      </c>
      <c r="AO546" s="32" t="s">
        <v>1225</v>
      </c>
      <c r="AP546" s="32" t="s">
        <v>1225</v>
      </c>
      <c r="AQ546" s="32" t="s">
        <v>1225</v>
      </c>
      <c r="AR546" s="32" t="s">
        <v>1225</v>
      </c>
      <c r="AS546" s="32" t="s">
        <v>1225</v>
      </c>
      <c r="AT546" s="32" t="s">
        <v>1225</v>
      </c>
      <c r="AU546" s="32" t="s">
        <v>1225</v>
      </c>
      <c r="AV546" s="32" t="s">
        <v>1225</v>
      </c>
      <c r="AW546" s="32" t="s">
        <v>1285</v>
      </c>
      <c r="AX546" s="32">
        <v>2022</v>
      </c>
      <c r="AY546" s="32">
        <v>12</v>
      </c>
      <c r="AZ546" s="32">
        <v>9</v>
      </c>
      <c r="BA546" s="32" t="s">
        <v>1225</v>
      </c>
      <c r="BB546" s="32" t="s">
        <v>1225</v>
      </c>
      <c r="BC546" s="32" t="s">
        <v>1225</v>
      </c>
      <c r="BD546" s="32" t="s">
        <v>1225</v>
      </c>
      <c r="BE546" s="32" t="s">
        <v>1225</v>
      </c>
      <c r="BF546" s="32" t="s">
        <v>1225</v>
      </c>
      <c r="BG546" s="32">
        <v>4786</v>
      </c>
      <c r="BH546" s="32" t="s">
        <v>4993</v>
      </c>
      <c r="BI546" s="32" t="str">
        <f>HYPERLINK("http://dx.doi.org/10.3390/app12094786","http://dx.doi.org/10.3390/app12094786")</f>
        <v>http://dx.doi.org/10.3390/app12094786</v>
      </c>
      <c r="BJ546" s="32" t="s">
        <v>1225</v>
      </c>
      <c r="BK546" s="32" t="s">
        <v>1225</v>
      </c>
      <c r="BL546" s="32" t="s">
        <v>1225</v>
      </c>
      <c r="BM546" s="32" t="s">
        <v>1225</v>
      </c>
      <c r="BN546" s="32" t="s">
        <v>1225</v>
      </c>
      <c r="BO546" s="32" t="s">
        <v>1225</v>
      </c>
      <c r="BP546" s="32" t="s">
        <v>1225</v>
      </c>
      <c r="BQ546" s="32" t="s">
        <v>1225</v>
      </c>
      <c r="BR546" s="32" t="s">
        <v>1225</v>
      </c>
      <c r="BS546" s="32" t="s">
        <v>1225</v>
      </c>
      <c r="BT546" s="32" t="s">
        <v>1225</v>
      </c>
      <c r="BU546" s="32" t="s">
        <v>1225</v>
      </c>
      <c r="BV546" s="32" t="s">
        <v>1225</v>
      </c>
      <c r="BW546" s="32" t="str">
        <f t="shared" si="16"/>
        <v>View Full Record in Web of Science</v>
      </c>
      <c r="BY546" s="41" t="str">
        <f>IF(Deletion!J546=TRUE,"Yes","No")</f>
        <v>Yes</v>
      </c>
    </row>
    <row r="547" spans="1:77" x14ac:dyDescent="0.15">
      <c r="A547" s="34">
        <f t="shared" si="17"/>
        <v>546</v>
      </c>
      <c r="B547" s="34" t="s">
        <v>4</v>
      </c>
      <c r="C547" s="34" t="s">
        <v>4</v>
      </c>
      <c r="D547" s="34" t="s">
        <v>1223</v>
      </c>
      <c r="E547" s="34" t="s">
        <v>4994</v>
      </c>
      <c r="F547" s="32" t="s">
        <v>1225</v>
      </c>
      <c r="G547" s="32" t="s">
        <v>1225</v>
      </c>
      <c r="H547" s="32" t="s">
        <v>1225</v>
      </c>
      <c r="I547" s="34" t="s">
        <v>4995</v>
      </c>
      <c r="J547" s="32" t="s">
        <v>1225</v>
      </c>
      <c r="K547" s="32" t="s">
        <v>1225</v>
      </c>
      <c r="L547" s="34" t="s">
        <v>4996</v>
      </c>
      <c r="M547" s="34" t="s">
        <v>1586</v>
      </c>
      <c r="N547" s="32" t="s">
        <v>1225</v>
      </c>
      <c r="O547" s="32" t="s">
        <v>1225</v>
      </c>
      <c r="P547" s="32" t="s">
        <v>1225</v>
      </c>
      <c r="Q547" s="34" t="s">
        <v>1227</v>
      </c>
      <c r="R547" s="32" t="s">
        <v>1225</v>
      </c>
      <c r="S547" s="32" t="s">
        <v>1225</v>
      </c>
      <c r="T547" s="32" t="s">
        <v>1225</v>
      </c>
      <c r="U547" s="32" t="s">
        <v>1225</v>
      </c>
      <c r="V547" s="32" t="s">
        <v>1225</v>
      </c>
      <c r="W547" s="34" t="s">
        <v>4997</v>
      </c>
      <c r="X547" s="34" t="s">
        <v>4998</v>
      </c>
      <c r="Y547" s="34" t="s">
        <v>4999</v>
      </c>
      <c r="Z547" s="32" t="s">
        <v>1225</v>
      </c>
      <c r="AA547" s="32" t="s">
        <v>1225</v>
      </c>
      <c r="AB547" s="32" t="s">
        <v>1225</v>
      </c>
      <c r="AC547" s="32" t="s">
        <v>1225</v>
      </c>
      <c r="AD547" s="32" t="s">
        <v>1225</v>
      </c>
      <c r="AE547" s="32" t="s">
        <v>1225</v>
      </c>
      <c r="AF547" s="32" t="s">
        <v>1225</v>
      </c>
      <c r="AG547" s="32" t="s">
        <v>1225</v>
      </c>
      <c r="AH547" s="32" t="s">
        <v>1225</v>
      </c>
      <c r="AI547" s="32" t="s">
        <v>1225</v>
      </c>
      <c r="AJ547" s="32" t="s">
        <v>1225</v>
      </c>
      <c r="AK547" s="32" t="s">
        <v>1225</v>
      </c>
      <c r="AL547" s="32" t="s">
        <v>1225</v>
      </c>
      <c r="AM547" s="32" t="s">
        <v>1225</v>
      </c>
      <c r="AN547" s="32" t="s">
        <v>1225</v>
      </c>
      <c r="AO547" s="32" t="s">
        <v>1225</v>
      </c>
      <c r="AP547" s="32" t="s">
        <v>1225</v>
      </c>
      <c r="AQ547" s="32" t="s">
        <v>1225</v>
      </c>
      <c r="AR547" s="32" t="s">
        <v>1225</v>
      </c>
      <c r="AS547" s="32" t="s">
        <v>1225</v>
      </c>
      <c r="AT547" s="32" t="s">
        <v>1225</v>
      </c>
      <c r="AU547" s="32" t="s">
        <v>1225</v>
      </c>
      <c r="AV547" s="32" t="s">
        <v>1225</v>
      </c>
      <c r="AW547" s="34" t="s">
        <v>5000</v>
      </c>
      <c r="AX547" s="34">
        <v>2019</v>
      </c>
      <c r="AY547" s="32">
        <v>11</v>
      </c>
      <c r="AZ547" s="32">
        <v>10</v>
      </c>
      <c r="BA547" s="32" t="s">
        <v>1225</v>
      </c>
      <c r="BB547" s="32" t="s">
        <v>1225</v>
      </c>
      <c r="BC547" s="32" t="s">
        <v>1225</v>
      </c>
      <c r="BD547" s="32" t="s">
        <v>1225</v>
      </c>
      <c r="BE547" s="32" t="s">
        <v>1225</v>
      </c>
      <c r="BF547" s="32" t="s">
        <v>1225</v>
      </c>
      <c r="BG547" s="32">
        <v>2907</v>
      </c>
      <c r="BH547" s="34" t="s">
        <v>5001</v>
      </c>
      <c r="BI547" s="34" t="str">
        <f>HYPERLINK("http://dx.doi.org/10.3390/su11102907","http://dx.doi.org/10.3390/su11102907")</f>
        <v>http://dx.doi.org/10.3390/su11102907</v>
      </c>
      <c r="BJ547" s="32" t="s">
        <v>1225</v>
      </c>
      <c r="BK547" s="32" t="s">
        <v>1225</v>
      </c>
      <c r="BL547" s="32" t="s">
        <v>1225</v>
      </c>
      <c r="BM547" s="32" t="s">
        <v>1225</v>
      </c>
      <c r="BN547" s="32" t="s">
        <v>1225</v>
      </c>
      <c r="BO547" s="32" t="s">
        <v>1225</v>
      </c>
      <c r="BP547" s="32" t="s">
        <v>1225</v>
      </c>
      <c r="BQ547" s="32" t="s">
        <v>1225</v>
      </c>
      <c r="BR547" s="32" t="s">
        <v>1225</v>
      </c>
      <c r="BS547" s="32" t="s">
        <v>1225</v>
      </c>
      <c r="BT547" s="32" t="s">
        <v>1225</v>
      </c>
      <c r="BU547" s="32" t="s">
        <v>1225</v>
      </c>
      <c r="BV547" s="32" t="s">
        <v>1225</v>
      </c>
      <c r="BW547" s="32" t="str">
        <f t="shared" si="16"/>
        <v>View Full Record in Web of Science</v>
      </c>
      <c r="BY547" s="41" t="str">
        <f>IF(Deletion!J547=TRUE,"Yes","No")</f>
        <v>No</v>
      </c>
    </row>
    <row r="548" spans="1:77" x14ac:dyDescent="0.15">
      <c r="A548" s="34">
        <f t="shared" si="17"/>
        <v>547</v>
      </c>
      <c r="B548" s="34" t="s">
        <v>4</v>
      </c>
      <c r="C548" s="34" t="s">
        <v>4</v>
      </c>
      <c r="D548" s="34" t="s">
        <v>1223</v>
      </c>
      <c r="E548" s="34" t="s">
        <v>5002</v>
      </c>
      <c r="F548" s="32" t="s">
        <v>1225</v>
      </c>
      <c r="G548" s="32" t="s">
        <v>1225</v>
      </c>
      <c r="H548" s="32" t="s">
        <v>1225</v>
      </c>
      <c r="I548" s="34" t="s">
        <v>5003</v>
      </c>
      <c r="J548" s="32" t="s">
        <v>1225</v>
      </c>
      <c r="K548" s="32" t="s">
        <v>1225</v>
      </c>
      <c r="L548" s="34" t="s">
        <v>5004</v>
      </c>
      <c r="M548" s="34" t="s">
        <v>5005</v>
      </c>
      <c r="N548" s="32" t="s">
        <v>1225</v>
      </c>
      <c r="O548" s="32" t="s">
        <v>1225</v>
      </c>
      <c r="P548" s="32" t="s">
        <v>1225</v>
      </c>
      <c r="Q548" s="34" t="s">
        <v>1227</v>
      </c>
      <c r="R548" s="32" t="s">
        <v>1225</v>
      </c>
      <c r="S548" s="32" t="s">
        <v>1225</v>
      </c>
      <c r="T548" s="32" t="s">
        <v>1225</v>
      </c>
      <c r="U548" s="32" t="s">
        <v>1225</v>
      </c>
      <c r="V548" s="32" t="s">
        <v>1225</v>
      </c>
      <c r="W548" s="34" t="s">
        <v>5006</v>
      </c>
      <c r="X548" s="34" t="s">
        <v>5007</v>
      </c>
      <c r="Y548" s="34" t="s">
        <v>5008</v>
      </c>
      <c r="Z548" s="32" t="s">
        <v>1225</v>
      </c>
      <c r="AA548" s="32" t="s">
        <v>1225</v>
      </c>
      <c r="AB548" s="32" t="s">
        <v>1225</v>
      </c>
      <c r="AC548" s="32" t="s">
        <v>1225</v>
      </c>
      <c r="AD548" s="32" t="s">
        <v>1225</v>
      </c>
      <c r="AE548" s="32" t="s">
        <v>1225</v>
      </c>
      <c r="AF548" s="32" t="s">
        <v>1225</v>
      </c>
      <c r="AG548" s="32" t="s">
        <v>1225</v>
      </c>
      <c r="AH548" s="32" t="s">
        <v>1225</v>
      </c>
      <c r="AI548" s="32" t="s">
        <v>1225</v>
      </c>
      <c r="AJ548" s="32" t="s">
        <v>1225</v>
      </c>
      <c r="AK548" s="32" t="s">
        <v>1225</v>
      </c>
      <c r="AL548" s="32" t="s">
        <v>1225</v>
      </c>
      <c r="AM548" s="32" t="s">
        <v>1225</v>
      </c>
      <c r="AN548" s="32" t="s">
        <v>1225</v>
      </c>
      <c r="AO548" s="32" t="s">
        <v>1225</v>
      </c>
      <c r="AP548" s="32" t="s">
        <v>1225</v>
      </c>
      <c r="AQ548" s="32" t="s">
        <v>1225</v>
      </c>
      <c r="AR548" s="32" t="s">
        <v>1225</v>
      </c>
      <c r="AS548" s="32" t="s">
        <v>1225</v>
      </c>
      <c r="AT548" s="32" t="s">
        <v>1225</v>
      </c>
      <c r="AU548" s="32" t="s">
        <v>1225</v>
      </c>
      <c r="AV548" s="32" t="s">
        <v>1225</v>
      </c>
      <c r="AW548" s="34" t="s">
        <v>2150</v>
      </c>
      <c r="AX548" s="34">
        <v>2022</v>
      </c>
      <c r="AY548" s="32">
        <v>52</v>
      </c>
      <c r="AZ548" s="32" t="s">
        <v>1225</v>
      </c>
      <c r="BA548" s="32" t="s">
        <v>1225</v>
      </c>
      <c r="BB548" s="32" t="s">
        <v>1225</v>
      </c>
      <c r="BC548" s="32" t="s">
        <v>1225</v>
      </c>
      <c r="BD548" s="32" t="s">
        <v>1225</v>
      </c>
      <c r="BE548" s="32" t="s">
        <v>1225</v>
      </c>
      <c r="BF548" s="32" t="s">
        <v>1225</v>
      </c>
      <c r="BG548" s="32">
        <v>104430</v>
      </c>
      <c r="BH548" s="34" t="s">
        <v>5009</v>
      </c>
      <c r="BI548" s="34" t="str">
        <f>HYPERLINK("http://dx.doi.org/10.1016/j.jobe.2022.104430","http://dx.doi.org/10.1016/j.jobe.2022.104430")</f>
        <v>http://dx.doi.org/10.1016/j.jobe.2022.104430</v>
      </c>
      <c r="BJ548" s="32" t="s">
        <v>1225</v>
      </c>
      <c r="BK548" s="32" t="s">
        <v>1225</v>
      </c>
      <c r="BL548" s="32" t="s">
        <v>1225</v>
      </c>
      <c r="BM548" s="32" t="s">
        <v>1225</v>
      </c>
      <c r="BN548" s="32" t="s">
        <v>1225</v>
      </c>
      <c r="BO548" s="32" t="s">
        <v>1225</v>
      </c>
      <c r="BP548" s="32" t="s">
        <v>1225</v>
      </c>
      <c r="BQ548" s="32" t="s">
        <v>1225</v>
      </c>
      <c r="BR548" s="32" t="s">
        <v>1225</v>
      </c>
      <c r="BS548" s="32" t="s">
        <v>1225</v>
      </c>
      <c r="BT548" s="32" t="s">
        <v>1225</v>
      </c>
      <c r="BU548" s="32" t="s">
        <v>1225</v>
      </c>
      <c r="BV548" s="32" t="s">
        <v>1225</v>
      </c>
      <c r="BW548" s="32" t="str">
        <f t="shared" si="16"/>
        <v>View Full Record in Web of Science</v>
      </c>
      <c r="BY548" s="41" t="str">
        <f>IF(Deletion!J548=TRUE,"Yes","No")</f>
        <v>No</v>
      </c>
    </row>
    <row r="549" spans="1:77" x14ac:dyDescent="0.15">
      <c r="A549" s="32">
        <f t="shared" si="17"/>
        <v>548</v>
      </c>
      <c r="D549" s="32" t="s">
        <v>1223</v>
      </c>
      <c r="E549" s="32" t="s">
        <v>5010</v>
      </c>
      <c r="F549" s="32" t="s">
        <v>1225</v>
      </c>
      <c r="G549" s="32" t="s">
        <v>1225</v>
      </c>
      <c r="H549" s="32" t="s">
        <v>1225</v>
      </c>
      <c r="I549" s="32" t="s">
        <v>5011</v>
      </c>
      <c r="J549" s="32" t="s">
        <v>1225</v>
      </c>
      <c r="K549" s="32" t="s">
        <v>1225</v>
      </c>
      <c r="L549" s="32" t="s">
        <v>5012</v>
      </c>
      <c r="M549" s="32" t="s">
        <v>422</v>
      </c>
      <c r="N549" s="32" t="s">
        <v>1225</v>
      </c>
      <c r="O549" s="32" t="s">
        <v>1225</v>
      </c>
      <c r="P549" s="32" t="s">
        <v>1225</v>
      </c>
      <c r="Q549" s="32" t="s">
        <v>1227</v>
      </c>
      <c r="R549" s="32" t="s">
        <v>1225</v>
      </c>
      <c r="S549" s="32" t="s">
        <v>1225</v>
      </c>
      <c r="T549" s="32" t="s">
        <v>1225</v>
      </c>
      <c r="U549" s="32" t="s">
        <v>1225</v>
      </c>
      <c r="V549" s="32" t="s">
        <v>1225</v>
      </c>
      <c r="W549" s="32" t="s">
        <v>5013</v>
      </c>
      <c r="X549" s="32" t="s">
        <v>5014</v>
      </c>
      <c r="Y549" s="32" t="s">
        <v>5015</v>
      </c>
      <c r="Z549" s="32" t="s">
        <v>1225</v>
      </c>
      <c r="AA549" s="32" t="s">
        <v>1225</v>
      </c>
      <c r="AB549" s="32" t="s">
        <v>1225</v>
      </c>
      <c r="AC549" s="32" t="s">
        <v>1225</v>
      </c>
      <c r="AD549" s="32" t="s">
        <v>1225</v>
      </c>
      <c r="AE549" s="32" t="s">
        <v>1225</v>
      </c>
      <c r="AF549" s="32" t="s">
        <v>1225</v>
      </c>
      <c r="AG549" s="32" t="s">
        <v>1225</v>
      </c>
      <c r="AH549" s="32" t="s">
        <v>1225</v>
      </c>
      <c r="AI549" s="32" t="s">
        <v>1225</v>
      </c>
      <c r="AJ549" s="32" t="s">
        <v>1225</v>
      </c>
      <c r="AK549" s="32" t="s">
        <v>1225</v>
      </c>
      <c r="AL549" s="32" t="s">
        <v>1225</v>
      </c>
      <c r="AM549" s="32" t="s">
        <v>1225</v>
      </c>
      <c r="AN549" s="32" t="s">
        <v>1225</v>
      </c>
      <c r="AO549" s="32" t="s">
        <v>1225</v>
      </c>
      <c r="AP549" s="32" t="s">
        <v>1225</v>
      </c>
      <c r="AQ549" s="32" t="s">
        <v>1225</v>
      </c>
      <c r="AR549" s="32" t="s">
        <v>1225</v>
      </c>
      <c r="AS549" s="32" t="s">
        <v>1225</v>
      </c>
      <c r="AT549" s="32" t="s">
        <v>1225</v>
      </c>
      <c r="AU549" s="32" t="s">
        <v>1225</v>
      </c>
      <c r="AV549" s="32" t="s">
        <v>1225</v>
      </c>
      <c r="AW549" s="32" t="s">
        <v>1276</v>
      </c>
      <c r="AX549" s="32">
        <v>2020</v>
      </c>
      <c r="AY549" s="32">
        <v>13</v>
      </c>
      <c r="AZ549" s="32">
        <v>20</v>
      </c>
      <c r="BA549" s="32" t="s">
        <v>1225</v>
      </c>
      <c r="BB549" s="32" t="s">
        <v>1225</v>
      </c>
      <c r="BC549" s="32" t="s">
        <v>1225</v>
      </c>
      <c r="BD549" s="32" t="s">
        <v>1225</v>
      </c>
      <c r="BE549" s="32" t="s">
        <v>1225</v>
      </c>
      <c r="BF549" s="32" t="s">
        <v>1225</v>
      </c>
      <c r="BG549" s="32">
        <v>5429</v>
      </c>
      <c r="BH549" s="32" t="s">
        <v>5016</v>
      </c>
      <c r="BI549" s="32" t="str">
        <f>HYPERLINK("http://dx.doi.org/10.3390/en13205429","http://dx.doi.org/10.3390/en13205429")</f>
        <v>http://dx.doi.org/10.3390/en13205429</v>
      </c>
      <c r="BJ549" s="32" t="s">
        <v>1225</v>
      </c>
      <c r="BK549" s="32" t="s">
        <v>1225</v>
      </c>
      <c r="BL549" s="32" t="s">
        <v>1225</v>
      </c>
      <c r="BM549" s="32" t="s">
        <v>1225</v>
      </c>
      <c r="BN549" s="32" t="s">
        <v>1225</v>
      </c>
      <c r="BO549" s="32" t="s">
        <v>1225</v>
      </c>
      <c r="BP549" s="32" t="s">
        <v>1225</v>
      </c>
      <c r="BQ549" s="32" t="s">
        <v>1225</v>
      </c>
      <c r="BR549" s="32" t="s">
        <v>1225</v>
      </c>
      <c r="BS549" s="32" t="s">
        <v>1225</v>
      </c>
      <c r="BT549" s="32" t="s">
        <v>1225</v>
      </c>
      <c r="BU549" s="32" t="s">
        <v>1225</v>
      </c>
      <c r="BV549" s="32" t="s">
        <v>1225</v>
      </c>
      <c r="BW549" s="32" t="str">
        <f t="shared" si="16"/>
        <v>View Full Record in Web of Science</v>
      </c>
      <c r="BY549" s="41" t="str">
        <f>IF(Deletion!J549=TRUE,"Yes","No")</f>
        <v>Yes</v>
      </c>
    </row>
    <row r="550" spans="1:77" x14ac:dyDescent="0.15">
      <c r="A550" s="32">
        <f t="shared" si="17"/>
        <v>549</v>
      </c>
      <c r="D550" s="32" t="s">
        <v>1223</v>
      </c>
      <c r="E550" s="32" t="s">
        <v>5017</v>
      </c>
      <c r="F550" s="32" t="s">
        <v>1225</v>
      </c>
      <c r="G550" s="32" t="s">
        <v>1225</v>
      </c>
      <c r="H550" s="32" t="s">
        <v>1225</v>
      </c>
      <c r="I550" s="32" t="s">
        <v>5018</v>
      </c>
      <c r="J550" s="32" t="s">
        <v>1225</v>
      </c>
      <c r="K550" s="32" t="s">
        <v>1225</v>
      </c>
      <c r="L550" s="32" t="s">
        <v>5019</v>
      </c>
      <c r="M550" s="32" t="s">
        <v>1562</v>
      </c>
      <c r="N550" s="32" t="s">
        <v>1225</v>
      </c>
      <c r="O550" s="32" t="s">
        <v>1225</v>
      </c>
      <c r="P550" s="32" t="s">
        <v>1225</v>
      </c>
      <c r="Q550" s="32" t="s">
        <v>1227</v>
      </c>
      <c r="R550" s="32" t="s">
        <v>1225</v>
      </c>
      <c r="S550" s="32" t="s">
        <v>1225</v>
      </c>
      <c r="T550" s="32" t="s">
        <v>1225</v>
      </c>
      <c r="U550" s="32" t="s">
        <v>1225</v>
      </c>
      <c r="V550" s="32" t="s">
        <v>1225</v>
      </c>
      <c r="W550" s="32" t="s">
        <v>5020</v>
      </c>
      <c r="X550" s="32" t="s">
        <v>5021</v>
      </c>
      <c r="Y550" s="32" t="s">
        <v>5022</v>
      </c>
      <c r="Z550" s="32" t="s">
        <v>1225</v>
      </c>
      <c r="AA550" s="32" t="s">
        <v>1225</v>
      </c>
      <c r="AB550" s="32" t="s">
        <v>1225</v>
      </c>
      <c r="AC550" s="32" t="s">
        <v>1225</v>
      </c>
      <c r="AD550" s="32" t="s">
        <v>1225</v>
      </c>
      <c r="AE550" s="32" t="s">
        <v>1225</v>
      </c>
      <c r="AF550" s="32" t="s">
        <v>1225</v>
      </c>
      <c r="AG550" s="32" t="s">
        <v>1225</v>
      </c>
      <c r="AH550" s="32" t="s">
        <v>1225</v>
      </c>
      <c r="AI550" s="32" t="s">
        <v>1225</v>
      </c>
      <c r="AJ550" s="32" t="s">
        <v>1225</v>
      </c>
      <c r="AK550" s="32" t="s">
        <v>1225</v>
      </c>
      <c r="AL550" s="32" t="s">
        <v>1225</v>
      </c>
      <c r="AM550" s="32" t="s">
        <v>1225</v>
      </c>
      <c r="AN550" s="32" t="s">
        <v>1225</v>
      </c>
      <c r="AO550" s="32" t="s">
        <v>1225</v>
      </c>
      <c r="AP550" s="32" t="s">
        <v>1225</v>
      </c>
      <c r="AQ550" s="32" t="s">
        <v>1225</v>
      </c>
      <c r="AR550" s="32" t="s">
        <v>1225</v>
      </c>
      <c r="AS550" s="32" t="s">
        <v>1225</v>
      </c>
      <c r="AT550" s="32" t="s">
        <v>1225</v>
      </c>
      <c r="AU550" s="32" t="s">
        <v>1225</v>
      </c>
      <c r="AV550" s="32" t="s">
        <v>1225</v>
      </c>
      <c r="AW550" s="32" t="s">
        <v>2716</v>
      </c>
      <c r="AX550" s="32">
        <v>2017</v>
      </c>
      <c r="AY550" s="32">
        <v>358</v>
      </c>
      <c r="AZ550" s="32" t="s">
        <v>1225</v>
      </c>
      <c r="BA550" s="32" t="s">
        <v>1225</v>
      </c>
      <c r="BB550" s="32" t="s">
        <v>1225</v>
      </c>
      <c r="BC550" s="32" t="s">
        <v>1225</v>
      </c>
      <c r="BD550" s="32" t="s">
        <v>1225</v>
      </c>
      <c r="BE550" s="32">
        <v>39</v>
      </c>
      <c r="BF550" s="32">
        <v>49</v>
      </c>
      <c r="BG550" s="32" t="s">
        <v>1225</v>
      </c>
      <c r="BH550" s="32" t="s">
        <v>5023</v>
      </c>
      <c r="BI550" s="32" t="str">
        <f>HYPERLINK("http://dx.doi.org/10.1016/j.jpowsour.2017.05.015","http://dx.doi.org/10.1016/j.jpowsour.2017.05.015")</f>
        <v>http://dx.doi.org/10.1016/j.jpowsour.2017.05.015</v>
      </c>
      <c r="BJ550" s="32" t="s">
        <v>1225</v>
      </c>
      <c r="BK550" s="32" t="s">
        <v>1225</v>
      </c>
      <c r="BL550" s="32" t="s">
        <v>1225</v>
      </c>
      <c r="BM550" s="32" t="s">
        <v>1225</v>
      </c>
      <c r="BN550" s="32" t="s">
        <v>1225</v>
      </c>
      <c r="BO550" s="32" t="s">
        <v>1225</v>
      </c>
      <c r="BP550" s="32" t="s">
        <v>1225</v>
      </c>
      <c r="BQ550" s="32" t="s">
        <v>1225</v>
      </c>
      <c r="BR550" s="32" t="s">
        <v>1225</v>
      </c>
      <c r="BS550" s="32" t="s">
        <v>1225</v>
      </c>
      <c r="BT550" s="32" t="s">
        <v>1225</v>
      </c>
      <c r="BU550" s="32" t="s">
        <v>1225</v>
      </c>
      <c r="BV550" s="32" t="s">
        <v>1225</v>
      </c>
      <c r="BW550" s="32" t="str">
        <f t="shared" si="16"/>
        <v>View Full Record in Web of Science</v>
      </c>
      <c r="BY550" s="41" t="str">
        <f>IF(Deletion!J550=TRUE,"Yes","No")</f>
        <v>Yes</v>
      </c>
    </row>
    <row r="551" spans="1:77" x14ac:dyDescent="0.15">
      <c r="A551" s="34">
        <f t="shared" si="17"/>
        <v>550</v>
      </c>
      <c r="B551" s="34" t="s">
        <v>4</v>
      </c>
      <c r="C551" s="34" t="s">
        <v>4</v>
      </c>
      <c r="D551" s="34" t="s">
        <v>1223</v>
      </c>
      <c r="E551" s="34" t="s">
        <v>5024</v>
      </c>
      <c r="F551" s="32" t="s">
        <v>1225</v>
      </c>
      <c r="G551" s="32" t="s">
        <v>1225</v>
      </c>
      <c r="H551" s="32" t="s">
        <v>1225</v>
      </c>
      <c r="I551" s="34" t="s">
        <v>5025</v>
      </c>
      <c r="J551" s="32" t="s">
        <v>1225</v>
      </c>
      <c r="K551" s="32" t="s">
        <v>1225</v>
      </c>
      <c r="L551" s="34" t="s">
        <v>5026</v>
      </c>
      <c r="M551" s="34" t="s">
        <v>5027</v>
      </c>
      <c r="N551" s="32" t="s">
        <v>1225</v>
      </c>
      <c r="O551" s="32" t="s">
        <v>1225</v>
      </c>
      <c r="P551" s="32" t="s">
        <v>1225</v>
      </c>
      <c r="Q551" s="34" t="s">
        <v>1227</v>
      </c>
      <c r="R551" s="32" t="s">
        <v>1225</v>
      </c>
      <c r="S551" s="32" t="s">
        <v>1225</v>
      </c>
      <c r="T551" s="32" t="s">
        <v>1225</v>
      </c>
      <c r="U551" s="32" t="s">
        <v>1225</v>
      </c>
      <c r="V551" s="32" t="s">
        <v>1225</v>
      </c>
      <c r="W551" s="34" t="s">
        <v>5028</v>
      </c>
      <c r="X551" s="34" t="s">
        <v>5029</v>
      </c>
      <c r="Y551" s="34" t="s">
        <v>5030</v>
      </c>
      <c r="Z551" s="32" t="s">
        <v>1225</v>
      </c>
      <c r="AA551" s="32" t="s">
        <v>1225</v>
      </c>
      <c r="AB551" s="32" t="s">
        <v>1225</v>
      </c>
      <c r="AC551" s="32" t="s">
        <v>1225</v>
      </c>
      <c r="AD551" s="32" t="s">
        <v>1225</v>
      </c>
      <c r="AE551" s="32" t="s">
        <v>1225</v>
      </c>
      <c r="AF551" s="32" t="s">
        <v>1225</v>
      </c>
      <c r="AG551" s="32" t="s">
        <v>1225</v>
      </c>
      <c r="AH551" s="32" t="s">
        <v>1225</v>
      </c>
      <c r="AI551" s="32" t="s">
        <v>1225</v>
      </c>
      <c r="AJ551" s="32" t="s">
        <v>1225</v>
      </c>
      <c r="AK551" s="32" t="s">
        <v>1225</v>
      </c>
      <c r="AL551" s="32" t="s">
        <v>1225</v>
      </c>
      <c r="AM551" s="32" t="s">
        <v>1225</v>
      </c>
      <c r="AN551" s="32" t="s">
        <v>1225</v>
      </c>
      <c r="AO551" s="32" t="s">
        <v>1225</v>
      </c>
      <c r="AP551" s="32" t="s">
        <v>1225</v>
      </c>
      <c r="AQ551" s="32" t="s">
        <v>1225</v>
      </c>
      <c r="AR551" s="32" t="s">
        <v>1225</v>
      </c>
      <c r="AS551" s="32" t="s">
        <v>1225</v>
      </c>
      <c r="AT551" s="32" t="s">
        <v>1225</v>
      </c>
      <c r="AU551" s="32" t="s">
        <v>1225</v>
      </c>
      <c r="AV551" s="32" t="s">
        <v>1225</v>
      </c>
      <c r="AW551" s="34" t="s">
        <v>5031</v>
      </c>
      <c r="AX551" s="34">
        <v>2018</v>
      </c>
      <c r="AY551" s="32">
        <v>40</v>
      </c>
      <c r="AZ551" s="32">
        <v>4</v>
      </c>
      <c r="BA551" s="32" t="s">
        <v>1225</v>
      </c>
      <c r="BB551" s="32" t="s">
        <v>1225</v>
      </c>
      <c r="BC551" s="32" t="s">
        <v>1225</v>
      </c>
      <c r="BD551" s="32" t="s">
        <v>1225</v>
      </c>
      <c r="BE551" s="32">
        <v>284</v>
      </c>
      <c r="BF551" s="32">
        <v>294</v>
      </c>
      <c r="BG551" s="32" t="s">
        <v>1225</v>
      </c>
      <c r="BH551" s="34" t="s">
        <v>5032</v>
      </c>
      <c r="BI551" s="34" t="str">
        <f>HYPERLINK("http://dx.doi.org/10.1109/CJECE.2017.2753219","http://dx.doi.org/10.1109/CJECE.2017.2753219")</f>
        <v>http://dx.doi.org/10.1109/CJECE.2017.2753219</v>
      </c>
      <c r="BJ551" s="32" t="s">
        <v>1225</v>
      </c>
      <c r="BK551" s="32" t="s">
        <v>1225</v>
      </c>
      <c r="BL551" s="32" t="s">
        <v>1225</v>
      </c>
      <c r="BM551" s="32" t="s">
        <v>1225</v>
      </c>
      <c r="BN551" s="32" t="s">
        <v>1225</v>
      </c>
      <c r="BO551" s="32" t="s">
        <v>1225</v>
      </c>
      <c r="BP551" s="32" t="s">
        <v>1225</v>
      </c>
      <c r="BQ551" s="32" t="s">
        <v>1225</v>
      </c>
      <c r="BR551" s="32" t="s">
        <v>1225</v>
      </c>
      <c r="BS551" s="32" t="s">
        <v>1225</v>
      </c>
      <c r="BT551" s="32" t="s">
        <v>1225</v>
      </c>
      <c r="BU551" s="32" t="s">
        <v>1225</v>
      </c>
      <c r="BV551" s="32" t="s">
        <v>1225</v>
      </c>
      <c r="BW551" s="32" t="str">
        <f t="shared" si="16"/>
        <v>View Full Record in Web of Science</v>
      </c>
      <c r="BY551" s="41" t="str">
        <f>IF(Deletion!J551=TRUE,"Yes","No")</f>
        <v>No</v>
      </c>
    </row>
    <row r="552" spans="1:77" x14ac:dyDescent="0.15">
      <c r="A552" s="32">
        <f t="shared" si="17"/>
        <v>551</v>
      </c>
      <c r="D552" s="32" t="s">
        <v>1223</v>
      </c>
      <c r="E552" s="32" t="s">
        <v>5033</v>
      </c>
      <c r="F552" s="32" t="s">
        <v>1225</v>
      </c>
      <c r="G552" s="32" t="s">
        <v>1225</v>
      </c>
      <c r="H552" s="32" t="s">
        <v>1225</v>
      </c>
      <c r="I552" s="32" t="s">
        <v>5034</v>
      </c>
      <c r="J552" s="32" t="s">
        <v>1225</v>
      </c>
      <c r="K552" s="32" t="s">
        <v>1225</v>
      </c>
      <c r="L552" s="32" t="s">
        <v>5035</v>
      </c>
      <c r="M552" s="32" t="s">
        <v>124</v>
      </c>
      <c r="N552" s="32" t="s">
        <v>1225</v>
      </c>
      <c r="O552" s="32" t="s">
        <v>1225</v>
      </c>
      <c r="P552" s="32" t="s">
        <v>1225</v>
      </c>
      <c r="Q552" s="32" t="s">
        <v>1227</v>
      </c>
      <c r="R552" s="32" t="s">
        <v>1225</v>
      </c>
      <c r="S552" s="32" t="s">
        <v>1225</v>
      </c>
      <c r="T552" s="32" t="s">
        <v>1225</v>
      </c>
      <c r="U552" s="32" t="s">
        <v>1225</v>
      </c>
      <c r="V552" s="32" t="s">
        <v>1225</v>
      </c>
      <c r="W552" s="32" t="s">
        <v>5036</v>
      </c>
      <c r="X552" s="32" t="s">
        <v>5037</v>
      </c>
      <c r="Y552" s="32" t="s">
        <v>5038</v>
      </c>
      <c r="Z552" s="32" t="s">
        <v>1225</v>
      </c>
      <c r="AA552" s="32" t="s">
        <v>1225</v>
      </c>
      <c r="AB552" s="32" t="s">
        <v>1225</v>
      </c>
      <c r="AC552" s="32" t="s">
        <v>1225</v>
      </c>
      <c r="AD552" s="32" t="s">
        <v>1225</v>
      </c>
      <c r="AE552" s="32" t="s">
        <v>1225</v>
      </c>
      <c r="AF552" s="32" t="s">
        <v>1225</v>
      </c>
      <c r="AG552" s="32" t="s">
        <v>1225</v>
      </c>
      <c r="AH552" s="32" t="s">
        <v>1225</v>
      </c>
      <c r="AI552" s="32" t="s">
        <v>1225</v>
      </c>
      <c r="AJ552" s="32" t="s">
        <v>1225</v>
      </c>
      <c r="AK552" s="32" t="s">
        <v>1225</v>
      </c>
      <c r="AL552" s="32" t="s">
        <v>1225</v>
      </c>
      <c r="AM552" s="32" t="s">
        <v>1225</v>
      </c>
      <c r="AN552" s="32" t="s">
        <v>1225</v>
      </c>
      <c r="AO552" s="32" t="s">
        <v>1225</v>
      </c>
      <c r="AP552" s="32" t="s">
        <v>1225</v>
      </c>
      <c r="AQ552" s="32" t="s">
        <v>1225</v>
      </c>
      <c r="AR552" s="32" t="s">
        <v>1225</v>
      </c>
      <c r="AS552" s="32" t="s">
        <v>1225</v>
      </c>
      <c r="AT552" s="32" t="s">
        <v>1225</v>
      </c>
      <c r="AU552" s="32" t="s">
        <v>1225</v>
      </c>
      <c r="AV552" s="32" t="s">
        <v>1225</v>
      </c>
      <c r="AW552" s="32" t="s">
        <v>1272</v>
      </c>
      <c r="AX552" s="32">
        <v>2016</v>
      </c>
      <c r="AY552" s="32">
        <v>7</v>
      </c>
      <c r="AZ552" s="32">
        <v>2</v>
      </c>
      <c r="BA552" s="32" t="s">
        <v>1225</v>
      </c>
      <c r="BB552" s="32" t="s">
        <v>1225</v>
      </c>
      <c r="BC552" s="32" t="s">
        <v>1511</v>
      </c>
      <c r="BD552" s="32" t="s">
        <v>1225</v>
      </c>
      <c r="BE552" s="32">
        <v>659</v>
      </c>
      <c r="BF552" s="32">
        <v>668</v>
      </c>
      <c r="BG552" s="32" t="s">
        <v>1225</v>
      </c>
      <c r="BH552" s="32" t="s">
        <v>5039</v>
      </c>
      <c r="BI552" s="32" t="str">
        <f>HYPERLINK("http://dx.doi.org/10.1109/TSG.2015.2424323","http://dx.doi.org/10.1109/TSG.2015.2424323")</f>
        <v>http://dx.doi.org/10.1109/TSG.2015.2424323</v>
      </c>
      <c r="BJ552" s="32" t="s">
        <v>1225</v>
      </c>
      <c r="BK552" s="32" t="s">
        <v>1225</v>
      </c>
      <c r="BL552" s="32" t="s">
        <v>1225</v>
      </c>
      <c r="BM552" s="32" t="s">
        <v>1225</v>
      </c>
      <c r="BN552" s="32" t="s">
        <v>1225</v>
      </c>
      <c r="BO552" s="32" t="s">
        <v>1225</v>
      </c>
      <c r="BP552" s="32" t="s">
        <v>1225</v>
      </c>
      <c r="BQ552" s="32" t="s">
        <v>1225</v>
      </c>
      <c r="BR552" s="32" t="s">
        <v>1225</v>
      </c>
      <c r="BS552" s="32" t="s">
        <v>1225</v>
      </c>
      <c r="BT552" s="32" t="s">
        <v>1225</v>
      </c>
      <c r="BU552" s="32" t="s">
        <v>1225</v>
      </c>
      <c r="BV552" s="32" t="s">
        <v>1225</v>
      </c>
      <c r="BW552" s="32" t="str">
        <f t="shared" si="16"/>
        <v>View Full Record in Web of Science</v>
      </c>
      <c r="BY552" s="41" t="str">
        <f>IF(Deletion!J552=TRUE,"Yes","No")</f>
        <v>Yes</v>
      </c>
    </row>
    <row r="553" spans="1:77" x14ac:dyDescent="0.15">
      <c r="A553" s="32">
        <f t="shared" si="17"/>
        <v>552</v>
      </c>
      <c r="D553" s="32" t="s">
        <v>1223</v>
      </c>
      <c r="E553" s="32" t="s">
        <v>5040</v>
      </c>
      <c r="F553" s="32" t="s">
        <v>1225</v>
      </c>
      <c r="G553" s="32" t="s">
        <v>1225</v>
      </c>
      <c r="H553" s="32" t="s">
        <v>1225</v>
      </c>
      <c r="I553" s="32" t="s">
        <v>5041</v>
      </c>
      <c r="J553" s="32" t="s">
        <v>1225</v>
      </c>
      <c r="K553" s="32" t="s">
        <v>1225</v>
      </c>
      <c r="L553" s="32" t="s">
        <v>5042</v>
      </c>
      <c r="M553" s="32" t="s">
        <v>422</v>
      </c>
      <c r="N553" s="32" t="s">
        <v>1225</v>
      </c>
      <c r="O553" s="32" t="s">
        <v>1225</v>
      </c>
      <c r="P553" s="32" t="s">
        <v>1225</v>
      </c>
      <c r="Q553" s="32" t="s">
        <v>1227</v>
      </c>
      <c r="R553" s="32" t="s">
        <v>1225</v>
      </c>
      <c r="S553" s="32" t="s">
        <v>1225</v>
      </c>
      <c r="T553" s="32" t="s">
        <v>1225</v>
      </c>
      <c r="U553" s="32" t="s">
        <v>1225</v>
      </c>
      <c r="V553" s="32" t="s">
        <v>1225</v>
      </c>
      <c r="W553" s="32" t="s">
        <v>5043</v>
      </c>
      <c r="X553" s="32" t="s">
        <v>1225</v>
      </c>
      <c r="Y553" s="32" t="s">
        <v>5044</v>
      </c>
      <c r="Z553" s="32" t="s">
        <v>1225</v>
      </c>
      <c r="AA553" s="32" t="s">
        <v>1225</v>
      </c>
      <c r="AB553" s="32" t="s">
        <v>1225</v>
      </c>
      <c r="AC553" s="32" t="s">
        <v>1225</v>
      </c>
      <c r="AD553" s="32" t="s">
        <v>1225</v>
      </c>
      <c r="AE553" s="32" t="s">
        <v>1225</v>
      </c>
      <c r="AF553" s="32" t="s">
        <v>1225</v>
      </c>
      <c r="AG553" s="32" t="s">
        <v>1225</v>
      </c>
      <c r="AH553" s="32" t="s">
        <v>1225</v>
      </c>
      <c r="AI553" s="32" t="s">
        <v>1225</v>
      </c>
      <c r="AJ553" s="32" t="s">
        <v>1225</v>
      </c>
      <c r="AK553" s="32" t="s">
        <v>1225</v>
      </c>
      <c r="AL553" s="32" t="s">
        <v>1225</v>
      </c>
      <c r="AM553" s="32" t="s">
        <v>1225</v>
      </c>
      <c r="AN553" s="32" t="s">
        <v>1225</v>
      </c>
      <c r="AO553" s="32" t="s">
        <v>1225</v>
      </c>
      <c r="AP553" s="32" t="s">
        <v>1225</v>
      </c>
      <c r="AQ553" s="32" t="s">
        <v>1225</v>
      </c>
      <c r="AR553" s="32" t="s">
        <v>1225</v>
      </c>
      <c r="AS553" s="32" t="s">
        <v>1225</v>
      </c>
      <c r="AT553" s="32" t="s">
        <v>1225</v>
      </c>
      <c r="AU553" s="32" t="s">
        <v>1225</v>
      </c>
      <c r="AV553" s="32" t="s">
        <v>1225</v>
      </c>
      <c r="AW553" s="32" t="s">
        <v>1229</v>
      </c>
      <c r="AX553" s="32">
        <v>2020</v>
      </c>
      <c r="AY553" s="32">
        <v>13</v>
      </c>
      <c r="AZ553" s="32">
        <v>21</v>
      </c>
      <c r="BA553" s="32" t="s">
        <v>1225</v>
      </c>
      <c r="BB553" s="32" t="s">
        <v>1225</v>
      </c>
      <c r="BC553" s="32" t="s">
        <v>1225</v>
      </c>
      <c r="BD553" s="32" t="s">
        <v>1225</v>
      </c>
      <c r="BE553" s="32" t="s">
        <v>1225</v>
      </c>
      <c r="BF553" s="32" t="s">
        <v>1225</v>
      </c>
      <c r="BG553" s="32">
        <v>5812</v>
      </c>
      <c r="BH553" s="32" t="s">
        <v>5045</v>
      </c>
      <c r="BI553" s="32" t="str">
        <f>HYPERLINK("http://dx.doi.org/10.3390/en13215812","http://dx.doi.org/10.3390/en13215812")</f>
        <v>http://dx.doi.org/10.3390/en13215812</v>
      </c>
      <c r="BJ553" s="32" t="s">
        <v>1225</v>
      </c>
      <c r="BK553" s="32" t="s">
        <v>1225</v>
      </c>
      <c r="BL553" s="32" t="s">
        <v>1225</v>
      </c>
      <c r="BM553" s="32" t="s">
        <v>1225</v>
      </c>
      <c r="BN553" s="32" t="s">
        <v>1225</v>
      </c>
      <c r="BO553" s="32" t="s">
        <v>1225</v>
      </c>
      <c r="BP553" s="32" t="s">
        <v>1225</v>
      </c>
      <c r="BQ553" s="32" t="s">
        <v>1225</v>
      </c>
      <c r="BR553" s="32" t="s">
        <v>1225</v>
      </c>
      <c r="BS553" s="32" t="s">
        <v>1225</v>
      </c>
      <c r="BT553" s="32" t="s">
        <v>1225</v>
      </c>
      <c r="BU553" s="32" t="s">
        <v>1225</v>
      </c>
      <c r="BV553" s="32" t="s">
        <v>1225</v>
      </c>
      <c r="BW553" s="32" t="str">
        <f t="shared" si="16"/>
        <v>View Full Record in Web of Science</v>
      </c>
      <c r="BY553" s="41" t="str">
        <f>IF(Deletion!J553=TRUE,"Yes","No")</f>
        <v>Yes</v>
      </c>
    </row>
    <row r="554" spans="1:77" x14ac:dyDescent="0.15">
      <c r="A554" s="32">
        <f t="shared" si="17"/>
        <v>553</v>
      </c>
      <c r="D554" s="32" t="s">
        <v>1223</v>
      </c>
      <c r="E554" s="32" t="s">
        <v>5046</v>
      </c>
      <c r="F554" s="32" t="s">
        <v>1225</v>
      </c>
      <c r="G554" s="32" t="s">
        <v>1225</v>
      </c>
      <c r="H554" s="32" t="s">
        <v>1225</v>
      </c>
      <c r="I554" s="32" t="s">
        <v>5047</v>
      </c>
      <c r="J554" s="32" t="s">
        <v>1225</v>
      </c>
      <c r="K554" s="32" t="s">
        <v>1225</v>
      </c>
      <c r="L554" s="32" t="s">
        <v>5048</v>
      </c>
      <c r="M554" s="32" t="s">
        <v>2193</v>
      </c>
      <c r="N554" s="32" t="s">
        <v>1225</v>
      </c>
      <c r="O554" s="32" t="s">
        <v>1225</v>
      </c>
      <c r="P554" s="32" t="s">
        <v>1225</v>
      </c>
      <c r="Q554" s="32" t="s">
        <v>1688</v>
      </c>
      <c r="R554" s="32" t="s">
        <v>1225</v>
      </c>
      <c r="S554" s="32" t="s">
        <v>1225</v>
      </c>
      <c r="T554" s="32" t="s">
        <v>1225</v>
      </c>
      <c r="U554" s="32" t="s">
        <v>1225</v>
      </c>
      <c r="V554" s="32" t="s">
        <v>1225</v>
      </c>
      <c r="W554" s="32" t="s">
        <v>5049</v>
      </c>
      <c r="X554" s="32" t="s">
        <v>5050</v>
      </c>
      <c r="Y554" s="32" t="s">
        <v>5051</v>
      </c>
      <c r="Z554" s="32" t="s">
        <v>1225</v>
      </c>
      <c r="AA554" s="32" t="s">
        <v>1225</v>
      </c>
      <c r="AB554" s="32" t="s">
        <v>1225</v>
      </c>
      <c r="AC554" s="32" t="s">
        <v>1225</v>
      </c>
      <c r="AD554" s="32" t="s">
        <v>1225</v>
      </c>
      <c r="AE554" s="32" t="s">
        <v>1225</v>
      </c>
      <c r="AF554" s="32" t="s">
        <v>1225</v>
      </c>
      <c r="AG554" s="32" t="s">
        <v>1225</v>
      </c>
      <c r="AH554" s="32" t="s">
        <v>1225</v>
      </c>
      <c r="AI554" s="32" t="s">
        <v>1225</v>
      </c>
      <c r="AJ554" s="32" t="s">
        <v>1225</v>
      </c>
      <c r="AK554" s="32" t="s">
        <v>1225</v>
      </c>
      <c r="AL554" s="32" t="s">
        <v>1225</v>
      </c>
      <c r="AM554" s="32" t="s">
        <v>1225</v>
      </c>
      <c r="AN554" s="32" t="s">
        <v>1225</v>
      </c>
      <c r="AO554" s="32" t="s">
        <v>1225</v>
      </c>
      <c r="AP554" s="32" t="s">
        <v>1225</v>
      </c>
      <c r="AQ554" s="32" t="s">
        <v>1225</v>
      </c>
      <c r="AR554" s="32" t="s">
        <v>1225</v>
      </c>
      <c r="AS554" s="32" t="s">
        <v>1225</v>
      </c>
      <c r="AT554" s="32" t="s">
        <v>1225</v>
      </c>
      <c r="AU554" s="32" t="s">
        <v>1225</v>
      </c>
      <c r="AV554" s="32" t="s">
        <v>1225</v>
      </c>
      <c r="AW554" s="32" t="s">
        <v>1225</v>
      </c>
      <c r="AX554" s="32" t="s">
        <v>1225</v>
      </c>
      <c r="AY554" s="32" t="s">
        <v>1225</v>
      </c>
      <c r="AZ554" s="32" t="s">
        <v>1225</v>
      </c>
      <c r="BA554" s="32" t="s">
        <v>1225</v>
      </c>
      <c r="BB554" s="32" t="s">
        <v>1225</v>
      </c>
      <c r="BC554" s="32" t="s">
        <v>1225</v>
      </c>
      <c r="BD554" s="32" t="s">
        <v>1225</v>
      </c>
      <c r="BE554" s="32" t="s">
        <v>1225</v>
      </c>
      <c r="BF554" s="32" t="s">
        <v>1225</v>
      </c>
      <c r="BG554" s="32" t="s">
        <v>1225</v>
      </c>
      <c r="BH554" s="32" t="s">
        <v>5052</v>
      </c>
      <c r="BI554" s="32" t="str">
        <f>HYPERLINK("http://dx.doi.org/10.1002/er.8187","http://dx.doi.org/10.1002/er.8187")</f>
        <v>http://dx.doi.org/10.1002/er.8187</v>
      </c>
      <c r="BJ554" s="32" t="s">
        <v>1225</v>
      </c>
      <c r="BK554" s="32" t="s">
        <v>3555</v>
      </c>
      <c r="BL554" s="32" t="s">
        <v>1225</v>
      </c>
      <c r="BM554" s="32" t="s">
        <v>1225</v>
      </c>
      <c r="BN554" s="32" t="s">
        <v>1225</v>
      </c>
      <c r="BO554" s="32" t="s">
        <v>1225</v>
      </c>
      <c r="BP554" s="32" t="s">
        <v>1225</v>
      </c>
      <c r="BQ554" s="32" t="s">
        <v>1225</v>
      </c>
      <c r="BR554" s="32" t="s">
        <v>1225</v>
      </c>
      <c r="BS554" s="32" t="s">
        <v>1225</v>
      </c>
      <c r="BT554" s="32" t="s">
        <v>1225</v>
      </c>
      <c r="BU554" s="32" t="s">
        <v>1225</v>
      </c>
      <c r="BV554" s="32" t="s">
        <v>1225</v>
      </c>
      <c r="BW554" s="32" t="str">
        <f t="shared" si="16"/>
        <v>View Full Record in Web of Science</v>
      </c>
      <c r="BY554" s="41" t="str">
        <f>IF(Deletion!J554=TRUE,"Yes","No")</f>
        <v>Yes</v>
      </c>
    </row>
    <row r="555" spans="1:77" x14ac:dyDescent="0.15">
      <c r="A555" s="32">
        <f t="shared" si="17"/>
        <v>554</v>
      </c>
      <c r="D555" s="32" t="s">
        <v>1223</v>
      </c>
      <c r="E555" s="32" t="s">
        <v>5053</v>
      </c>
      <c r="F555" s="32" t="s">
        <v>1225</v>
      </c>
      <c r="G555" s="32" t="s">
        <v>1225</v>
      </c>
      <c r="H555" s="32" t="s">
        <v>1225</v>
      </c>
      <c r="I555" s="32" t="s">
        <v>5054</v>
      </c>
      <c r="J555" s="32" t="s">
        <v>1225</v>
      </c>
      <c r="K555" s="32" t="s">
        <v>1225</v>
      </c>
      <c r="L555" s="32" t="s">
        <v>5055</v>
      </c>
      <c r="M555" s="32" t="s">
        <v>502</v>
      </c>
      <c r="N555" s="32" t="s">
        <v>1225</v>
      </c>
      <c r="O555" s="32" t="s">
        <v>1225</v>
      </c>
      <c r="P555" s="32" t="s">
        <v>1225</v>
      </c>
      <c r="Q555" s="32" t="s">
        <v>1227</v>
      </c>
      <c r="R555" s="32" t="s">
        <v>1225</v>
      </c>
      <c r="S555" s="32" t="s">
        <v>1225</v>
      </c>
      <c r="T555" s="32" t="s">
        <v>1225</v>
      </c>
      <c r="U555" s="32" t="s">
        <v>1225</v>
      </c>
      <c r="V555" s="32" t="s">
        <v>1225</v>
      </c>
      <c r="W555" s="32" t="s">
        <v>5056</v>
      </c>
      <c r="X555" s="32" t="s">
        <v>5057</v>
      </c>
      <c r="Y555" s="32" t="s">
        <v>5058</v>
      </c>
      <c r="Z555" s="32" t="s">
        <v>1225</v>
      </c>
      <c r="AA555" s="32" t="s">
        <v>1225</v>
      </c>
      <c r="AB555" s="32" t="s">
        <v>1225</v>
      </c>
      <c r="AC555" s="32" t="s">
        <v>1225</v>
      </c>
      <c r="AD555" s="32" t="s">
        <v>1225</v>
      </c>
      <c r="AE555" s="32" t="s">
        <v>1225</v>
      </c>
      <c r="AF555" s="32" t="s">
        <v>1225</v>
      </c>
      <c r="AG555" s="32" t="s">
        <v>1225</v>
      </c>
      <c r="AH555" s="32" t="s">
        <v>1225</v>
      </c>
      <c r="AI555" s="32" t="s">
        <v>1225</v>
      </c>
      <c r="AJ555" s="32" t="s">
        <v>1225</v>
      </c>
      <c r="AK555" s="32" t="s">
        <v>1225</v>
      </c>
      <c r="AL555" s="32" t="s">
        <v>1225</v>
      </c>
      <c r="AM555" s="32" t="s">
        <v>1225</v>
      </c>
      <c r="AN555" s="32" t="s">
        <v>1225</v>
      </c>
      <c r="AO555" s="32" t="s">
        <v>1225</v>
      </c>
      <c r="AP555" s="32" t="s">
        <v>1225</v>
      </c>
      <c r="AQ555" s="32" t="s">
        <v>1225</v>
      </c>
      <c r="AR555" s="32" t="s">
        <v>1225</v>
      </c>
      <c r="AS555" s="32" t="s">
        <v>1225</v>
      </c>
      <c r="AT555" s="32" t="s">
        <v>1225</v>
      </c>
      <c r="AU555" s="32" t="s">
        <v>1225</v>
      </c>
      <c r="AV555" s="32" t="s">
        <v>1225</v>
      </c>
      <c r="AW555" s="32" t="s">
        <v>2634</v>
      </c>
      <c r="AX555" s="32">
        <v>2020</v>
      </c>
      <c r="AY555" s="32">
        <v>192</v>
      </c>
      <c r="AZ555" s="32" t="s">
        <v>1225</v>
      </c>
      <c r="BA555" s="32" t="s">
        <v>1225</v>
      </c>
      <c r="BB555" s="32" t="s">
        <v>1225</v>
      </c>
      <c r="BC555" s="32" t="s">
        <v>1225</v>
      </c>
      <c r="BD555" s="32" t="s">
        <v>1225</v>
      </c>
      <c r="BE555" s="32" t="s">
        <v>1225</v>
      </c>
      <c r="BF555" s="32" t="s">
        <v>1225</v>
      </c>
      <c r="BG555" s="32">
        <v>116631</v>
      </c>
      <c r="BH555" s="32" t="s">
        <v>5059</v>
      </c>
      <c r="BI555" s="32" t="str">
        <f>HYPERLINK("http://dx.doi.org/10.1016/j.energy.2019.116631","http://dx.doi.org/10.1016/j.energy.2019.116631")</f>
        <v>http://dx.doi.org/10.1016/j.energy.2019.116631</v>
      </c>
      <c r="BJ555" s="32" t="s">
        <v>1225</v>
      </c>
      <c r="BK555" s="32" t="s">
        <v>1225</v>
      </c>
      <c r="BL555" s="32" t="s">
        <v>1225</v>
      </c>
      <c r="BM555" s="32" t="s">
        <v>1225</v>
      </c>
      <c r="BN555" s="32" t="s">
        <v>1225</v>
      </c>
      <c r="BO555" s="32" t="s">
        <v>1225</v>
      </c>
      <c r="BP555" s="32" t="s">
        <v>1225</v>
      </c>
      <c r="BQ555" s="32" t="s">
        <v>1225</v>
      </c>
      <c r="BR555" s="32" t="s">
        <v>1225</v>
      </c>
      <c r="BS555" s="32" t="s">
        <v>1225</v>
      </c>
      <c r="BT555" s="32" t="s">
        <v>1225</v>
      </c>
      <c r="BU555" s="32" t="s">
        <v>1225</v>
      </c>
      <c r="BV555" s="32" t="s">
        <v>1225</v>
      </c>
      <c r="BW555" s="32" t="str">
        <f t="shared" si="16"/>
        <v>View Full Record in Web of Science</v>
      </c>
      <c r="BY555" s="41" t="str">
        <f>IF(Deletion!J555=TRUE,"Yes","No")</f>
        <v>Yes</v>
      </c>
    </row>
    <row r="556" spans="1:77" x14ac:dyDescent="0.15">
      <c r="A556" s="32">
        <f t="shared" si="17"/>
        <v>555</v>
      </c>
      <c r="D556" s="32" t="s">
        <v>1223</v>
      </c>
      <c r="E556" s="32" t="s">
        <v>5060</v>
      </c>
      <c r="F556" s="32" t="s">
        <v>1225</v>
      </c>
      <c r="G556" s="32" t="s">
        <v>1225</v>
      </c>
      <c r="H556" s="32" t="s">
        <v>1225</v>
      </c>
      <c r="I556" s="32" t="s">
        <v>5061</v>
      </c>
      <c r="J556" s="32" t="s">
        <v>1225</v>
      </c>
      <c r="K556" s="32" t="s">
        <v>1225</v>
      </c>
      <c r="L556" s="32" t="s">
        <v>5062</v>
      </c>
      <c r="M556" s="32" t="s">
        <v>863</v>
      </c>
      <c r="N556" s="32" t="s">
        <v>1225</v>
      </c>
      <c r="O556" s="32" t="s">
        <v>1225</v>
      </c>
      <c r="P556" s="32" t="s">
        <v>1225</v>
      </c>
      <c r="Q556" s="32" t="s">
        <v>1227</v>
      </c>
      <c r="R556" s="32" t="s">
        <v>1225</v>
      </c>
      <c r="S556" s="32" t="s">
        <v>1225</v>
      </c>
      <c r="T556" s="32" t="s">
        <v>1225</v>
      </c>
      <c r="U556" s="32" t="s">
        <v>1225</v>
      </c>
      <c r="V556" s="32" t="s">
        <v>1225</v>
      </c>
      <c r="W556" s="32" t="s">
        <v>5063</v>
      </c>
      <c r="X556" s="32" t="s">
        <v>5064</v>
      </c>
      <c r="Y556" s="32" t="s">
        <v>5065</v>
      </c>
      <c r="Z556" s="32" t="s">
        <v>1225</v>
      </c>
      <c r="AA556" s="32" t="s">
        <v>1225</v>
      </c>
      <c r="AB556" s="32" t="s">
        <v>1225</v>
      </c>
      <c r="AC556" s="32" t="s">
        <v>1225</v>
      </c>
      <c r="AD556" s="32" t="s">
        <v>1225</v>
      </c>
      <c r="AE556" s="32" t="s">
        <v>1225</v>
      </c>
      <c r="AF556" s="32" t="s">
        <v>1225</v>
      </c>
      <c r="AG556" s="32" t="s">
        <v>1225</v>
      </c>
      <c r="AH556" s="32" t="s">
        <v>1225</v>
      </c>
      <c r="AI556" s="32" t="s">
        <v>1225</v>
      </c>
      <c r="AJ556" s="32" t="s">
        <v>1225</v>
      </c>
      <c r="AK556" s="32" t="s">
        <v>1225</v>
      </c>
      <c r="AL556" s="32" t="s">
        <v>1225</v>
      </c>
      <c r="AM556" s="32" t="s">
        <v>1225</v>
      </c>
      <c r="AN556" s="32" t="s">
        <v>1225</v>
      </c>
      <c r="AO556" s="32" t="s">
        <v>1225</v>
      </c>
      <c r="AP556" s="32" t="s">
        <v>1225</v>
      </c>
      <c r="AQ556" s="32" t="s">
        <v>1225</v>
      </c>
      <c r="AR556" s="32" t="s">
        <v>1225</v>
      </c>
      <c r="AS556" s="32" t="s">
        <v>1225</v>
      </c>
      <c r="AT556" s="32" t="s">
        <v>1225</v>
      </c>
      <c r="AU556" s="32" t="s">
        <v>1225</v>
      </c>
      <c r="AV556" s="32" t="s">
        <v>1225</v>
      </c>
      <c r="AW556" s="32" t="s">
        <v>1317</v>
      </c>
      <c r="AX556" s="32">
        <v>2022</v>
      </c>
      <c r="AY556" s="32">
        <v>13</v>
      </c>
      <c r="AZ556" s="32">
        <v>1</v>
      </c>
      <c r="BA556" s="32" t="s">
        <v>1225</v>
      </c>
      <c r="BB556" s="32" t="s">
        <v>1225</v>
      </c>
      <c r="BC556" s="32" t="s">
        <v>1225</v>
      </c>
      <c r="BD556" s="32" t="s">
        <v>1225</v>
      </c>
      <c r="BE556" s="32">
        <v>391</v>
      </c>
      <c r="BF556" s="32">
        <v>402</v>
      </c>
      <c r="BG556" s="32" t="s">
        <v>1225</v>
      </c>
      <c r="BH556" s="32" t="s">
        <v>5066</v>
      </c>
      <c r="BI556" s="32" t="str">
        <f>HYPERLINK("http://dx.doi.org/10.1109/TSTE.2021.3113614","http://dx.doi.org/10.1109/TSTE.2021.3113614")</f>
        <v>http://dx.doi.org/10.1109/TSTE.2021.3113614</v>
      </c>
      <c r="BJ556" s="32" t="s">
        <v>1225</v>
      </c>
      <c r="BK556" s="32" t="s">
        <v>1225</v>
      </c>
      <c r="BL556" s="32" t="s">
        <v>1225</v>
      </c>
      <c r="BM556" s="32" t="s">
        <v>1225</v>
      </c>
      <c r="BN556" s="32" t="s">
        <v>1225</v>
      </c>
      <c r="BO556" s="32" t="s">
        <v>1225</v>
      </c>
      <c r="BP556" s="32" t="s">
        <v>1225</v>
      </c>
      <c r="BQ556" s="32" t="s">
        <v>1225</v>
      </c>
      <c r="BR556" s="32" t="s">
        <v>1225</v>
      </c>
      <c r="BS556" s="32" t="s">
        <v>1225</v>
      </c>
      <c r="BT556" s="32" t="s">
        <v>1225</v>
      </c>
      <c r="BU556" s="32" t="s">
        <v>1225</v>
      </c>
      <c r="BV556" s="32" t="s">
        <v>1225</v>
      </c>
      <c r="BW556" s="32" t="str">
        <f t="shared" si="16"/>
        <v>View Full Record in Web of Science</v>
      </c>
      <c r="BY556" s="41" t="str">
        <f>IF(Deletion!J556=TRUE,"Yes","No")</f>
        <v>Yes</v>
      </c>
    </row>
    <row r="557" spans="1:77" x14ac:dyDescent="0.15">
      <c r="A557" s="32">
        <f t="shared" si="17"/>
        <v>556</v>
      </c>
      <c r="D557" s="32" t="s">
        <v>1223</v>
      </c>
      <c r="E557" s="32" t="s">
        <v>5067</v>
      </c>
      <c r="F557" s="32" t="s">
        <v>1225</v>
      </c>
      <c r="G557" s="32" t="s">
        <v>1225</v>
      </c>
      <c r="H557" s="32" t="s">
        <v>1225</v>
      </c>
      <c r="I557" s="32" t="s">
        <v>5068</v>
      </c>
      <c r="J557" s="32" t="s">
        <v>1225</v>
      </c>
      <c r="K557" s="32" t="s">
        <v>1225</v>
      </c>
      <c r="L557" s="32" t="s">
        <v>5069</v>
      </c>
      <c r="M557" s="32" t="s">
        <v>2164</v>
      </c>
      <c r="N557" s="32" t="s">
        <v>1225</v>
      </c>
      <c r="O557" s="32" t="s">
        <v>1225</v>
      </c>
      <c r="P557" s="32" t="s">
        <v>1225</v>
      </c>
      <c r="Q557" s="32" t="s">
        <v>1227</v>
      </c>
      <c r="R557" s="32" t="s">
        <v>1225</v>
      </c>
      <c r="S557" s="32" t="s">
        <v>1225</v>
      </c>
      <c r="T557" s="32" t="s">
        <v>1225</v>
      </c>
      <c r="U557" s="32" t="s">
        <v>1225</v>
      </c>
      <c r="V557" s="32" t="s">
        <v>1225</v>
      </c>
      <c r="W557" s="32" t="s">
        <v>5070</v>
      </c>
      <c r="X557" s="32" t="s">
        <v>5071</v>
      </c>
      <c r="Y557" s="32" t="s">
        <v>5072</v>
      </c>
      <c r="Z557" s="32" t="s">
        <v>1225</v>
      </c>
      <c r="AA557" s="32" t="s">
        <v>1225</v>
      </c>
      <c r="AB557" s="32" t="s">
        <v>1225</v>
      </c>
      <c r="AC557" s="32" t="s">
        <v>1225</v>
      </c>
      <c r="AD557" s="32" t="s">
        <v>1225</v>
      </c>
      <c r="AE557" s="32" t="s">
        <v>1225</v>
      </c>
      <c r="AF557" s="32" t="s">
        <v>1225</v>
      </c>
      <c r="AG557" s="32" t="s">
        <v>1225</v>
      </c>
      <c r="AH557" s="32" t="s">
        <v>1225</v>
      </c>
      <c r="AI557" s="32" t="s">
        <v>1225</v>
      </c>
      <c r="AJ557" s="32" t="s">
        <v>1225</v>
      </c>
      <c r="AK557" s="32" t="s">
        <v>1225</v>
      </c>
      <c r="AL557" s="32" t="s">
        <v>1225</v>
      </c>
      <c r="AM557" s="32" t="s">
        <v>1225</v>
      </c>
      <c r="AN557" s="32" t="s">
        <v>1225</v>
      </c>
      <c r="AO557" s="32" t="s">
        <v>1225</v>
      </c>
      <c r="AP557" s="32" t="s">
        <v>1225</v>
      </c>
      <c r="AQ557" s="32" t="s">
        <v>1225</v>
      </c>
      <c r="AR557" s="32" t="s">
        <v>1225</v>
      </c>
      <c r="AS557" s="32" t="s">
        <v>1225</v>
      </c>
      <c r="AT557" s="32" t="s">
        <v>1225</v>
      </c>
      <c r="AU557" s="32" t="s">
        <v>1225</v>
      </c>
      <c r="AV557" s="32" t="s">
        <v>1225</v>
      </c>
      <c r="AW557" s="32" t="s">
        <v>1239</v>
      </c>
      <c r="AX557" s="32">
        <v>2020</v>
      </c>
      <c r="AY557" s="32">
        <v>7</v>
      </c>
      <c r="AZ557" s="32">
        <v>7</v>
      </c>
      <c r="BA557" s="32" t="s">
        <v>1225</v>
      </c>
      <c r="BB557" s="32" t="s">
        <v>1225</v>
      </c>
      <c r="BC557" s="32" t="s">
        <v>1225</v>
      </c>
      <c r="BD557" s="32" t="s">
        <v>1225</v>
      </c>
      <c r="BE557" s="32">
        <v>6088</v>
      </c>
      <c r="BF557" s="32">
        <v>6101</v>
      </c>
      <c r="BG557" s="32" t="s">
        <v>1225</v>
      </c>
      <c r="BH557" s="32" t="s">
        <v>5073</v>
      </c>
      <c r="BI557" s="32" t="str">
        <f>HYPERLINK("http://dx.doi.org/10.1109/JIOT.2019.2957124","http://dx.doi.org/10.1109/JIOT.2019.2957124")</f>
        <v>http://dx.doi.org/10.1109/JIOT.2019.2957124</v>
      </c>
      <c r="BJ557" s="32" t="s">
        <v>1225</v>
      </c>
      <c r="BK557" s="32" t="s">
        <v>1225</v>
      </c>
      <c r="BL557" s="32" t="s">
        <v>1225</v>
      </c>
      <c r="BM557" s="32" t="s">
        <v>1225</v>
      </c>
      <c r="BN557" s="32" t="s">
        <v>1225</v>
      </c>
      <c r="BO557" s="32" t="s">
        <v>1225</v>
      </c>
      <c r="BP557" s="32" t="s">
        <v>1225</v>
      </c>
      <c r="BQ557" s="32" t="s">
        <v>1225</v>
      </c>
      <c r="BR557" s="32" t="s">
        <v>1225</v>
      </c>
      <c r="BS557" s="32" t="s">
        <v>1225</v>
      </c>
      <c r="BT557" s="32" t="s">
        <v>1225</v>
      </c>
      <c r="BU557" s="32" t="s">
        <v>1225</v>
      </c>
      <c r="BV557" s="32" t="s">
        <v>1225</v>
      </c>
      <c r="BW557" s="32" t="str">
        <f t="shared" si="16"/>
        <v>View Full Record in Web of Science</v>
      </c>
      <c r="BY557" s="41" t="str">
        <f>IF(Deletion!J557=TRUE,"Yes","No")</f>
        <v>Yes</v>
      </c>
    </row>
    <row r="558" spans="1:77" x14ac:dyDescent="0.15">
      <c r="A558" s="32">
        <f t="shared" si="17"/>
        <v>557</v>
      </c>
      <c r="D558" s="32" t="s">
        <v>1223</v>
      </c>
      <c r="E558" s="32" t="s">
        <v>5074</v>
      </c>
      <c r="F558" s="32" t="s">
        <v>1225</v>
      </c>
      <c r="G558" s="32" t="s">
        <v>1225</v>
      </c>
      <c r="H558" s="32" t="s">
        <v>1225</v>
      </c>
      <c r="I558" s="32" t="s">
        <v>5075</v>
      </c>
      <c r="J558" s="32" t="s">
        <v>1225</v>
      </c>
      <c r="K558" s="32" t="s">
        <v>1225</v>
      </c>
      <c r="L558" s="32" t="s">
        <v>5076</v>
      </c>
      <c r="M558" s="32" t="s">
        <v>68</v>
      </c>
      <c r="N558" s="32" t="s">
        <v>1225</v>
      </c>
      <c r="O558" s="32" t="s">
        <v>1225</v>
      </c>
      <c r="P558" s="32" t="s">
        <v>1225</v>
      </c>
      <c r="Q558" s="32" t="s">
        <v>1227</v>
      </c>
      <c r="R558" s="32" t="s">
        <v>1225</v>
      </c>
      <c r="S558" s="32" t="s">
        <v>1225</v>
      </c>
      <c r="T558" s="32" t="s">
        <v>1225</v>
      </c>
      <c r="U558" s="32" t="s">
        <v>1225</v>
      </c>
      <c r="V558" s="32" t="s">
        <v>1225</v>
      </c>
      <c r="W558" s="32" t="s">
        <v>5077</v>
      </c>
      <c r="X558" s="32" t="s">
        <v>5078</v>
      </c>
      <c r="Y558" s="32" t="s">
        <v>5079</v>
      </c>
      <c r="Z558" s="32" t="s">
        <v>1225</v>
      </c>
      <c r="AA558" s="32" t="s">
        <v>1225</v>
      </c>
      <c r="AB558" s="32" t="s">
        <v>1225</v>
      </c>
      <c r="AC558" s="32" t="s">
        <v>1225</v>
      </c>
      <c r="AD558" s="32" t="s">
        <v>1225</v>
      </c>
      <c r="AE558" s="32" t="s">
        <v>1225</v>
      </c>
      <c r="AF558" s="32" t="s">
        <v>1225</v>
      </c>
      <c r="AG558" s="32" t="s">
        <v>1225</v>
      </c>
      <c r="AH558" s="32" t="s">
        <v>1225</v>
      </c>
      <c r="AI558" s="32" t="s">
        <v>1225</v>
      </c>
      <c r="AJ558" s="32" t="s">
        <v>1225</v>
      </c>
      <c r="AK558" s="32" t="s">
        <v>1225</v>
      </c>
      <c r="AL558" s="32" t="s">
        <v>1225</v>
      </c>
      <c r="AM558" s="32" t="s">
        <v>1225</v>
      </c>
      <c r="AN558" s="32" t="s">
        <v>1225</v>
      </c>
      <c r="AO558" s="32" t="s">
        <v>1225</v>
      </c>
      <c r="AP558" s="32" t="s">
        <v>1225</v>
      </c>
      <c r="AQ558" s="32" t="s">
        <v>1225</v>
      </c>
      <c r="AR558" s="32" t="s">
        <v>1225</v>
      </c>
      <c r="AS558" s="32" t="s">
        <v>1225</v>
      </c>
      <c r="AT558" s="32" t="s">
        <v>1225</v>
      </c>
      <c r="AU558" s="32" t="s">
        <v>1225</v>
      </c>
      <c r="AV558" s="32" t="s">
        <v>1225</v>
      </c>
      <c r="AW558" s="32" t="s">
        <v>1225</v>
      </c>
      <c r="AX558" s="32">
        <v>2021</v>
      </c>
      <c r="AY558" s="32">
        <v>9</v>
      </c>
      <c r="AZ558" s="32" t="s">
        <v>1225</v>
      </c>
      <c r="BA558" s="32" t="s">
        <v>1225</v>
      </c>
      <c r="BB558" s="32" t="s">
        <v>1225</v>
      </c>
      <c r="BC558" s="32" t="s">
        <v>1225</v>
      </c>
      <c r="BD558" s="32" t="s">
        <v>1225</v>
      </c>
      <c r="BE558" s="32">
        <v>164779</v>
      </c>
      <c r="BF558" s="32">
        <v>164800</v>
      </c>
      <c r="BG558" s="32" t="s">
        <v>1225</v>
      </c>
      <c r="BH558" s="32" t="s">
        <v>5080</v>
      </c>
      <c r="BI558" s="32" t="str">
        <f>HYPERLINK("http://dx.doi.org/10.1109/ACCESS.2021.3132419","http://dx.doi.org/10.1109/ACCESS.2021.3132419")</f>
        <v>http://dx.doi.org/10.1109/ACCESS.2021.3132419</v>
      </c>
      <c r="BJ558" s="32" t="s">
        <v>1225</v>
      </c>
      <c r="BK558" s="32" t="s">
        <v>1225</v>
      </c>
      <c r="BL558" s="32" t="s">
        <v>1225</v>
      </c>
      <c r="BM558" s="32" t="s">
        <v>1225</v>
      </c>
      <c r="BN558" s="32" t="s">
        <v>1225</v>
      </c>
      <c r="BO558" s="32" t="s">
        <v>1225</v>
      </c>
      <c r="BP558" s="32" t="s">
        <v>1225</v>
      </c>
      <c r="BQ558" s="32" t="s">
        <v>1225</v>
      </c>
      <c r="BR558" s="32" t="s">
        <v>1225</v>
      </c>
      <c r="BS558" s="32" t="s">
        <v>1225</v>
      </c>
      <c r="BT558" s="32" t="s">
        <v>1225</v>
      </c>
      <c r="BU558" s="32" t="s">
        <v>1225</v>
      </c>
      <c r="BV558" s="32" t="s">
        <v>1225</v>
      </c>
      <c r="BW558" s="32" t="str">
        <f t="shared" si="16"/>
        <v>View Full Record in Web of Science</v>
      </c>
      <c r="BY558" s="41" t="str">
        <f>IF(Deletion!J558=TRUE,"Yes","No")</f>
        <v>Yes</v>
      </c>
    </row>
    <row r="559" spans="1:77" x14ac:dyDescent="0.15">
      <c r="A559" s="32">
        <f t="shared" si="17"/>
        <v>558</v>
      </c>
      <c r="D559" s="32" t="s">
        <v>1223</v>
      </c>
      <c r="E559" s="32" t="s">
        <v>5081</v>
      </c>
      <c r="F559" s="32" t="s">
        <v>1225</v>
      </c>
      <c r="G559" s="32" t="s">
        <v>1225</v>
      </c>
      <c r="H559" s="32" t="s">
        <v>1225</v>
      </c>
      <c r="I559" s="32" t="s">
        <v>5082</v>
      </c>
      <c r="J559" s="32" t="s">
        <v>1225</v>
      </c>
      <c r="K559" s="32" t="s">
        <v>1225</v>
      </c>
      <c r="L559" s="32" t="s">
        <v>5083</v>
      </c>
      <c r="M559" s="32" t="s">
        <v>68</v>
      </c>
      <c r="N559" s="32" t="s">
        <v>1225</v>
      </c>
      <c r="O559" s="32" t="s">
        <v>1225</v>
      </c>
      <c r="P559" s="32" t="s">
        <v>1225</v>
      </c>
      <c r="Q559" s="32" t="s">
        <v>1227</v>
      </c>
      <c r="R559" s="32" t="s">
        <v>1225</v>
      </c>
      <c r="S559" s="32" t="s">
        <v>1225</v>
      </c>
      <c r="T559" s="32" t="s">
        <v>1225</v>
      </c>
      <c r="U559" s="32" t="s">
        <v>1225</v>
      </c>
      <c r="V559" s="32" t="s">
        <v>1225</v>
      </c>
      <c r="W559" s="32" t="s">
        <v>5084</v>
      </c>
      <c r="X559" s="32" t="s">
        <v>5085</v>
      </c>
      <c r="Y559" s="32" t="s">
        <v>5086</v>
      </c>
      <c r="Z559" s="32" t="s">
        <v>1225</v>
      </c>
      <c r="AA559" s="32" t="s">
        <v>1225</v>
      </c>
      <c r="AB559" s="32" t="s">
        <v>1225</v>
      </c>
      <c r="AC559" s="32" t="s">
        <v>1225</v>
      </c>
      <c r="AD559" s="32" t="s">
        <v>1225</v>
      </c>
      <c r="AE559" s="32" t="s">
        <v>1225</v>
      </c>
      <c r="AF559" s="32" t="s">
        <v>1225</v>
      </c>
      <c r="AG559" s="32" t="s">
        <v>1225</v>
      </c>
      <c r="AH559" s="32" t="s">
        <v>1225</v>
      </c>
      <c r="AI559" s="32" t="s">
        <v>1225</v>
      </c>
      <c r="AJ559" s="32" t="s">
        <v>1225</v>
      </c>
      <c r="AK559" s="32" t="s">
        <v>1225</v>
      </c>
      <c r="AL559" s="32" t="s">
        <v>1225</v>
      </c>
      <c r="AM559" s="32" t="s">
        <v>1225</v>
      </c>
      <c r="AN559" s="32" t="s">
        <v>1225</v>
      </c>
      <c r="AO559" s="32" t="s">
        <v>1225</v>
      </c>
      <c r="AP559" s="32" t="s">
        <v>1225</v>
      </c>
      <c r="AQ559" s="32" t="s">
        <v>1225</v>
      </c>
      <c r="AR559" s="32" t="s">
        <v>1225</v>
      </c>
      <c r="AS559" s="32" t="s">
        <v>1225</v>
      </c>
      <c r="AT559" s="32" t="s">
        <v>1225</v>
      </c>
      <c r="AU559" s="32" t="s">
        <v>1225</v>
      </c>
      <c r="AV559" s="32" t="s">
        <v>1225</v>
      </c>
      <c r="AW559" s="32" t="s">
        <v>1225</v>
      </c>
      <c r="AX559" s="32">
        <v>2022</v>
      </c>
      <c r="AY559" s="32">
        <v>10</v>
      </c>
      <c r="AZ559" s="32" t="s">
        <v>1225</v>
      </c>
      <c r="BA559" s="32" t="s">
        <v>1225</v>
      </c>
      <c r="BB559" s="32" t="s">
        <v>1225</v>
      </c>
      <c r="BC559" s="32" t="s">
        <v>1225</v>
      </c>
      <c r="BD559" s="32" t="s">
        <v>1225</v>
      </c>
      <c r="BE559" s="32">
        <v>18988</v>
      </c>
      <c r="BF559" s="32">
        <v>18997</v>
      </c>
      <c r="BG559" s="32" t="s">
        <v>1225</v>
      </c>
      <c r="BH559" s="32" t="s">
        <v>5087</v>
      </c>
      <c r="BI559" s="32" t="str">
        <f>HYPERLINK("http://dx.doi.org/10.1109/ACCESS.2022.3150359","http://dx.doi.org/10.1109/ACCESS.2022.3150359")</f>
        <v>http://dx.doi.org/10.1109/ACCESS.2022.3150359</v>
      </c>
      <c r="BJ559" s="32" t="s">
        <v>1225</v>
      </c>
      <c r="BK559" s="32" t="s">
        <v>1225</v>
      </c>
      <c r="BL559" s="32" t="s">
        <v>1225</v>
      </c>
      <c r="BM559" s="32" t="s">
        <v>1225</v>
      </c>
      <c r="BN559" s="32" t="s">
        <v>1225</v>
      </c>
      <c r="BO559" s="32" t="s">
        <v>1225</v>
      </c>
      <c r="BP559" s="32" t="s">
        <v>1225</v>
      </c>
      <c r="BQ559" s="32" t="s">
        <v>1225</v>
      </c>
      <c r="BR559" s="32" t="s">
        <v>1225</v>
      </c>
      <c r="BS559" s="32" t="s">
        <v>1225</v>
      </c>
      <c r="BT559" s="32" t="s">
        <v>1225</v>
      </c>
      <c r="BU559" s="32" t="s">
        <v>1225</v>
      </c>
      <c r="BV559" s="32" t="s">
        <v>1225</v>
      </c>
      <c r="BW559" s="32" t="str">
        <f t="shared" si="16"/>
        <v>View Full Record in Web of Science</v>
      </c>
      <c r="BY559" s="41" t="str">
        <f>IF(Deletion!J559=TRUE,"Yes","No")</f>
        <v>Yes</v>
      </c>
    </row>
    <row r="560" spans="1:77" x14ac:dyDescent="0.15">
      <c r="A560" s="32">
        <f t="shared" si="17"/>
        <v>559</v>
      </c>
      <c r="D560" s="32" t="s">
        <v>1223</v>
      </c>
      <c r="E560" s="32" t="s">
        <v>5088</v>
      </c>
      <c r="F560" s="32" t="s">
        <v>1225</v>
      </c>
      <c r="G560" s="32" t="s">
        <v>1225</v>
      </c>
      <c r="H560" s="32" t="s">
        <v>1225</v>
      </c>
      <c r="I560" s="32" t="s">
        <v>5089</v>
      </c>
      <c r="J560" s="32" t="s">
        <v>1225</v>
      </c>
      <c r="K560" s="32" t="s">
        <v>1225</v>
      </c>
      <c r="L560" s="32" t="s">
        <v>5090</v>
      </c>
      <c r="M560" s="32" t="s">
        <v>2044</v>
      </c>
      <c r="N560" s="32" t="s">
        <v>1225</v>
      </c>
      <c r="O560" s="32" t="s">
        <v>1225</v>
      </c>
      <c r="P560" s="32" t="s">
        <v>1225</v>
      </c>
      <c r="Q560" s="32" t="s">
        <v>1227</v>
      </c>
      <c r="R560" s="32" t="s">
        <v>1225</v>
      </c>
      <c r="S560" s="32" t="s">
        <v>1225</v>
      </c>
      <c r="T560" s="32" t="s">
        <v>1225</v>
      </c>
      <c r="U560" s="32" t="s">
        <v>1225</v>
      </c>
      <c r="V560" s="32" t="s">
        <v>1225</v>
      </c>
      <c r="W560" s="32" t="s">
        <v>5091</v>
      </c>
      <c r="X560" s="32" t="s">
        <v>5092</v>
      </c>
      <c r="Y560" s="32" t="s">
        <v>5093</v>
      </c>
      <c r="Z560" s="32" t="s">
        <v>1225</v>
      </c>
      <c r="AA560" s="32" t="s">
        <v>1225</v>
      </c>
      <c r="AB560" s="32" t="s">
        <v>1225</v>
      </c>
      <c r="AC560" s="32" t="s">
        <v>1225</v>
      </c>
      <c r="AD560" s="32" t="s">
        <v>1225</v>
      </c>
      <c r="AE560" s="32" t="s">
        <v>1225</v>
      </c>
      <c r="AF560" s="32" t="s">
        <v>1225</v>
      </c>
      <c r="AG560" s="32" t="s">
        <v>1225</v>
      </c>
      <c r="AH560" s="32" t="s">
        <v>1225</v>
      </c>
      <c r="AI560" s="32" t="s">
        <v>1225</v>
      </c>
      <c r="AJ560" s="32" t="s">
        <v>1225</v>
      </c>
      <c r="AK560" s="32" t="s">
        <v>1225</v>
      </c>
      <c r="AL560" s="32" t="s">
        <v>1225</v>
      </c>
      <c r="AM560" s="32" t="s">
        <v>1225</v>
      </c>
      <c r="AN560" s="32" t="s">
        <v>1225</v>
      </c>
      <c r="AO560" s="32" t="s">
        <v>1225</v>
      </c>
      <c r="AP560" s="32" t="s">
        <v>1225</v>
      </c>
      <c r="AQ560" s="32" t="s">
        <v>1225</v>
      </c>
      <c r="AR560" s="32" t="s">
        <v>1225</v>
      </c>
      <c r="AS560" s="32" t="s">
        <v>1225</v>
      </c>
      <c r="AT560" s="32" t="s">
        <v>1225</v>
      </c>
      <c r="AU560" s="32" t="s">
        <v>1225</v>
      </c>
      <c r="AV560" s="32" t="s">
        <v>1225</v>
      </c>
      <c r="AW560" s="32" t="s">
        <v>1256</v>
      </c>
      <c r="AX560" s="32">
        <v>2020</v>
      </c>
      <c r="AY560" s="32">
        <v>69</v>
      </c>
      <c r="AZ560" s="32">
        <v>12</v>
      </c>
      <c r="BA560" s="32" t="s">
        <v>1225</v>
      </c>
      <c r="BB560" s="32" t="s">
        <v>1225</v>
      </c>
      <c r="BC560" s="32" t="s">
        <v>1225</v>
      </c>
      <c r="BD560" s="32" t="s">
        <v>1225</v>
      </c>
      <c r="BE560" s="32">
        <v>14436</v>
      </c>
      <c r="BF560" s="32">
        <v>14447</v>
      </c>
      <c r="BG560" s="32" t="s">
        <v>1225</v>
      </c>
      <c r="BH560" s="32" t="s">
        <v>5094</v>
      </c>
      <c r="BI560" s="32" t="str">
        <f>HYPERLINK("http://dx.doi.org/10.1109/TVT.2020.3038049","http://dx.doi.org/10.1109/TVT.2020.3038049")</f>
        <v>http://dx.doi.org/10.1109/TVT.2020.3038049</v>
      </c>
      <c r="BJ560" s="32" t="s">
        <v>1225</v>
      </c>
      <c r="BK560" s="32" t="s">
        <v>1225</v>
      </c>
      <c r="BL560" s="32" t="s">
        <v>1225</v>
      </c>
      <c r="BM560" s="32" t="s">
        <v>1225</v>
      </c>
      <c r="BN560" s="32" t="s">
        <v>1225</v>
      </c>
      <c r="BO560" s="32" t="s">
        <v>1225</v>
      </c>
      <c r="BP560" s="32" t="s">
        <v>1225</v>
      </c>
      <c r="BQ560" s="32" t="s">
        <v>1225</v>
      </c>
      <c r="BR560" s="32" t="s">
        <v>1225</v>
      </c>
      <c r="BS560" s="32" t="s">
        <v>1225</v>
      </c>
      <c r="BT560" s="32" t="s">
        <v>1225</v>
      </c>
      <c r="BU560" s="32" t="s">
        <v>1225</v>
      </c>
      <c r="BV560" s="32" t="s">
        <v>1225</v>
      </c>
      <c r="BW560" s="32" t="str">
        <f t="shared" si="16"/>
        <v>View Full Record in Web of Science</v>
      </c>
      <c r="BY560" s="41" t="str">
        <f>IF(Deletion!J560=TRUE,"Yes","No")</f>
        <v>Yes</v>
      </c>
    </row>
    <row r="561" spans="1:77" x14ac:dyDescent="0.15">
      <c r="A561" s="32">
        <f t="shared" si="17"/>
        <v>560</v>
      </c>
      <c r="D561" s="32" t="s">
        <v>1223</v>
      </c>
      <c r="E561" s="32" t="s">
        <v>5095</v>
      </c>
      <c r="F561" s="32" t="s">
        <v>1225</v>
      </c>
      <c r="G561" s="32" t="s">
        <v>1225</v>
      </c>
      <c r="H561" s="32" t="s">
        <v>1225</v>
      </c>
      <c r="I561" s="32" t="s">
        <v>5096</v>
      </c>
      <c r="J561" s="32" t="s">
        <v>1225</v>
      </c>
      <c r="K561" s="32" t="s">
        <v>1225</v>
      </c>
      <c r="L561" s="32" t="s">
        <v>5097</v>
      </c>
      <c r="M561" s="32" t="s">
        <v>882</v>
      </c>
      <c r="N561" s="32" t="s">
        <v>1225</v>
      </c>
      <c r="O561" s="32" t="s">
        <v>1225</v>
      </c>
      <c r="P561" s="32" t="s">
        <v>1225</v>
      </c>
      <c r="Q561" s="32" t="s">
        <v>1227</v>
      </c>
      <c r="R561" s="32" t="s">
        <v>1225</v>
      </c>
      <c r="S561" s="32" t="s">
        <v>1225</v>
      </c>
      <c r="T561" s="32" t="s">
        <v>1225</v>
      </c>
      <c r="U561" s="32" t="s">
        <v>1225</v>
      </c>
      <c r="V561" s="32" t="s">
        <v>1225</v>
      </c>
      <c r="W561" s="32" t="s">
        <v>5098</v>
      </c>
      <c r="X561" s="32" t="s">
        <v>1460</v>
      </c>
      <c r="Y561" s="32" t="s">
        <v>5099</v>
      </c>
      <c r="Z561" s="32" t="s">
        <v>1225</v>
      </c>
      <c r="AA561" s="32" t="s">
        <v>1225</v>
      </c>
      <c r="AB561" s="32" t="s">
        <v>1225</v>
      </c>
      <c r="AC561" s="32" t="s">
        <v>1225</v>
      </c>
      <c r="AD561" s="32" t="s">
        <v>1225</v>
      </c>
      <c r="AE561" s="32" t="s">
        <v>1225</v>
      </c>
      <c r="AF561" s="32" t="s">
        <v>1225</v>
      </c>
      <c r="AG561" s="32" t="s">
        <v>1225</v>
      </c>
      <c r="AH561" s="32" t="s">
        <v>1225</v>
      </c>
      <c r="AI561" s="32" t="s">
        <v>1225</v>
      </c>
      <c r="AJ561" s="32" t="s">
        <v>1225</v>
      </c>
      <c r="AK561" s="32" t="s">
        <v>1225</v>
      </c>
      <c r="AL561" s="32" t="s">
        <v>1225</v>
      </c>
      <c r="AM561" s="32" t="s">
        <v>1225</v>
      </c>
      <c r="AN561" s="32" t="s">
        <v>1225</v>
      </c>
      <c r="AO561" s="32" t="s">
        <v>1225</v>
      </c>
      <c r="AP561" s="32" t="s">
        <v>1225</v>
      </c>
      <c r="AQ561" s="32" t="s">
        <v>1225</v>
      </c>
      <c r="AR561" s="32" t="s">
        <v>1225</v>
      </c>
      <c r="AS561" s="32" t="s">
        <v>1225</v>
      </c>
      <c r="AT561" s="32" t="s">
        <v>1225</v>
      </c>
      <c r="AU561" s="32" t="s">
        <v>1225</v>
      </c>
      <c r="AV561" s="32" t="s">
        <v>1225</v>
      </c>
      <c r="AW561" s="32" t="s">
        <v>3858</v>
      </c>
      <c r="AX561" s="32">
        <v>2019</v>
      </c>
      <c r="AY561" s="32">
        <v>13</v>
      </c>
      <c r="AZ561" s="32">
        <v>16</v>
      </c>
      <c r="BA561" s="32" t="s">
        <v>1225</v>
      </c>
      <c r="BB561" s="32" t="s">
        <v>1225</v>
      </c>
      <c r="BC561" s="32" t="s">
        <v>1225</v>
      </c>
      <c r="BD561" s="32" t="s">
        <v>1225</v>
      </c>
      <c r="BE561" s="32">
        <v>3690</v>
      </c>
      <c r="BF561" s="32">
        <v>3695</v>
      </c>
      <c r="BG561" s="32" t="s">
        <v>1225</v>
      </c>
      <c r="BH561" s="32" t="s">
        <v>5100</v>
      </c>
      <c r="BI561" s="32" t="str">
        <f>HYPERLINK("http://dx.doi.org/10.1049/iet-gtd.2018.6752","http://dx.doi.org/10.1049/iet-gtd.2018.6752")</f>
        <v>http://dx.doi.org/10.1049/iet-gtd.2018.6752</v>
      </c>
      <c r="BJ561" s="32" t="s">
        <v>1225</v>
      </c>
      <c r="BK561" s="32" t="s">
        <v>1225</v>
      </c>
      <c r="BL561" s="32" t="s">
        <v>1225</v>
      </c>
      <c r="BM561" s="32" t="s">
        <v>1225</v>
      </c>
      <c r="BN561" s="32" t="s">
        <v>1225</v>
      </c>
      <c r="BO561" s="32" t="s">
        <v>1225</v>
      </c>
      <c r="BP561" s="32" t="s">
        <v>1225</v>
      </c>
      <c r="BQ561" s="32" t="s">
        <v>1225</v>
      </c>
      <c r="BR561" s="32" t="s">
        <v>1225</v>
      </c>
      <c r="BS561" s="32" t="s">
        <v>1225</v>
      </c>
      <c r="BT561" s="32" t="s">
        <v>1225</v>
      </c>
      <c r="BU561" s="32" t="s">
        <v>1225</v>
      </c>
      <c r="BV561" s="32" t="s">
        <v>1225</v>
      </c>
      <c r="BW561" s="32" t="str">
        <f t="shared" si="16"/>
        <v>View Full Record in Web of Science</v>
      </c>
      <c r="BY561" s="41" t="str">
        <f>IF(Deletion!J561=TRUE,"Yes","No")</f>
        <v>Yes</v>
      </c>
    </row>
    <row r="562" spans="1:77" x14ac:dyDescent="0.15">
      <c r="A562" s="32">
        <f t="shared" si="17"/>
        <v>561</v>
      </c>
      <c r="D562" s="32" t="s">
        <v>1223</v>
      </c>
      <c r="E562" s="32" t="s">
        <v>5101</v>
      </c>
      <c r="F562" s="32" t="s">
        <v>1225</v>
      </c>
      <c r="G562" s="32" t="s">
        <v>1225</v>
      </c>
      <c r="H562" s="32" t="s">
        <v>1225</v>
      </c>
      <c r="I562" s="32" t="s">
        <v>5102</v>
      </c>
      <c r="J562" s="32" t="s">
        <v>1225</v>
      </c>
      <c r="K562" s="32" t="s">
        <v>1225</v>
      </c>
      <c r="L562" s="32" t="s">
        <v>5103</v>
      </c>
      <c r="M562" s="32" t="s">
        <v>5104</v>
      </c>
      <c r="N562" s="32" t="s">
        <v>1225</v>
      </c>
      <c r="O562" s="32" t="s">
        <v>1225</v>
      </c>
      <c r="P562" s="32" t="s">
        <v>1225</v>
      </c>
      <c r="Q562" s="32" t="s">
        <v>1227</v>
      </c>
      <c r="R562" s="32" t="s">
        <v>1225</v>
      </c>
      <c r="S562" s="32" t="s">
        <v>1225</v>
      </c>
      <c r="T562" s="32" t="s">
        <v>1225</v>
      </c>
      <c r="U562" s="32" t="s">
        <v>1225</v>
      </c>
      <c r="V562" s="32" t="s">
        <v>1225</v>
      </c>
      <c r="W562" s="32" t="s">
        <v>5105</v>
      </c>
      <c r="X562" s="32" t="s">
        <v>5106</v>
      </c>
      <c r="Y562" s="32" t="s">
        <v>5107</v>
      </c>
      <c r="Z562" s="32" t="s">
        <v>1225</v>
      </c>
      <c r="AA562" s="32" t="s">
        <v>1225</v>
      </c>
      <c r="AB562" s="32" t="s">
        <v>1225</v>
      </c>
      <c r="AC562" s="32" t="s">
        <v>1225</v>
      </c>
      <c r="AD562" s="32" t="s">
        <v>1225</v>
      </c>
      <c r="AE562" s="32" t="s">
        <v>1225</v>
      </c>
      <c r="AF562" s="32" t="s">
        <v>1225</v>
      </c>
      <c r="AG562" s="32" t="s">
        <v>1225</v>
      </c>
      <c r="AH562" s="32" t="s">
        <v>1225</v>
      </c>
      <c r="AI562" s="32" t="s">
        <v>1225</v>
      </c>
      <c r="AJ562" s="32" t="s">
        <v>1225</v>
      </c>
      <c r="AK562" s="32" t="s">
        <v>1225</v>
      </c>
      <c r="AL562" s="32" t="s">
        <v>1225</v>
      </c>
      <c r="AM562" s="32" t="s">
        <v>1225</v>
      </c>
      <c r="AN562" s="32" t="s">
        <v>1225</v>
      </c>
      <c r="AO562" s="32" t="s">
        <v>1225</v>
      </c>
      <c r="AP562" s="32" t="s">
        <v>1225</v>
      </c>
      <c r="AQ562" s="32" t="s">
        <v>1225</v>
      </c>
      <c r="AR562" s="32" t="s">
        <v>1225</v>
      </c>
      <c r="AS562" s="32" t="s">
        <v>1225</v>
      </c>
      <c r="AT562" s="32" t="s">
        <v>1225</v>
      </c>
      <c r="AU562" s="32" t="s">
        <v>1225</v>
      </c>
      <c r="AV562" s="32" t="s">
        <v>1225</v>
      </c>
      <c r="AW562" s="32" t="s">
        <v>1239</v>
      </c>
      <c r="AX562" s="32">
        <v>2013</v>
      </c>
      <c r="AY562" s="32">
        <v>21</v>
      </c>
      <c r="AZ562" s="32">
        <v>4</v>
      </c>
      <c r="BA562" s="32" t="s">
        <v>1225</v>
      </c>
      <c r="BB562" s="32" t="s">
        <v>1225</v>
      </c>
      <c r="BC562" s="32" t="s">
        <v>1225</v>
      </c>
      <c r="BD562" s="32" t="s">
        <v>1225</v>
      </c>
      <c r="BE562" s="32">
        <v>1374</v>
      </c>
      <c r="BF562" s="32">
        <v>1385</v>
      </c>
      <c r="BG562" s="32" t="s">
        <v>1225</v>
      </c>
      <c r="BH562" s="32" t="s">
        <v>5108</v>
      </c>
      <c r="BI562" s="32" t="str">
        <f>HYPERLINK("http://dx.doi.org/10.1109/TCST.2012.2208752","http://dx.doi.org/10.1109/TCST.2012.2208752")</f>
        <v>http://dx.doi.org/10.1109/TCST.2012.2208752</v>
      </c>
      <c r="BJ562" s="32" t="s">
        <v>1225</v>
      </c>
      <c r="BK562" s="32" t="s">
        <v>1225</v>
      </c>
      <c r="BL562" s="32" t="s">
        <v>1225</v>
      </c>
      <c r="BM562" s="32" t="s">
        <v>1225</v>
      </c>
      <c r="BN562" s="32" t="s">
        <v>1225</v>
      </c>
      <c r="BO562" s="32" t="s">
        <v>1225</v>
      </c>
      <c r="BP562" s="32" t="s">
        <v>1225</v>
      </c>
      <c r="BQ562" s="32" t="s">
        <v>1225</v>
      </c>
      <c r="BR562" s="32" t="s">
        <v>1225</v>
      </c>
      <c r="BS562" s="32" t="s">
        <v>1225</v>
      </c>
      <c r="BT562" s="32" t="s">
        <v>1225</v>
      </c>
      <c r="BU562" s="32" t="s">
        <v>1225</v>
      </c>
      <c r="BV562" s="32" t="s">
        <v>1225</v>
      </c>
      <c r="BW562" s="32" t="str">
        <f t="shared" si="16"/>
        <v>View Full Record in Web of Science</v>
      </c>
      <c r="BY562" s="41" t="str">
        <f>IF(Deletion!J562=TRUE,"Yes","No")</f>
        <v>Yes</v>
      </c>
    </row>
    <row r="563" spans="1:77" x14ac:dyDescent="0.15">
      <c r="A563" s="34">
        <f t="shared" si="17"/>
        <v>562</v>
      </c>
      <c r="B563" s="34" t="s">
        <v>4</v>
      </c>
      <c r="C563" s="34" t="s">
        <v>4</v>
      </c>
      <c r="D563" s="34" t="s">
        <v>1223</v>
      </c>
      <c r="E563" s="34" t="s">
        <v>5109</v>
      </c>
      <c r="F563" s="32" t="s">
        <v>1225</v>
      </c>
      <c r="G563" s="32" t="s">
        <v>1225</v>
      </c>
      <c r="H563" s="32" t="s">
        <v>1225</v>
      </c>
      <c r="I563" s="34" t="s">
        <v>5110</v>
      </c>
      <c r="J563" s="32" t="s">
        <v>1225</v>
      </c>
      <c r="K563" s="32" t="s">
        <v>1225</v>
      </c>
      <c r="L563" s="34" t="s">
        <v>5111</v>
      </c>
      <c r="M563" s="34" t="s">
        <v>5112</v>
      </c>
      <c r="N563" s="32" t="s">
        <v>1225</v>
      </c>
      <c r="O563" s="32" t="s">
        <v>1225</v>
      </c>
      <c r="P563" s="32" t="s">
        <v>1225</v>
      </c>
      <c r="Q563" s="34" t="s">
        <v>1795</v>
      </c>
      <c r="R563" s="32" t="s">
        <v>1225</v>
      </c>
      <c r="S563" s="32" t="s">
        <v>1225</v>
      </c>
      <c r="T563" s="32" t="s">
        <v>1225</v>
      </c>
      <c r="U563" s="32" t="s">
        <v>1225</v>
      </c>
      <c r="V563" s="32" t="s">
        <v>1225</v>
      </c>
      <c r="W563" s="34" t="s">
        <v>5113</v>
      </c>
      <c r="X563" s="34" t="s">
        <v>1225</v>
      </c>
      <c r="Y563" s="34" t="s">
        <v>5114</v>
      </c>
      <c r="Z563" s="32" t="s">
        <v>1225</v>
      </c>
      <c r="AA563" s="32" t="s">
        <v>1225</v>
      </c>
      <c r="AB563" s="32" t="s">
        <v>1225</v>
      </c>
      <c r="AC563" s="32" t="s">
        <v>1225</v>
      </c>
      <c r="AD563" s="32" t="s">
        <v>1225</v>
      </c>
      <c r="AE563" s="32" t="s">
        <v>1225</v>
      </c>
      <c r="AF563" s="32" t="s">
        <v>1225</v>
      </c>
      <c r="AG563" s="32" t="s">
        <v>1225</v>
      </c>
      <c r="AH563" s="32" t="s">
        <v>1225</v>
      </c>
      <c r="AI563" s="32" t="s">
        <v>1225</v>
      </c>
      <c r="AJ563" s="32" t="s">
        <v>1225</v>
      </c>
      <c r="AK563" s="32" t="s">
        <v>1225</v>
      </c>
      <c r="AL563" s="32" t="s">
        <v>1225</v>
      </c>
      <c r="AM563" s="32" t="s">
        <v>1225</v>
      </c>
      <c r="AN563" s="32" t="s">
        <v>1225</v>
      </c>
      <c r="AO563" s="32" t="s">
        <v>1225</v>
      </c>
      <c r="AP563" s="32" t="s">
        <v>1225</v>
      </c>
      <c r="AQ563" s="32" t="s">
        <v>1225</v>
      </c>
      <c r="AR563" s="32" t="s">
        <v>1225</v>
      </c>
      <c r="AS563" s="32" t="s">
        <v>1225</v>
      </c>
      <c r="AT563" s="32" t="s">
        <v>1225</v>
      </c>
      <c r="AU563" s="32" t="s">
        <v>1225</v>
      </c>
      <c r="AV563" s="32" t="s">
        <v>1225</v>
      </c>
      <c r="AW563" s="34" t="s">
        <v>1239</v>
      </c>
      <c r="AX563" s="34">
        <v>2013</v>
      </c>
      <c r="AY563" s="32">
        <v>49</v>
      </c>
      <c r="AZ563" s="32">
        <v>7</v>
      </c>
      <c r="BA563" s="32" t="s">
        <v>1225</v>
      </c>
      <c r="BB563" s="32" t="s">
        <v>1225</v>
      </c>
      <c r="BC563" s="32" t="s">
        <v>1225</v>
      </c>
      <c r="BD563" s="32" t="s">
        <v>1225</v>
      </c>
      <c r="BE563" s="32">
        <v>4005</v>
      </c>
      <c r="BF563" s="32">
        <v>4008</v>
      </c>
      <c r="BG563" s="32" t="s">
        <v>1225</v>
      </c>
      <c r="BH563" s="34" t="s">
        <v>5115</v>
      </c>
      <c r="BI563" s="34" t="str">
        <f>HYPERLINK("http://dx.doi.org/10.1109/TMAG.2013.2239267","http://dx.doi.org/10.1109/TMAG.2013.2239267")</f>
        <v>http://dx.doi.org/10.1109/TMAG.2013.2239267</v>
      </c>
      <c r="BJ563" s="32" t="s">
        <v>1225</v>
      </c>
      <c r="BK563" s="32" t="s">
        <v>1225</v>
      </c>
      <c r="BL563" s="32" t="s">
        <v>1225</v>
      </c>
      <c r="BM563" s="32" t="s">
        <v>1225</v>
      </c>
      <c r="BN563" s="32" t="s">
        <v>1225</v>
      </c>
      <c r="BO563" s="32" t="s">
        <v>1225</v>
      </c>
      <c r="BP563" s="32" t="s">
        <v>1225</v>
      </c>
      <c r="BQ563" s="32" t="s">
        <v>1225</v>
      </c>
      <c r="BR563" s="32" t="s">
        <v>1225</v>
      </c>
      <c r="BS563" s="32" t="s">
        <v>1225</v>
      </c>
      <c r="BT563" s="32" t="s">
        <v>1225</v>
      </c>
      <c r="BU563" s="32" t="s">
        <v>1225</v>
      </c>
      <c r="BV563" s="32" t="s">
        <v>1225</v>
      </c>
      <c r="BW563" s="32" t="str">
        <f t="shared" si="16"/>
        <v>View Full Record in Web of Science</v>
      </c>
      <c r="BY563" s="41" t="str">
        <f>IF(Deletion!J563=TRUE,"Yes","No")</f>
        <v>No</v>
      </c>
    </row>
    <row r="564" spans="1:77" x14ac:dyDescent="0.15">
      <c r="A564" s="32">
        <f t="shared" si="17"/>
        <v>563</v>
      </c>
      <c r="D564" s="32" t="s">
        <v>1223</v>
      </c>
      <c r="E564" s="32" t="s">
        <v>5116</v>
      </c>
      <c r="F564" s="32" t="s">
        <v>1225</v>
      </c>
      <c r="G564" s="32" t="s">
        <v>1225</v>
      </c>
      <c r="H564" s="32" t="s">
        <v>1225</v>
      </c>
      <c r="I564" s="32" t="s">
        <v>5117</v>
      </c>
      <c r="J564" s="32" t="s">
        <v>1225</v>
      </c>
      <c r="K564" s="32" t="s">
        <v>1225</v>
      </c>
      <c r="L564" s="32" t="s">
        <v>5118</v>
      </c>
      <c r="M564" s="32" t="s">
        <v>68</v>
      </c>
      <c r="N564" s="32" t="s">
        <v>1225</v>
      </c>
      <c r="O564" s="32" t="s">
        <v>1225</v>
      </c>
      <c r="P564" s="32" t="s">
        <v>1225</v>
      </c>
      <c r="Q564" s="32" t="s">
        <v>1227</v>
      </c>
      <c r="R564" s="32" t="s">
        <v>1225</v>
      </c>
      <c r="S564" s="32" t="s">
        <v>1225</v>
      </c>
      <c r="T564" s="32" t="s">
        <v>1225</v>
      </c>
      <c r="U564" s="32" t="s">
        <v>1225</v>
      </c>
      <c r="V564" s="32" t="s">
        <v>1225</v>
      </c>
      <c r="W564" s="32" t="s">
        <v>5119</v>
      </c>
      <c r="X564" s="32" t="s">
        <v>5120</v>
      </c>
      <c r="Y564" s="32" t="s">
        <v>5121</v>
      </c>
      <c r="Z564" s="32" t="s">
        <v>1225</v>
      </c>
      <c r="AA564" s="32" t="s">
        <v>1225</v>
      </c>
      <c r="AB564" s="32" t="s">
        <v>1225</v>
      </c>
      <c r="AC564" s="32" t="s">
        <v>1225</v>
      </c>
      <c r="AD564" s="32" t="s">
        <v>1225</v>
      </c>
      <c r="AE564" s="32" t="s">
        <v>1225</v>
      </c>
      <c r="AF564" s="32" t="s">
        <v>1225</v>
      </c>
      <c r="AG564" s="32" t="s">
        <v>1225</v>
      </c>
      <c r="AH564" s="32" t="s">
        <v>1225</v>
      </c>
      <c r="AI564" s="32" t="s">
        <v>1225</v>
      </c>
      <c r="AJ564" s="32" t="s">
        <v>1225</v>
      </c>
      <c r="AK564" s="32" t="s">
        <v>1225</v>
      </c>
      <c r="AL564" s="32" t="s">
        <v>1225</v>
      </c>
      <c r="AM564" s="32" t="s">
        <v>1225</v>
      </c>
      <c r="AN564" s="32" t="s">
        <v>1225</v>
      </c>
      <c r="AO564" s="32" t="s">
        <v>1225</v>
      </c>
      <c r="AP564" s="32" t="s">
        <v>1225</v>
      </c>
      <c r="AQ564" s="32" t="s">
        <v>1225</v>
      </c>
      <c r="AR564" s="32" t="s">
        <v>1225</v>
      </c>
      <c r="AS564" s="32" t="s">
        <v>1225</v>
      </c>
      <c r="AT564" s="32" t="s">
        <v>1225</v>
      </c>
      <c r="AU564" s="32" t="s">
        <v>1225</v>
      </c>
      <c r="AV564" s="32" t="s">
        <v>1225</v>
      </c>
      <c r="AW564" s="32" t="s">
        <v>1225</v>
      </c>
      <c r="AX564" s="32">
        <v>2022</v>
      </c>
      <c r="AY564" s="32">
        <v>10</v>
      </c>
      <c r="AZ564" s="32" t="s">
        <v>1225</v>
      </c>
      <c r="BA564" s="32" t="s">
        <v>1225</v>
      </c>
      <c r="BB564" s="32" t="s">
        <v>1225</v>
      </c>
      <c r="BC564" s="32" t="s">
        <v>1225</v>
      </c>
      <c r="BD564" s="32" t="s">
        <v>1225</v>
      </c>
      <c r="BE564" s="32">
        <v>5281</v>
      </c>
      <c r="BF564" s="32">
        <v>5291</v>
      </c>
      <c r="BG564" s="32" t="s">
        <v>1225</v>
      </c>
      <c r="BH564" s="32" t="s">
        <v>5122</v>
      </c>
      <c r="BI564" s="32" t="str">
        <f>HYPERLINK("http://dx.doi.org/10.1109/ACCESS.2022.3141377","http://dx.doi.org/10.1109/ACCESS.2022.3141377")</f>
        <v>http://dx.doi.org/10.1109/ACCESS.2022.3141377</v>
      </c>
      <c r="BJ564" s="32" t="s">
        <v>1225</v>
      </c>
      <c r="BK564" s="32" t="s">
        <v>1225</v>
      </c>
      <c r="BL564" s="32" t="s">
        <v>1225</v>
      </c>
      <c r="BM564" s="32" t="s">
        <v>1225</v>
      </c>
      <c r="BN564" s="32" t="s">
        <v>1225</v>
      </c>
      <c r="BO564" s="32" t="s">
        <v>1225</v>
      </c>
      <c r="BP564" s="32" t="s">
        <v>1225</v>
      </c>
      <c r="BQ564" s="32" t="s">
        <v>1225</v>
      </c>
      <c r="BR564" s="32" t="s">
        <v>1225</v>
      </c>
      <c r="BS564" s="32" t="s">
        <v>1225</v>
      </c>
      <c r="BT564" s="32" t="s">
        <v>1225</v>
      </c>
      <c r="BU564" s="32" t="s">
        <v>1225</v>
      </c>
      <c r="BV564" s="32" t="s">
        <v>1225</v>
      </c>
      <c r="BW564" s="32" t="str">
        <f t="shared" si="16"/>
        <v>View Full Record in Web of Science</v>
      </c>
      <c r="BY564" s="41" t="str">
        <f>IF(Deletion!J564=TRUE,"Yes","No")</f>
        <v>Yes</v>
      </c>
    </row>
    <row r="565" spans="1:77" x14ac:dyDescent="0.15">
      <c r="A565" s="32">
        <f t="shared" si="17"/>
        <v>564</v>
      </c>
      <c r="D565" s="32" t="s">
        <v>1223</v>
      </c>
      <c r="E565" s="32" t="s">
        <v>5123</v>
      </c>
      <c r="F565" s="32" t="s">
        <v>1225</v>
      </c>
      <c r="G565" s="32" t="s">
        <v>1225</v>
      </c>
      <c r="H565" s="32" t="s">
        <v>1225</v>
      </c>
      <c r="I565" s="32" t="s">
        <v>5124</v>
      </c>
      <c r="J565" s="32" t="s">
        <v>1225</v>
      </c>
      <c r="K565" s="32" t="s">
        <v>1225</v>
      </c>
      <c r="L565" s="32" t="s">
        <v>5125</v>
      </c>
      <c r="M565" s="32" t="s">
        <v>2193</v>
      </c>
      <c r="N565" s="32" t="s">
        <v>1225</v>
      </c>
      <c r="O565" s="32" t="s">
        <v>1225</v>
      </c>
      <c r="P565" s="32" t="s">
        <v>1225</v>
      </c>
      <c r="Q565" s="32" t="s">
        <v>1227</v>
      </c>
      <c r="R565" s="32" t="s">
        <v>1225</v>
      </c>
      <c r="S565" s="32" t="s">
        <v>1225</v>
      </c>
      <c r="T565" s="32" t="s">
        <v>1225</v>
      </c>
      <c r="U565" s="32" t="s">
        <v>1225</v>
      </c>
      <c r="V565" s="32" t="s">
        <v>1225</v>
      </c>
      <c r="W565" s="32" t="s">
        <v>5126</v>
      </c>
      <c r="X565" s="32" t="s">
        <v>5127</v>
      </c>
      <c r="Y565" s="32" t="s">
        <v>5128</v>
      </c>
      <c r="Z565" s="32" t="s">
        <v>1225</v>
      </c>
      <c r="AA565" s="32" t="s">
        <v>1225</v>
      </c>
      <c r="AB565" s="32" t="s">
        <v>1225</v>
      </c>
      <c r="AC565" s="32" t="s">
        <v>1225</v>
      </c>
      <c r="AD565" s="32" t="s">
        <v>1225</v>
      </c>
      <c r="AE565" s="32" t="s">
        <v>1225</v>
      </c>
      <c r="AF565" s="32" t="s">
        <v>1225</v>
      </c>
      <c r="AG565" s="32" t="s">
        <v>1225</v>
      </c>
      <c r="AH565" s="32" t="s">
        <v>1225</v>
      </c>
      <c r="AI565" s="32" t="s">
        <v>1225</v>
      </c>
      <c r="AJ565" s="32" t="s">
        <v>1225</v>
      </c>
      <c r="AK565" s="32" t="s">
        <v>1225</v>
      </c>
      <c r="AL565" s="32" t="s">
        <v>1225</v>
      </c>
      <c r="AM565" s="32" t="s">
        <v>1225</v>
      </c>
      <c r="AN565" s="32" t="s">
        <v>1225</v>
      </c>
      <c r="AO565" s="32" t="s">
        <v>1225</v>
      </c>
      <c r="AP565" s="32" t="s">
        <v>1225</v>
      </c>
      <c r="AQ565" s="32" t="s">
        <v>1225</v>
      </c>
      <c r="AR565" s="32" t="s">
        <v>1225</v>
      </c>
      <c r="AS565" s="32" t="s">
        <v>1225</v>
      </c>
      <c r="AT565" s="32" t="s">
        <v>1225</v>
      </c>
      <c r="AU565" s="32" t="s">
        <v>1225</v>
      </c>
      <c r="AV565" s="32" t="s">
        <v>1225</v>
      </c>
      <c r="AW565" s="32" t="s">
        <v>1317</v>
      </c>
      <c r="AX565" s="32">
        <v>2021</v>
      </c>
      <c r="AY565" s="32">
        <v>45</v>
      </c>
      <c r="AZ565" s="32">
        <v>1</v>
      </c>
      <c r="BA565" s="32" t="s">
        <v>1225</v>
      </c>
      <c r="BB565" s="32" t="s">
        <v>1225</v>
      </c>
      <c r="BC565" s="32" t="s">
        <v>1511</v>
      </c>
      <c r="BD565" s="32" t="s">
        <v>1225</v>
      </c>
      <c r="BE565" s="32">
        <v>841</v>
      </c>
      <c r="BF565" s="32">
        <v>863</v>
      </c>
      <c r="BG565" s="32" t="s">
        <v>1225</v>
      </c>
      <c r="BH565" s="32" t="s">
        <v>5129</v>
      </c>
      <c r="BI565" s="32" t="str">
        <f>HYPERLINK("http://dx.doi.org/10.1002/er.5967","http://dx.doi.org/10.1002/er.5967")</f>
        <v>http://dx.doi.org/10.1002/er.5967</v>
      </c>
      <c r="BJ565" s="32" t="s">
        <v>1225</v>
      </c>
      <c r="BK565" s="32" t="s">
        <v>5130</v>
      </c>
      <c r="BL565" s="32" t="s">
        <v>1225</v>
      </c>
      <c r="BM565" s="32" t="s">
        <v>1225</v>
      </c>
      <c r="BN565" s="32" t="s">
        <v>1225</v>
      </c>
      <c r="BO565" s="32" t="s">
        <v>1225</v>
      </c>
      <c r="BP565" s="32" t="s">
        <v>1225</v>
      </c>
      <c r="BQ565" s="32" t="s">
        <v>1225</v>
      </c>
      <c r="BR565" s="32" t="s">
        <v>1225</v>
      </c>
      <c r="BS565" s="32" t="s">
        <v>1225</v>
      </c>
      <c r="BT565" s="32" t="s">
        <v>1225</v>
      </c>
      <c r="BU565" s="32" t="s">
        <v>1225</v>
      </c>
      <c r="BV565" s="32" t="s">
        <v>1225</v>
      </c>
      <c r="BW565" s="32" t="str">
        <f t="shared" si="16"/>
        <v>View Full Record in Web of Science</v>
      </c>
      <c r="BY565" s="41" t="str">
        <f>IF(Deletion!J565=TRUE,"Yes","No")</f>
        <v>Yes</v>
      </c>
    </row>
    <row r="566" spans="1:77" x14ac:dyDescent="0.15">
      <c r="A566" s="32">
        <f t="shared" si="17"/>
        <v>565</v>
      </c>
      <c r="D566" s="32" t="s">
        <v>1223</v>
      </c>
      <c r="E566" s="32" t="s">
        <v>1414</v>
      </c>
      <c r="F566" s="32" t="s">
        <v>1225</v>
      </c>
      <c r="G566" s="32" t="s">
        <v>1225</v>
      </c>
      <c r="H566" s="32" t="s">
        <v>1225</v>
      </c>
      <c r="I566" s="32" t="s">
        <v>1415</v>
      </c>
      <c r="J566" s="32" t="s">
        <v>1225</v>
      </c>
      <c r="K566" s="32" t="s">
        <v>1225</v>
      </c>
      <c r="L566" s="32" t="s">
        <v>5131</v>
      </c>
      <c r="M566" s="32" t="s">
        <v>68</v>
      </c>
      <c r="N566" s="32" t="s">
        <v>1225</v>
      </c>
      <c r="O566" s="32" t="s">
        <v>1225</v>
      </c>
      <c r="P566" s="32" t="s">
        <v>1225</v>
      </c>
      <c r="Q566" s="32" t="s">
        <v>1227</v>
      </c>
      <c r="R566" s="32" t="s">
        <v>1225</v>
      </c>
      <c r="S566" s="32" t="s">
        <v>1225</v>
      </c>
      <c r="T566" s="32" t="s">
        <v>1225</v>
      </c>
      <c r="U566" s="32" t="s">
        <v>1225</v>
      </c>
      <c r="V566" s="32" t="s">
        <v>1225</v>
      </c>
      <c r="W566" s="32" t="s">
        <v>5132</v>
      </c>
      <c r="X566" s="32" t="s">
        <v>3487</v>
      </c>
      <c r="Y566" s="32" t="s">
        <v>5133</v>
      </c>
      <c r="Z566" s="32" t="s">
        <v>1225</v>
      </c>
      <c r="AA566" s="32" t="s">
        <v>1225</v>
      </c>
      <c r="AB566" s="32" t="s">
        <v>1225</v>
      </c>
      <c r="AC566" s="32" t="s">
        <v>1225</v>
      </c>
      <c r="AD566" s="32" t="s">
        <v>1225</v>
      </c>
      <c r="AE566" s="32" t="s">
        <v>1225</v>
      </c>
      <c r="AF566" s="32" t="s">
        <v>1225</v>
      </c>
      <c r="AG566" s="32" t="s">
        <v>1225</v>
      </c>
      <c r="AH566" s="32" t="s">
        <v>1225</v>
      </c>
      <c r="AI566" s="32" t="s">
        <v>1225</v>
      </c>
      <c r="AJ566" s="32" t="s">
        <v>1225</v>
      </c>
      <c r="AK566" s="32" t="s">
        <v>1225</v>
      </c>
      <c r="AL566" s="32" t="s">
        <v>1225</v>
      </c>
      <c r="AM566" s="32" t="s">
        <v>1225</v>
      </c>
      <c r="AN566" s="32" t="s">
        <v>1225</v>
      </c>
      <c r="AO566" s="32" t="s">
        <v>1225</v>
      </c>
      <c r="AP566" s="32" t="s">
        <v>1225</v>
      </c>
      <c r="AQ566" s="32" t="s">
        <v>1225</v>
      </c>
      <c r="AR566" s="32" t="s">
        <v>1225</v>
      </c>
      <c r="AS566" s="32" t="s">
        <v>1225</v>
      </c>
      <c r="AT566" s="32" t="s">
        <v>1225</v>
      </c>
      <c r="AU566" s="32" t="s">
        <v>1225</v>
      </c>
      <c r="AV566" s="32" t="s">
        <v>1225</v>
      </c>
      <c r="AW566" s="32" t="s">
        <v>1225</v>
      </c>
      <c r="AX566" s="32">
        <v>2021</v>
      </c>
      <c r="AY566" s="32">
        <v>9</v>
      </c>
      <c r="AZ566" s="32" t="s">
        <v>1225</v>
      </c>
      <c r="BA566" s="32" t="s">
        <v>1225</v>
      </c>
      <c r="BB566" s="32" t="s">
        <v>1225</v>
      </c>
      <c r="BC566" s="32" t="s">
        <v>1225</v>
      </c>
      <c r="BD566" s="32" t="s">
        <v>1225</v>
      </c>
      <c r="BE566" s="32">
        <v>111576</v>
      </c>
      <c r="BF566" s="32">
        <v>111586</v>
      </c>
      <c r="BG566" s="32" t="s">
        <v>1225</v>
      </c>
      <c r="BH566" s="32" t="s">
        <v>5134</v>
      </c>
      <c r="BI566" s="32" t="str">
        <f>HYPERLINK("http://dx.doi.org/10.1109/ACCESS.2021.3103119","http://dx.doi.org/10.1109/ACCESS.2021.3103119")</f>
        <v>http://dx.doi.org/10.1109/ACCESS.2021.3103119</v>
      </c>
      <c r="BJ566" s="32" t="s">
        <v>1225</v>
      </c>
      <c r="BK566" s="32" t="s">
        <v>1225</v>
      </c>
      <c r="BL566" s="32" t="s">
        <v>1225</v>
      </c>
      <c r="BM566" s="32" t="s">
        <v>1225</v>
      </c>
      <c r="BN566" s="32" t="s">
        <v>1225</v>
      </c>
      <c r="BO566" s="32" t="s">
        <v>1225</v>
      </c>
      <c r="BP566" s="32" t="s">
        <v>1225</v>
      </c>
      <c r="BQ566" s="32" t="s">
        <v>1225</v>
      </c>
      <c r="BR566" s="32" t="s">
        <v>1225</v>
      </c>
      <c r="BS566" s="32" t="s">
        <v>1225</v>
      </c>
      <c r="BT566" s="32" t="s">
        <v>1225</v>
      </c>
      <c r="BU566" s="32" t="s">
        <v>1225</v>
      </c>
      <c r="BV566" s="32" t="s">
        <v>1225</v>
      </c>
      <c r="BW566" s="32" t="str">
        <f t="shared" si="16"/>
        <v>View Full Record in Web of Science</v>
      </c>
      <c r="BY566" s="41" t="str">
        <f>IF(Deletion!J566=TRUE,"Yes","No")</f>
        <v>Yes</v>
      </c>
    </row>
    <row r="567" spans="1:77" x14ac:dyDescent="0.15">
      <c r="A567" s="32">
        <f t="shared" si="17"/>
        <v>566</v>
      </c>
      <c r="D567" s="32" t="s">
        <v>1223</v>
      </c>
      <c r="E567" s="32" t="s">
        <v>5135</v>
      </c>
      <c r="F567" s="32" t="s">
        <v>1225</v>
      </c>
      <c r="G567" s="32" t="s">
        <v>1225</v>
      </c>
      <c r="H567" s="32" t="s">
        <v>1225</v>
      </c>
      <c r="I567" s="32" t="s">
        <v>5136</v>
      </c>
      <c r="J567" s="32" t="s">
        <v>1225</v>
      </c>
      <c r="K567" s="32" t="s">
        <v>1225</v>
      </c>
      <c r="L567" s="32" t="s">
        <v>5137</v>
      </c>
      <c r="M567" s="32" t="s">
        <v>422</v>
      </c>
      <c r="N567" s="32" t="s">
        <v>1225</v>
      </c>
      <c r="O567" s="32" t="s">
        <v>1225</v>
      </c>
      <c r="P567" s="32" t="s">
        <v>1225</v>
      </c>
      <c r="Q567" s="32" t="s">
        <v>1227</v>
      </c>
      <c r="R567" s="32" t="s">
        <v>1225</v>
      </c>
      <c r="S567" s="32" t="s">
        <v>1225</v>
      </c>
      <c r="T567" s="32" t="s">
        <v>1225</v>
      </c>
      <c r="U567" s="32" t="s">
        <v>1225</v>
      </c>
      <c r="V567" s="32" t="s">
        <v>1225</v>
      </c>
      <c r="W567" s="32" t="s">
        <v>5138</v>
      </c>
      <c r="X567" s="32" t="s">
        <v>5139</v>
      </c>
      <c r="Y567" s="32" t="s">
        <v>5140</v>
      </c>
      <c r="Z567" s="32" t="s">
        <v>1225</v>
      </c>
      <c r="AA567" s="32" t="s">
        <v>1225</v>
      </c>
      <c r="AB567" s="32" t="s">
        <v>1225</v>
      </c>
      <c r="AC567" s="32" t="s">
        <v>1225</v>
      </c>
      <c r="AD567" s="32" t="s">
        <v>1225</v>
      </c>
      <c r="AE567" s="32" t="s">
        <v>1225</v>
      </c>
      <c r="AF567" s="32" t="s">
        <v>1225</v>
      </c>
      <c r="AG567" s="32" t="s">
        <v>1225</v>
      </c>
      <c r="AH567" s="32" t="s">
        <v>1225</v>
      </c>
      <c r="AI567" s="32" t="s">
        <v>1225</v>
      </c>
      <c r="AJ567" s="32" t="s">
        <v>1225</v>
      </c>
      <c r="AK567" s="32" t="s">
        <v>1225</v>
      </c>
      <c r="AL567" s="32" t="s">
        <v>1225</v>
      </c>
      <c r="AM567" s="32" t="s">
        <v>1225</v>
      </c>
      <c r="AN567" s="32" t="s">
        <v>1225</v>
      </c>
      <c r="AO567" s="32" t="s">
        <v>1225</v>
      </c>
      <c r="AP567" s="32" t="s">
        <v>1225</v>
      </c>
      <c r="AQ567" s="32" t="s">
        <v>1225</v>
      </c>
      <c r="AR567" s="32" t="s">
        <v>1225</v>
      </c>
      <c r="AS567" s="32" t="s">
        <v>1225</v>
      </c>
      <c r="AT567" s="32" t="s">
        <v>1225</v>
      </c>
      <c r="AU567" s="32" t="s">
        <v>1225</v>
      </c>
      <c r="AV567" s="32" t="s">
        <v>1225</v>
      </c>
      <c r="AW567" s="32" t="s">
        <v>1285</v>
      </c>
      <c r="AX567" s="32">
        <v>2017</v>
      </c>
      <c r="AY567" s="32">
        <v>10</v>
      </c>
      <c r="AZ567" s="32">
        <v>5</v>
      </c>
      <c r="BA567" s="32" t="s">
        <v>1225</v>
      </c>
      <c r="BB567" s="32" t="s">
        <v>1225</v>
      </c>
      <c r="BC567" s="32" t="s">
        <v>1225</v>
      </c>
      <c r="BD567" s="32" t="s">
        <v>1225</v>
      </c>
      <c r="BE567" s="32" t="s">
        <v>1225</v>
      </c>
      <c r="BF567" s="32" t="s">
        <v>1225</v>
      </c>
      <c r="BG567" s="32">
        <v>653</v>
      </c>
      <c r="BH567" s="32" t="s">
        <v>5141</v>
      </c>
      <c r="BI567" s="32" t="str">
        <f>HYPERLINK("http://dx.doi.org/10.3390/en10050653","http://dx.doi.org/10.3390/en10050653")</f>
        <v>http://dx.doi.org/10.3390/en10050653</v>
      </c>
      <c r="BJ567" s="32" t="s">
        <v>1225</v>
      </c>
      <c r="BK567" s="32" t="s">
        <v>1225</v>
      </c>
      <c r="BL567" s="32" t="s">
        <v>1225</v>
      </c>
      <c r="BM567" s="32" t="s">
        <v>1225</v>
      </c>
      <c r="BN567" s="32" t="s">
        <v>1225</v>
      </c>
      <c r="BO567" s="32" t="s">
        <v>1225</v>
      </c>
      <c r="BP567" s="32" t="s">
        <v>1225</v>
      </c>
      <c r="BQ567" s="32" t="s">
        <v>1225</v>
      </c>
      <c r="BR567" s="32" t="s">
        <v>1225</v>
      </c>
      <c r="BS567" s="32" t="s">
        <v>1225</v>
      </c>
      <c r="BT567" s="32" t="s">
        <v>1225</v>
      </c>
      <c r="BU567" s="32" t="s">
        <v>1225</v>
      </c>
      <c r="BV567" s="32" t="s">
        <v>1225</v>
      </c>
      <c r="BW567" s="32" t="str">
        <f t="shared" si="16"/>
        <v>View Full Record in Web of Science</v>
      </c>
      <c r="BY567" s="41" t="str">
        <f>IF(Deletion!J567=TRUE,"Yes","No")</f>
        <v>Yes</v>
      </c>
    </row>
    <row r="568" spans="1:77" x14ac:dyDescent="0.15">
      <c r="A568" s="32">
        <f t="shared" si="17"/>
        <v>567</v>
      </c>
      <c r="D568" s="32" t="s">
        <v>1223</v>
      </c>
      <c r="E568" s="32" t="s">
        <v>5142</v>
      </c>
      <c r="F568" s="32" t="s">
        <v>1225</v>
      </c>
      <c r="G568" s="32" t="s">
        <v>1225</v>
      </c>
      <c r="H568" s="32" t="s">
        <v>1225</v>
      </c>
      <c r="I568" s="32" t="s">
        <v>5143</v>
      </c>
      <c r="J568" s="32" t="s">
        <v>1225</v>
      </c>
      <c r="K568" s="32" t="s">
        <v>1225</v>
      </c>
      <c r="L568" s="32" t="s">
        <v>5144</v>
      </c>
      <c r="M568" s="32" t="s">
        <v>882</v>
      </c>
      <c r="N568" s="32" t="s">
        <v>1225</v>
      </c>
      <c r="O568" s="32" t="s">
        <v>1225</v>
      </c>
      <c r="P568" s="32" t="s">
        <v>1225</v>
      </c>
      <c r="Q568" s="32" t="s">
        <v>1227</v>
      </c>
      <c r="R568" s="32" t="s">
        <v>1225</v>
      </c>
      <c r="S568" s="32" t="s">
        <v>1225</v>
      </c>
      <c r="T568" s="32" t="s">
        <v>1225</v>
      </c>
      <c r="U568" s="32" t="s">
        <v>1225</v>
      </c>
      <c r="V568" s="32" t="s">
        <v>1225</v>
      </c>
      <c r="W568" s="32" t="s">
        <v>5145</v>
      </c>
      <c r="X568" s="32" t="s">
        <v>3487</v>
      </c>
      <c r="Y568" s="32" t="s">
        <v>5146</v>
      </c>
      <c r="Z568" s="32" t="s">
        <v>1225</v>
      </c>
      <c r="AA568" s="32" t="s">
        <v>1225</v>
      </c>
      <c r="AB568" s="32" t="s">
        <v>1225</v>
      </c>
      <c r="AC568" s="32" t="s">
        <v>1225</v>
      </c>
      <c r="AD568" s="32" t="s">
        <v>1225</v>
      </c>
      <c r="AE568" s="32" t="s">
        <v>1225</v>
      </c>
      <c r="AF568" s="32" t="s">
        <v>1225</v>
      </c>
      <c r="AG568" s="32" t="s">
        <v>1225</v>
      </c>
      <c r="AH568" s="32" t="s">
        <v>1225</v>
      </c>
      <c r="AI568" s="32" t="s">
        <v>1225</v>
      </c>
      <c r="AJ568" s="32" t="s">
        <v>1225</v>
      </c>
      <c r="AK568" s="32" t="s">
        <v>1225</v>
      </c>
      <c r="AL568" s="32" t="s">
        <v>1225</v>
      </c>
      <c r="AM568" s="32" t="s">
        <v>1225</v>
      </c>
      <c r="AN568" s="32" t="s">
        <v>1225</v>
      </c>
      <c r="AO568" s="32" t="s">
        <v>1225</v>
      </c>
      <c r="AP568" s="32" t="s">
        <v>1225</v>
      </c>
      <c r="AQ568" s="32" t="s">
        <v>1225</v>
      </c>
      <c r="AR568" s="32" t="s">
        <v>1225</v>
      </c>
      <c r="AS568" s="32" t="s">
        <v>1225</v>
      </c>
      <c r="AT568" s="32" t="s">
        <v>1225</v>
      </c>
      <c r="AU568" s="32" t="s">
        <v>1225</v>
      </c>
      <c r="AV568" s="32" t="s">
        <v>1225</v>
      </c>
      <c r="AW568" s="32" t="s">
        <v>5147</v>
      </c>
      <c r="AX568" s="32">
        <v>2020</v>
      </c>
      <c r="AY568" s="32">
        <v>14</v>
      </c>
      <c r="AZ568" s="32">
        <v>5</v>
      </c>
      <c r="BA568" s="32" t="s">
        <v>1225</v>
      </c>
      <c r="BB568" s="32" t="s">
        <v>1225</v>
      </c>
      <c r="BC568" s="32" t="s">
        <v>1225</v>
      </c>
      <c r="BD568" s="32" t="s">
        <v>1225</v>
      </c>
      <c r="BE568" s="32">
        <v>833</v>
      </c>
      <c r="BF568" s="32">
        <v>844</v>
      </c>
      <c r="BG568" s="32" t="s">
        <v>1225</v>
      </c>
      <c r="BH568" s="32" t="s">
        <v>5148</v>
      </c>
      <c r="BI568" s="32" t="str">
        <f>HYPERLINK("http://dx.doi.org/10.1049/iet-gtd.2018.7017","http://dx.doi.org/10.1049/iet-gtd.2018.7017")</f>
        <v>http://dx.doi.org/10.1049/iet-gtd.2018.7017</v>
      </c>
      <c r="BJ568" s="32" t="s">
        <v>1225</v>
      </c>
      <c r="BK568" s="32" t="s">
        <v>1225</v>
      </c>
      <c r="BL568" s="32" t="s">
        <v>1225</v>
      </c>
      <c r="BM568" s="32" t="s">
        <v>1225</v>
      </c>
      <c r="BN568" s="32" t="s">
        <v>1225</v>
      </c>
      <c r="BO568" s="32" t="s">
        <v>1225</v>
      </c>
      <c r="BP568" s="32" t="s">
        <v>1225</v>
      </c>
      <c r="BQ568" s="32" t="s">
        <v>1225</v>
      </c>
      <c r="BR568" s="32" t="s">
        <v>1225</v>
      </c>
      <c r="BS568" s="32" t="s">
        <v>1225</v>
      </c>
      <c r="BT568" s="32" t="s">
        <v>1225</v>
      </c>
      <c r="BU568" s="32" t="s">
        <v>1225</v>
      </c>
      <c r="BV568" s="32" t="s">
        <v>1225</v>
      </c>
      <c r="BW568" s="32" t="str">
        <f t="shared" si="16"/>
        <v>View Full Record in Web of Science</v>
      </c>
      <c r="BY568" s="41" t="str">
        <f>IF(Deletion!J568=TRUE,"Yes","No")</f>
        <v>Yes</v>
      </c>
    </row>
    <row r="569" spans="1:77" x14ac:dyDescent="0.15">
      <c r="A569" s="34">
        <f t="shared" si="17"/>
        <v>568</v>
      </c>
      <c r="B569" s="34" t="s">
        <v>4</v>
      </c>
      <c r="C569" s="34" t="s">
        <v>4</v>
      </c>
      <c r="D569" s="34" t="s">
        <v>1223</v>
      </c>
      <c r="E569" s="34" t="s">
        <v>5149</v>
      </c>
      <c r="F569" s="32" t="s">
        <v>1225</v>
      </c>
      <c r="G569" s="32" t="s">
        <v>1225</v>
      </c>
      <c r="H569" s="32" t="s">
        <v>1225</v>
      </c>
      <c r="I569" s="34" t="s">
        <v>5150</v>
      </c>
      <c r="J569" s="32" t="s">
        <v>1225</v>
      </c>
      <c r="K569" s="32" t="s">
        <v>1225</v>
      </c>
      <c r="L569" s="34" t="s">
        <v>5151</v>
      </c>
      <c r="M569" s="34" t="s">
        <v>863</v>
      </c>
      <c r="N569" s="32" t="s">
        <v>1225</v>
      </c>
      <c r="O569" s="32" t="s">
        <v>1225</v>
      </c>
      <c r="P569" s="32" t="s">
        <v>1225</v>
      </c>
      <c r="Q569" s="34" t="s">
        <v>1227</v>
      </c>
      <c r="R569" s="32" t="s">
        <v>1225</v>
      </c>
      <c r="S569" s="32" t="s">
        <v>1225</v>
      </c>
      <c r="T569" s="32" t="s">
        <v>1225</v>
      </c>
      <c r="U569" s="32" t="s">
        <v>1225</v>
      </c>
      <c r="V569" s="32" t="s">
        <v>1225</v>
      </c>
      <c r="W569" s="34" t="s">
        <v>5152</v>
      </c>
      <c r="X569" s="34" t="s">
        <v>5153</v>
      </c>
      <c r="Y569" s="34" t="s">
        <v>5154</v>
      </c>
      <c r="Z569" s="32" t="s">
        <v>1225</v>
      </c>
      <c r="AA569" s="32" t="s">
        <v>1225</v>
      </c>
      <c r="AB569" s="32" t="s">
        <v>1225</v>
      </c>
      <c r="AC569" s="32" t="s">
        <v>1225</v>
      </c>
      <c r="AD569" s="32" t="s">
        <v>1225</v>
      </c>
      <c r="AE569" s="32" t="s">
        <v>1225</v>
      </c>
      <c r="AF569" s="32" t="s">
        <v>1225</v>
      </c>
      <c r="AG569" s="32" t="s">
        <v>1225</v>
      </c>
      <c r="AH569" s="32" t="s">
        <v>1225</v>
      </c>
      <c r="AI569" s="32" t="s">
        <v>1225</v>
      </c>
      <c r="AJ569" s="32" t="s">
        <v>1225</v>
      </c>
      <c r="AK569" s="32" t="s">
        <v>1225</v>
      </c>
      <c r="AL569" s="32" t="s">
        <v>1225</v>
      </c>
      <c r="AM569" s="32" t="s">
        <v>1225</v>
      </c>
      <c r="AN569" s="32" t="s">
        <v>1225</v>
      </c>
      <c r="AO569" s="32" t="s">
        <v>1225</v>
      </c>
      <c r="AP569" s="32" t="s">
        <v>1225</v>
      </c>
      <c r="AQ569" s="32" t="s">
        <v>1225</v>
      </c>
      <c r="AR569" s="32" t="s">
        <v>1225</v>
      </c>
      <c r="AS569" s="32" t="s">
        <v>1225</v>
      </c>
      <c r="AT569" s="32" t="s">
        <v>1225</v>
      </c>
      <c r="AU569" s="32" t="s">
        <v>1225</v>
      </c>
      <c r="AV569" s="32" t="s">
        <v>1225</v>
      </c>
      <c r="AW569" s="34" t="s">
        <v>1276</v>
      </c>
      <c r="AX569" s="34">
        <v>2017</v>
      </c>
      <c r="AY569" s="32">
        <v>8</v>
      </c>
      <c r="AZ569" s="32">
        <v>4</v>
      </c>
      <c r="BA569" s="32" t="s">
        <v>1225</v>
      </c>
      <c r="BB569" s="32" t="s">
        <v>1225</v>
      </c>
      <c r="BC569" s="32" t="s">
        <v>1225</v>
      </c>
      <c r="BD569" s="32" t="s">
        <v>1225</v>
      </c>
      <c r="BE569" s="32">
        <v>1560</v>
      </c>
      <c r="BF569" s="32">
        <v>1570</v>
      </c>
      <c r="BG569" s="32" t="s">
        <v>1225</v>
      </c>
      <c r="BH569" s="34" t="s">
        <v>5155</v>
      </c>
      <c r="BI569" s="34" t="str">
        <f>HYPERLINK("http://dx.doi.org/10.1109/TSTE.2017.2695195","http://dx.doi.org/10.1109/TSTE.2017.2695195")</f>
        <v>http://dx.doi.org/10.1109/TSTE.2017.2695195</v>
      </c>
      <c r="BJ569" s="32" t="s">
        <v>1225</v>
      </c>
      <c r="BK569" s="32" t="s">
        <v>1225</v>
      </c>
      <c r="BL569" s="32" t="s">
        <v>1225</v>
      </c>
      <c r="BM569" s="32" t="s">
        <v>1225</v>
      </c>
      <c r="BN569" s="32" t="s">
        <v>1225</v>
      </c>
      <c r="BO569" s="32" t="s">
        <v>1225</v>
      </c>
      <c r="BP569" s="32" t="s">
        <v>1225</v>
      </c>
      <c r="BQ569" s="32" t="s">
        <v>1225</v>
      </c>
      <c r="BR569" s="32" t="s">
        <v>1225</v>
      </c>
      <c r="BS569" s="32" t="s">
        <v>1225</v>
      </c>
      <c r="BT569" s="32" t="s">
        <v>1225</v>
      </c>
      <c r="BU569" s="32" t="s">
        <v>1225</v>
      </c>
      <c r="BV569" s="32" t="s">
        <v>1225</v>
      </c>
      <c r="BW569" s="32" t="str">
        <f t="shared" si="16"/>
        <v>View Full Record in Web of Science</v>
      </c>
      <c r="BY569" s="41" t="str">
        <f>IF(Deletion!J569=TRUE,"Yes","No")</f>
        <v>No</v>
      </c>
    </row>
    <row r="570" spans="1:77" x14ac:dyDescent="0.15">
      <c r="A570" s="32">
        <f t="shared" si="17"/>
        <v>569</v>
      </c>
      <c r="D570" s="32" t="s">
        <v>1223</v>
      </c>
      <c r="E570" s="32" t="s">
        <v>5156</v>
      </c>
      <c r="F570" s="32" t="s">
        <v>1225</v>
      </c>
      <c r="G570" s="32" t="s">
        <v>1225</v>
      </c>
      <c r="H570" s="32" t="s">
        <v>1225</v>
      </c>
      <c r="I570" s="32" t="s">
        <v>5157</v>
      </c>
      <c r="J570" s="32" t="s">
        <v>1225</v>
      </c>
      <c r="K570" s="32" t="s">
        <v>1225</v>
      </c>
      <c r="L570" s="32" t="s">
        <v>5158</v>
      </c>
      <c r="M570" s="32" t="s">
        <v>68</v>
      </c>
      <c r="N570" s="32" t="s">
        <v>1225</v>
      </c>
      <c r="O570" s="32" t="s">
        <v>1225</v>
      </c>
      <c r="P570" s="32" t="s">
        <v>1225</v>
      </c>
      <c r="Q570" s="32" t="s">
        <v>1227</v>
      </c>
      <c r="R570" s="32" t="s">
        <v>1225</v>
      </c>
      <c r="S570" s="32" t="s">
        <v>1225</v>
      </c>
      <c r="T570" s="32" t="s">
        <v>1225</v>
      </c>
      <c r="U570" s="32" t="s">
        <v>1225</v>
      </c>
      <c r="V570" s="32" t="s">
        <v>1225</v>
      </c>
      <c r="W570" s="32" t="s">
        <v>5159</v>
      </c>
      <c r="X570" s="32" t="s">
        <v>5160</v>
      </c>
      <c r="Y570" s="32" t="s">
        <v>5161</v>
      </c>
      <c r="Z570" s="32" t="s">
        <v>1225</v>
      </c>
      <c r="AA570" s="32" t="s">
        <v>1225</v>
      </c>
      <c r="AB570" s="32" t="s">
        <v>1225</v>
      </c>
      <c r="AC570" s="32" t="s">
        <v>1225</v>
      </c>
      <c r="AD570" s="32" t="s">
        <v>1225</v>
      </c>
      <c r="AE570" s="32" t="s">
        <v>1225</v>
      </c>
      <c r="AF570" s="32" t="s">
        <v>1225</v>
      </c>
      <c r="AG570" s="32" t="s">
        <v>1225</v>
      </c>
      <c r="AH570" s="32" t="s">
        <v>1225</v>
      </c>
      <c r="AI570" s="32" t="s">
        <v>1225</v>
      </c>
      <c r="AJ570" s="32" t="s">
        <v>1225</v>
      </c>
      <c r="AK570" s="32" t="s">
        <v>1225</v>
      </c>
      <c r="AL570" s="32" t="s">
        <v>1225</v>
      </c>
      <c r="AM570" s="32" t="s">
        <v>1225</v>
      </c>
      <c r="AN570" s="32" t="s">
        <v>1225</v>
      </c>
      <c r="AO570" s="32" t="s">
        <v>1225</v>
      </c>
      <c r="AP570" s="32" t="s">
        <v>1225</v>
      </c>
      <c r="AQ570" s="32" t="s">
        <v>1225</v>
      </c>
      <c r="AR570" s="32" t="s">
        <v>1225</v>
      </c>
      <c r="AS570" s="32" t="s">
        <v>1225</v>
      </c>
      <c r="AT570" s="32" t="s">
        <v>1225</v>
      </c>
      <c r="AU570" s="32" t="s">
        <v>1225</v>
      </c>
      <c r="AV570" s="32" t="s">
        <v>1225</v>
      </c>
      <c r="AW570" s="32" t="s">
        <v>1225</v>
      </c>
      <c r="AX570" s="32">
        <v>2022</v>
      </c>
      <c r="AY570" s="32">
        <v>10</v>
      </c>
      <c r="AZ570" s="32" t="s">
        <v>1225</v>
      </c>
      <c r="BA570" s="32" t="s">
        <v>1225</v>
      </c>
      <c r="BB570" s="32" t="s">
        <v>1225</v>
      </c>
      <c r="BC570" s="32" t="s">
        <v>1225</v>
      </c>
      <c r="BD570" s="32" t="s">
        <v>1225</v>
      </c>
      <c r="BE570" s="32">
        <v>56331</v>
      </c>
      <c r="BF570" s="32">
        <v>56347</v>
      </c>
      <c r="BG570" s="32" t="s">
        <v>1225</v>
      </c>
      <c r="BH570" s="32" t="s">
        <v>5162</v>
      </c>
      <c r="BI570" s="32" t="str">
        <f>HYPERLINK("http://dx.doi.org/10.1109/ACCESS.2022.3170709","http://dx.doi.org/10.1109/ACCESS.2022.3170709")</f>
        <v>http://dx.doi.org/10.1109/ACCESS.2022.3170709</v>
      </c>
      <c r="BJ570" s="32" t="s">
        <v>1225</v>
      </c>
      <c r="BK570" s="32" t="s">
        <v>1225</v>
      </c>
      <c r="BL570" s="32" t="s">
        <v>1225</v>
      </c>
      <c r="BM570" s="32" t="s">
        <v>1225</v>
      </c>
      <c r="BN570" s="32" t="s">
        <v>1225</v>
      </c>
      <c r="BO570" s="32" t="s">
        <v>1225</v>
      </c>
      <c r="BP570" s="32" t="s">
        <v>1225</v>
      </c>
      <c r="BQ570" s="32" t="s">
        <v>1225</v>
      </c>
      <c r="BR570" s="32" t="s">
        <v>1225</v>
      </c>
      <c r="BS570" s="32" t="s">
        <v>1225</v>
      </c>
      <c r="BT570" s="32" t="s">
        <v>1225</v>
      </c>
      <c r="BU570" s="32" t="s">
        <v>1225</v>
      </c>
      <c r="BV570" s="32" t="s">
        <v>1225</v>
      </c>
      <c r="BW570" s="32" t="str">
        <f t="shared" si="16"/>
        <v>View Full Record in Web of Science</v>
      </c>
      <c r="BY570" s="41" t="str">
        <f>IF(Deletion!J570=TRUE,"Yes","No")</f>
        <v>Yes</v>
      </c>
    </row>
    <row r="571" spans="1:77" x14ac:dyDescent="0.15">
      <c r="A571" s="32">
        <f t="shared" si="17"/>
        <v>570</v>
      </c>
      <c r="D571" s="32" t="s">
        <v>1223</v>
      </c>
      <c r="E571" s="32" t="s">
        <v>5163</v>
      </c>
      <c r="F571" s="32" t="s">
        <v>1225</v>
      </c>
      <c r="G571" s="32" t="s">
        <v>1225</v>
      </c>
      <c r="H571" s="32" t="s">
        <v>1225</v>
      </c>
      <c r="I571" s="32" t="s">
        <v>5164</v>
      </c>
      <c r="J571" s="32" t="s">
        <v>1225</v>
      </c>
      <c r="K571" s="32" t="s">
        <v>1225</v>
      </c>
      <c r="L571" s="32" t="s">
        <v>5165</v>
      </c>
      <c r="M571" s="32" t="s">
        <v>68</v>
      </c>
      <c r="N571" s="32" t="s">
        <v>1225</v>
      </c>
      <c r="O571" s="32" t="s">
        <v>1225</v>
      </c>
      <c r="P571" s="32" t="s">
        <v>1225</v>
      </c>
      <c r="Q571" s="32" t="s">
        <v>1227</v>
      </c>
      <c r="R571" s="32" t="s">
        <v>1225</v>
      </c>
      <c r="S571" s="32" t="s">
        <v>1225</v>
      </c>
      <c r="T571" s="32" t="s">
        <v>1225</v>
      </c>
      <c r="U571" s="32" t="s">
        <v>1225</v>
      </c>
      <c r="V571" s="32" t="s">
        <v>1225</v>
      </c>
      <c r="W571" s="32" t="s">
        <v>5166</v>
      </c>
      <c r="X571" s="32" t="s">
        <v>1225</v>
      </c>
      <c r="Y571" s="32" t="s">
        <v>5167</v>
      </c>
      <c r="Z571" s="32" t="s">
        <v>1225</v>
      </c>
      <c r="AA571" s="32" t="s">
        <v>1225</v>
      </c>
      <c r="AB571" s="32" t="s">
        <v>1225</v>
      </c>
      <c r="AC571" s="32" t="s">
        <v>1225</v>
      </c>
      <c r="AD571" s="32" t="s">
        <v>1225</v>
      </c>
      <c r="AE571" s="32" t="s">
        <v>1225</v>
      </c>
      <c r="AF571" s="32" t="s">
        <v>1225</v>
      </c>
      <c r="AG571" s="32" t="s">
        <v>1225</v>
      </c>
      <c r="AH571" s="32" t="s">
        <v>1225</v>
      </c>
      <c r="AI571" s="32" t="s">
        <v>1225</v>
      </c>
      <c r="AJ571" s="32" t="s">
        <v>1225</v>
      </c>
      <c r="AK571" s="32" t="s">
        <v>1225</v>
      </c>
      <c r="AL571" s="32" t="s">
        <v>1225</v>
      </c>
      <c r="AM571" s="32" t="s">
        <v>1225</v>
      </c>
      <c r="AN571" s="32" t="s">
        <v>1225</v>
      </c>
      <c r="AO571" s="32" t="s">
        <v>1225</v>
      </c>
      <c r="AP571" s="32" t="s">
        <v>1225</v>
      </c>
      <c r="AQ571" s="32" t="s">
        <v>1225</v>
      </c>
      <c r="AR571" s="32" t="s">
        <v>1225</v>
      </c>
      <c r="AS571" s="32" t="s">
        <v>1225</v>
      </c>
      <c r="AT571" s="32" t="s">
        <v>1225</v>
      </c>
      <c r="AU571" s="32" t="s">
        <v>1225</v>
      </c>
      <c r="AV571" s="32" t="s">
        <v>1225</v>
      </c>
      <c r="AW571" s="32" t="s">
        <v>1225</v>
      </c>
      <c r="AX571" s="32">
        <v>2022</v>
      </c>
      <c r="AY571" s="32">
        <v>10</v>
      </c>
      <c r="AZ571" s="32" t="s">
        <v>1225</v>
      </c>
      <c r="BA571" s="32" t="s">
        <v>1225</v>
      </c>
      <c r="BB571" s="32" t="s">
        <v>1225</v>
      </c>
      <c r="BC571" s="32" t="s">
        <v>1225</v>
      </c>
      <c r="BD571" s="32" t="s">
        <v>1225</v>
      </c>
      <c r="BE571" s="32">
        <v>48283</v>
      </c>
      <c r="BF571" s="32">
        <v>48291</v>
      </c>
      <c r="BG571" s="32" t="s">
        <v>1225</v>
      </c>
      <c r="BH571" s="32" t="s">
        <v>5168</v>
      </c>
      <c r="BI571" s="32" t="str">
        <f>HYPERLINK("http://dx.doi.org/10.1109/ACCESS.2022.3172334","http://dx.doi.org/10.1109/ACCESS.2022.3172334")</f>
        <v>http://dx.doi.org/10.1109/ACCESS.2022.3172334</v>
      </c>
      <c r="BJ571" s="32" t="s">
        <v>1225</v>
      </c>
      <c r="BK571" s="32" t="s">
        <v>1225</v>
      </c>
      <c r="BL571" s="32" t="s">
        <v>1225</v>
      </c>
      <c r="BM571" s="32" t="s">
        <v>1225</v>
      </c>
      <c r="BN571" s="32" t="s">
        <v>1225</v>
      </c>
      <c r="BO571" s="32" t="s">
        <v>1225</v>
      </c>
      <c r="BP571" s="32" t="s">
        <v>1225</v>
      </c>
      <c r="BQ571" s="32" t="s">
        <v>1225</v>
      </c>
      <c r="BR571" s="32" t="s">
        <v>1225</v>
      </c>
      <c r="BS571" s="32" t="s">
        <v>1225</v>
      </c>
      <c r="BT571" s="32" t="s">
        <v>1225</v>
      </c>
      <c r="BU571" s="32" t="s">
        <v>1225</v>
      </c>
      <c r="BV571" s="32" t="s">
        <v>1225</v>
      </c>
      <c r="BW571" s="32" t="str">
        <f t="shared" si="16"/>
        <v>View Full Record in Web of Science</v>
      </c>
      <c r="BY571" s="41" t="str">
        <f>IF(Deletion!J571=TRUE,"Yes","No")</f>
        <v>Yes</v>
      </c>
    </row>
    <row r="572" spans="1:77" x14ac:dyDescent="0.15">
      <c r="A572" s="34">
        <f t="shared" si="17"/>
        <v>571</v>
      </c>
      <c r="B572" s="34" t="s">
        <v>4</v>
      </c>
      <c r="C572" s="34" t="s">
        <v>4</v>
      </c>
      <c r="D572" s="34" t="s">
        <v>1223</v>
      </c>
      <c r="E572" s="34" t="s">
        <v>5169</v>
      </c>
      <c r="F572" s="32" t="s">
        <v>1225</v>
      </c>
      <c r="G572" s="32" t="s">
        <v>1225</v>
      </c>
      <c r="H572" s="32" t="s">
        <v>1225</v>
      </c>
      <c r="I572" s="34" t="s">
        <v>5170</v>
      </c>
      <c r="J572" s="32" t="s">
        <v>1225</v>
      </c>
      <c r="K572" s="32" t="s">
        <v>1225</v>
      </c>
      <c r="L572" s="34" t="s">
        <v>5171</v>
      </c>
      <c r="M572" s="34" t="s">
        <v>5172</v>
      </c>
      <c r="N572" s="32" t="s">
        <v>1225</v>
      </c>
      <c r="O572" s="32" t="s">
        <v>1225</v>
      </c>
      <c r="P572" s="32" t="s">
        <v>1225</v>
      </c>
      <c r="Q572" s="34" t="s">
        <v>1227</v>
      </c>
      <c r="R572" s="32" t="s">
        <v>1225</v>
      </c>
      <c r="S572" s="32" t="s">
        <v>1225</v>
      </c>
      <c r="T572" s="32" t="s">
        <v>1225</v>
      </c>
      <c r="U572" s="32" t="s">
        <v>1225</v>
      </c>
      <c r="V572" s="32" t="s">
        <v>1225</v>
      </c>
      <c r="W572" s="34" t="s">
        <v>5173</v>
      </c>
      <c r="X572" s="34" t="s">
        <v>5174</v>
      </c>
      <c r="Y572" s="34" t="s">
        <v>5175</v>
      </c>
      <c r="Z572" s="32" t="s">
        <v>1225</v>
      </c>
      <c r="AA572" s="32" t="s">
        <v>1225</v>
      </c>
      <c r="AB572" s="32" t="s">
        <v>1225</v>
      </c>
      <c r="AC572" s="32" t="s">
        <v>1225</v>
      </c>
      <c r="AD572" s="32" t="s">
        <v>1225</v>
      </c>
      <c r="AE572" s="32" t="s">
        <v>1225</v>
      </c>
      <c r="AF572" s="32" t="s">
        <v>1225</v>
      </c>
      <c r="AG572" s="32" t="s">
        <v>1225</v>
      </c>
      <c r="AH572" s="32" t="s">
        <v>1225</v>
      </c>
      <c r="AI572" s="32" t="s">
        <v>1225</v>
      </c>
      <c r="AJ572" s="32" t="s">
        <v>1225</v>
      </c>
      <c r="AK572" s="32" t="s">
        <v>1225</v>
      </c>
      <c r="AL572" s="32" t="s">
        <v>1225</v>
      </c>
      <c r="AM572" s="32" t="s">
        <v>1225</v>
      </c>
      <c r="AN572" s="32" t="s">
        <v>1225</v>
      </c>
      <c r="AO572" s="32" t="s">
        <v>1225</v>
      </c>
      <c r="AP572" s="32" t="s">
        <v>1225</v>
      </c>
      <c r="AQ572" s="32" t="s">
        <v>1225</v>
      </c>
      <c r="AR572" s="32" t="s">
        <v>1225</v>
      </c>
      <c r="AS572" s="32" t="s">
        <v>1225</v>
      </c>
      <c r="AT572" s="32" t="s">
        <v>1225</v>
      </c>
      <c r="AU572" s="32" t="s">
        <v>1225</v>
      </c>
      <c r="AV572" s="32" t="s">
        <v>1225</v>
      </c>
      <c r="AW572" s="34" t="s">
        <v>1225</v>
      </c>
      <c r="AX572" s="34">
        <v>2022</v>
      </c>
      <c r="AY572" s="32">
        <v>38</v>
      </c>
      <c r="AZ572" s="32">
        <v>2</v>
      </c>
      <c r="BA572" s="32" t="s">
        <v>1225</v>
      </c>
      <c r="BB572" s="32" t="s">
        <v>1225</v>
      </c>
      <c r="BC572" s="32" t="s">
        <v>1225</v>
      </c>
      <c r="BD572" s="32" t="s">
        <v>1225</v>
      </c>
      <c r="BE572" s="32">
        <v>122</v>
      </c>
      <c r="BF572" s="32">
        <v>131</v>
      </c>
      <c r="BG572" s="32" t="s">
        <v>1225</v>
      </c>
      <c r="BH572" s="34" t="s">
        <v>5176</v>
      </c>
      <c r="BI572" s="34" t="str">
        <f>HYPERLINK("http://dx.doi.org/10.1504/IJSNET.2022.121168","http://dx.doi.org/10.1504/IJSNET.2022.121168")</f>
        <v>http://dx.doi.org/10.1504/IJSNET.2022.121168</v>
      </c>
      <c r="BJ572" s="32" t="s">
        <v>1225</v>
      </c>
      <c r="BK572" s="32" t="s">
        <v>1225</v>
      </c>
      <c r="BL572" s="32" t="s">
        <v>1225</v>
      </c>
      <c r="BM572" s="32" t="s">
        <v>1225</v>
      </c>
      <c r="BN572" s="32" t="s">
        <v>1225</v>
      </c>
      <c r="BO572" s="32" t="s">
        <v>1225</v>
      </c>
      <c r="BP572" s="32" t="s">
        <v>1225</v>
      </c>
      <c r="BQ572" s="32" t="s">
        <v>1225</v>
      </c>
      <c r="BR572" s="32" t="s">
        <v>1225</v>
      </c>
      <c r="BS572" s="32" t="s">
        <v>1225</v>
      </c>
      <c r="BT572" s="32" t="s">
        <v>1225</v>
      </c>
      <c r="BU572" s="32" t="s">
        <v>1225</v>
      </c>
      <c r="BV572" s="32" t="s">
        <v>1225</v>
      </c>
      <c r="BW572" s="32" t="str">
        <f t="shared" si="16"/>
        <v>View Full Record in Web of Science</v>
      </c>
      <c r="BY572" s="41" t="str">
        <f>IF(Deletion!J572=TRUE,"Yes","No")</f>
        <v>No</v>
      </c>
    </row>
    <row r="573" spans="1:77" x14ac:dyDescent="0.15">
      <c r="A573" s="32">
        <f t="shared" si="17"/>
        <v>572</v>
      </c>
      <c r="D573" s="32" t="s">
        <v>1223</v>
      </c>
      <c r="E573" s="32" t="s">
        <v>5177</v>
      </c>
      <c r="F573" s="32" t="s">
        <v>1225</v>
      </c>
      <c r="G573" s="32" t="s">
        <v>1225</v>
      </c>
      <c r="H573" s="32" t="s">
        <v>1225</v>
      </c>
      <c r="I573" s="32" t="s">
        <v>5178</v>
      </c>
      <c r="J573" s="32" t="s">
        <v>1225</v>
      </c>
      <c r="K573" s="32" t="s">
        <v>1225</v>
      </c>
      <c r="L573" s="32" t="s">
        <v>5179</v>
      </c>
      <c r="M573" s="32" t="s">
        <v>882</v>
      </c>
      <c r="N573" s="32" t="s">
        <v>1225</v>
      </c>
      <c r="O573" s="32" t="s">
        <v>1225</v>
      </c>
      <c r="P573" s="32" t="s">
        <v>1225</v>
      </c>
      <c r="Q573" s="32" t="s">
        <v>1227</v>
      </c>
      <c r="R573" s="32" t="s">
        <v>1225</v>
      </c>
      <c r="S573" s="32" t="s">
        <v>1225</v>
      </c>
      <c r="T573" s="32" t="s">
        <v>1225</v>
      </c>
      <c r="U573" s="32" t="s">
        <v>1225</v>
      </c>
      <c r="V573" s="32" t="s">
        <v>1225</v>
      </c>
      <c r="W573" s="32" t="s">
        <v>5180</v>
      </c>
      <c r="X573" s="32" t="s">
        <v>5181</v>
      </c>
      <c r="Y573" s="32" t="s">
        <v>5182</v>
      </c>
      <c r="Z573" s="32" t="s">
        <v>1225</v>
      </c>
      <c r="AA573" s="32" t="s">
        <v>1225</v>
      </c>
      <c r="AB573" s="32" t="s">
        <v>1225</v>
      </c>
      <c r="AC573" s="32" t="s">
        <v>1225</v>
      </c>
      <c r="AD573" s="32" t="s">
        <v>1225</v>
      </c>
      <c r="AE573" s="32" t="s">
        <v>1225</v>
      </c>
      <c r="AF573" s="32" t="s">
        <v>1225</v>
      </c>
      <c r="AG573" s="32" t="s">
        <v>1225</v>
      </c>
      <c r="AH573" s="32" t="s">
        <v>1225</v>
      </c>
      <c r="AI573" s="32" t="s">
        <v>1225</v>
      </c>
      <c r="AJ573" s="32" t="s">
        <v>1225</v>
      </c>
      <c r="AK573" s="32" t="s">
        <v>1225</v>
      </c>
      <c r="AL573" s="32" t="s">
        <v>1225</v>
      </c>
      <c r="AM573" s="32" t="s">
        <v>1225</v>
      </c>
      <c r="AN573" s="32" t="s">
        <v>1225</v>
      </c>
      <c r="AO573" s="32" t="s">
        <v>1225</v>
      </c>
      <c r="AP573" s="32" t="s">
        <v>1225</v>
      </c>
      <c r="AQ573" s="32" t="s">
        <v>1225</v>
      </c>
      <c r="AR573" s="32" t="s">
        <v>1225</v>
      </c>
      <c r="AS573" s="32" t="s">
        <v>1225</v>
      </c>
      <c r="AT573" s="32" t="s">
        <v>1225</v>
      </c>
      <c r="AU573" s="32" t="s">
        <v>1225</v>
      </c>
      <c r="AV573" s="32" t="s">
        <v>1225</v>
      </c>
      <c r="AW573" s="32" t="s">
        <v>2484</v>
      </c>
      <c r="AX573" s="32">
        <v>2018</v>
      </c>
      <c r="AY573" s="32">
        <v>12</v>
      </c>
      <c r="AZ573" s="32">
        <v>9</v>
      </c>
      <c r="BA573" s="32" t="s">
        <v>1225</v>
      </c>
      <c r="BB573" s="32" t="s">
        <v>1225</v>
      </c>
      <c r="BC573" s="32" t="s">
        <v>1225</v>
      </c>
      <c r="BD573" s="32" t="s">
        <v>1225</v>
      </c>
      <c r="BE573" s="32">
        <v>2019</v>
      </c>
      <c r="BF573" s="32">
        <v>2028</v>
      </c>
      <c r="BG573" s="32" t="s">
        <v>1225</v>
      </c>
      <c r="BH573" s="32" t="s">
        <v>5183</v>
      </c>
      <c r="BI573" s="32" t="str">
        <f>HYPERLINK("http://dx.doi.org/10.1049/iet-gtd.2017.0636","http://dx.doi.org/10.1049/iet-gtd.2017.0636")</f>
        <v>http://dx.doi.org/10.1049/iet-gtd.2017.0636</v>
      </c>
      <c r="BJ573" s="32" t="s">
        <v>1225</v>
      </c>
      <c r="BK573" s="32" t="s">
        <v>1225</v>
      </c>
      <c r="BL573" s="32" t="s">
        <v>1225</v>
      </c>
      <c r="BM573" s="32" t="s">
        <v>1225</v>
      </c>
      <c r="BN573" s="32" t="s">
        <v>1225</v>
      </c>
      <c r="BO573" s="32" t="s">
        <v>1225</v>
      </c>
      <c r="BP573" s="32" t="s">
        <v>1225</v>
      </c>
      <c r="BQ573" s="32" t="s">
        <v>1225</v>
      </c>
      <c r="BR573" s="32" t="s">
        <v>1225</v>
      </c>
      <c r="BS573" s="32" t="s">
        <v>1225</v>
      </c>
      <c r="BT573" s="32" t="s">
        <v>1225</v>
      </c>
      <c r="BU573" s="32" t="s">
        <v>1225</v>
      </c>
      <c r="BV573" s="32" t="s">
        <v>1225</v>
      </c>
      <c r="BW573" s="32" t="str">
        <f t="shared" si="16"/>
        <v>View Full Record in Web of Science</v>
      </c>
      <c r="BY573" s="41" t="str">
        <f>IF(Deletion!J573=TRUE,"Yes","No")</f>
        <v>Yes</v>
      </c>
    </row>
    <row r="574" spans="1:77" x14ac:dyDescent="0.15">
      <c r="A574" s="32">
        <f t="shared" si="17"/>
        <v>573</v>
      </c>
      <c r="D574" s="32" t="s">
        <v>1223</v>
      </c>
      <c r="E574" s="32" t="s">
        <v>5184</v>
      </c>
      <c r="F574" s="32" t="s">
        <v>1225</v>
      </c>
      <c r="G574" s="32" t="s">
        <v>1225</v>
      </c>
      <c r="H574" s="32" t="s">
        <v>1225</v>
      </c>
      <c r="I574" s="32" t="s">
        <v>5185</v>
      </c>
      <c r="J574" s="32" t="s">
        <v>1225</v>
      </c>
      <c r="K574" s="32" t="s">
        <v>1225</v>
      </c>
      <c r="L574" s="32" t="s">
        <v>5186</v>
      </c>
      <c r="M574" s="32" t="s">
        <v>422</v>
      </c>
      <c r="N574" s="32" t="s">
        <v>1225</v>
      </c>
      <c r="O574" s="32" t="s">
        <v>1225</v>
      </c>
      <c r="P574" s="32" t="s">
        <v>1225</v>
      </c>
      <c r="Q574" s="32" t="s">
        <v>1227</v>
      </c>
      <c r="R574" s="32" t="s">
        <v>1225</v>
      </c>
      <c r="S574" s="32" t="s">
        <v>1225</v>
      </c>
      <c r="T574" s="32" t="s">
        <v>1225</v>
      </c>
      <c r="U574" s="32" t="s">
        <v>1225</v>
      </c>
      <c r="V574" s="32" t="s">
        <v>1225</v>
      </c>
      <c r="W574" s="32" t="s">
        <v>5187</v>
      </c>
      <c r="X574" s="32" t="s">
        <v>5188</v>
      </c>
      <c r="Y574" s="32" t="s">
        <v>5189</v>
      </c>
      <c r="Z574" s="32" t="s">
        <v>1225</v>
      </c>
      <c r="AA574" s="32" t="s">
        <v>1225</v>
      </c>
      <c r="AB574" s="32" t="s">
        <v>1225</v>
      </c>
      <c r="AC574" s="32" t="s">
        <v>1225</v>
      </c>
      <c r="AD574" s="32" t="s">
        <v>1225</v>
      </c>
      <c r="AE574" s="32" t="s">
        <v>1225</v>
      </c>
      <c r="AF574" s="32" t="s">
        <v>1225</v>
      </c>
      <c r="AG574" s="32" t="s">
        <v>1225</v>
      </c>
      <c r="AH574" s="32" t="s">
        <v>1225</v>
      </c>
      <c r="AI574" s="32" t="s">
        <v>1225</v>
      </c>
      <c r="AJ574" s="32" t="s">
        <v>1225</v>
      </c>
      <c r="AK574" s="32" t="s">
        <v>1225</v>
      </c>
      <c r="AL574" s="32" t="s">
        <v>1225</v>
      </c>
      <c r="AM574" s="32" t="s">
        <v>1225</v>
      </c>
      <c r="AN574" s="32" t="s">
        <v>1225</v>
      </c>
      <c r="AO574" s="32" t="s">
        <v>1225</v>
      </c>
      <c r="AP574" s="32" t="s">
        <v>1225</v>
      </c>
      <c r="AQ574" s="32" t="s">
        <v>1225</v>
      </c>
      <c r="AR574" s="32" t="s">
        <v>1225</v>
      </c>
      <c r="AS574" s="32" t="s">
        <v>1225</v>
      </c>
      <c r="AT574" s="32" t="s">
        <v>1225</v>
      </c>
      <c r="AU574" s="32" t="s">
        <v>1225</v>
      </c>
      <c r="AV574" s="32" t="s">
        <v>1225</v>
      </c>
      <c r="AW574" s="32" t="s">
        <v>1465</v>
      </c>
      <c r="AX574" s="32">
        <v>2021</v>
      </c>
      <c r="AY574" s="32">
        <v>14</v>
      </c>
      <c r="AZ574" s="32">
        <v>4</v>
      </c>
      <c r="BA574" s="32" t="s">
        <v>1225</v>
      </c>
      <c r="BB574" s="32" t="s">
        <v>1225</v>
      </c>
      <c r="BC574" s="32" t="s">
        <v>1225</v>
      </c>
      <c r="BD574" s="32" t="s">
        <v>1225</v>
      </c>
      <c r="BE574" s="32" t="s">
        <v>1225</v>
      </c>
      <c r="BF574" s="32" t="s">
        <v>1225</v>
      </c>
      <c r="BG574" s="32">
        <v>962</v>
      </c>
      <c r="BH574" s="32" t="s">
        <v>5190</v>
      </c>
      <c r="BI574" s="32" t="str">
        <f>HYPERLINK("http://dx.doi.org/10.3390/en14040962","http://dx.doi.org/10.3390/en14040962")</f>
        <v>http://dx.doi.org/10.3390/en14040962</v>
      </c>
      <c r="BJ574" s="32" t="s">
        <v>1225</v>
      </c>
      <c r="BK574" s="32" t="s">
        <v>1225</v>
      </c>
      <c r="BL574" s="32" t="s">
        <v>1225</v>
      </c>
      <c r="BM574" s="32" t="s">
        <v>1225</v>
      </c>
      <c r="BN574" s="32" t="s">
        <v>1225</v>
      </c>
      <c r="BO574" s="32" t="s">
        <v>1225</v>
      </c>
      <c r="BP574" s="32" t="s">
        <v>1225</v>
      </c>
      <c r="BQ574" s="32" t="s">
        <v>1225</v>
      </c>
      <c r="BR574" s="32" t="s">
        <v>1225</v>
      </c>
      <c r="BS574" s="32" t="s">
        <v>1225</v>
      </c>
      <c r="BT574" s="32" t="s">
        <v>1225</v>
      </c>
      <c r="BU574" s="32" t="s">
        <v>1225</v>
      </c>
      <c r="BV574" s="32" t="s">
        <v>1225</v>
      </c>
      <c r="BW574" s="32" t="str">
        <f t="shared" si="16"/>
        <v>View Full Record in Web of Science</v>
      </c>
      <c r="BY574" s="41" t="str">
        <f>IF(Deletion!J574=TRUE,"Yes","No")</f>
        <v>Yes</v>
      </c>
    </row>
    <row r="575" spans="1:77" x14ac:dyDescent="0.15">
      <c r="A575" s="32">
        <f t="shared" si="17"/>
        <v>574</v>
      </c>
      <c r="D575" s="32" t="s">
        <v>1223</v>
      </c>
      <c r="E575" s="32" t="s">
        <v>5191</v>
      </c>
      <c r="F575" s="32" t="s">
        <v>1225</v>
      </c>
      <c r="G575" s="32" t="s">
        <v>1225</v>
      </c>
      <c r="H575" s="32" t="s">
        <v>1225</v>
      </c>
      <c r="I575" s="32" t="s">
        <v>5192</v>
      </c>
      <c r="J575" s="32" t="s">
        <v>1225</v>
      </c>
      <c r="K575" s="32" t="s">
        <v>1225</v>
      </c>
      <c r="L575" s="32" t="s">
        <v>5193</v>
      </c>
      <c r="M575" s="32" t="s">
        <v>68</v>
      </c>
      <c r="N575" s="32" t="s">
        <v>1225</v>
      </c>
      <c r="O575" s="32" t="s">
        <v>1225</v>
      </c>
      <c r="P575" s="32" t="s">
        <v>1225</v>
      </c>
      <c r="Q575" s="32" t="s">
        <v>1227</v>
      </c>
      <c r="R575" s="32" t="s">
        <v>1225</v>
      </c>
      <c r="S575" s="32" t="s">
        <v>1225</v>
      </c>
      <c r="T575" s="32" t="s">
        <v>1225</v>
      </c>
      <c r="U575" s="32" t="s">
        <v>1225</v>
      </c>
      <c r="V575" s="32" t="s">
        <v>1225</v>
      </c>
      <c r="W575" s="32" t="s">
        <v>5194</v>
      </c>
      <c r="X575" s="32" t="s">
        <v>5195</v>
      </c>
      <c r="Y575" s="32" t="s">
        <v>5196</v>
      </c>
      <c r="Z575" s="32" t="s">
        <v>1225</v>
      </c>
      <c r="AA575" s="32" t="s">
        <v>1225</v>
      </c>
      <c r="AB575" s="32" t="s">
        <v>1225</v>
      </c>
      <c r="AC575" s="32" t="s">
        <v>1225</v>
      </c>
      <c r="AD575" s="32" t="s">
        <v>1225</v>
      </c>
      <c r="AE575" s="32" t="s">
        <v>1225</v>
      </c>
      <c r="AF575" s="32" t="s">
        <v>1225</v>
      </c>
      <c r="AG575" s="32" t="s">
        <v>1225</v>
      </c>
      <c r="AH575" s="32" t="s">
        <v>1225</v>
      </c>
      <c r="AI575" s="32" t="s">
        <v>1225</v>
      </c>
      <c r="AJ575" s="32" t="s">
        <v>1225</v>
      </c>
      <c r="AK575" s="32" t="s">
        <v>1225</v>
      </c>
      <c r="AL575" s="32" t="s">
        <v>1225</v>
      </c>
      <c r="AM575" s="32" t="s">
        <v>1225</v>
      </c>
      <c r="AN575" s="32" t="s">
        <v>1225</v>
      </c>
      <c r="AO575" s="32" t="s">
        <v>1225</v>
      </c>
      <c r="AP575" s="32" t="s">
        <v>1225</v>
      </c>
      <c r="AQ575" s="32" t="s">
        <v>1225</v>
      </c>
      <c r="AR575" s="32" t="s">
        <v>1225</v>
      </c>
      <c r="AS575" s="32" t="s">
        <v>1225</v>
      </c>
      <c r="AT575" s="32" t="s">
        <v>1225</v>
      </c>
      <c r="AU575" s="32" t="s">
        <v>1225</v>
      </c>
      <c r="AV575" s="32" t="s">
        <v>1225</v>
      </c>
      <c r="AW575" s="32" t="s">
        <v>1225</v>
      </c>
      <c r="AX575" s="32">
        <v>2022</v>
      </c>
      <c r="AY575" s="32">
        <v>10</v>
      </c>
      <c r="AZ575" s="32" t="s">
        <v>1225</v>
      </c>
      <c r="BA575" s="32" t="s">
        <v>1225</v>
      </c>
      <c r="BB575" s="32" t="s">
        <v>1225</v>
      </c>
      <c r="BC575" s="32" t="s">
        <v>1225</v>
      </c>
      <c r="BD575" s="32" t="s">
        <v>1225</v>
      </c>
      <c r="BE575" s="32">
        <v>52876</v>
      </c>
      <c r="BF575" s="32">
        <v>52889</v>
      </c>
      <c r="BG575" s="32" t="s">
        <v>1225</v>
      </c>
      <c r="BH575" s="32" t="s">
        <v>5197</v>
      </c>
      <c r="BI575" s="32" t="str">
        <f>HYPERLINK("http://dx.doi.org/10.1109/ACCESS.2022.3175817","http://dx.doi.org/10.1109/ACCESS.2022.3175817")</f>
        <v>http://dx.doi.org/10.1109/ACCESS.2022.3175817</v>
      </c>
      <c r="BJ575" s="32" t="s">
        <v>1225</v>
      </c>
      <c r="BK575" s="32" t="s">
        <v>1225</v>
      </c>
      <c r="BL575" s="32" t="s">
        <v>1225</v>
      </c>
      <c r="BM575" s="32" t="s">
        <v>1225</v>
      </c>
      <c r="BN575" s="32" t="s">
        <v>1225</v>
      </c>
      <c r="BO575" s="32" t="s">
        <v>1225</v>
      </c>
      <c r="BP575" s="32" t="s">
        <v>1225</v>
      </c>
      <c r="BQ575" s="32" t="s">
        <v>1225</v>
      </c>
      <c r="BR575" s="32" t="s">
        <v>1225</v>
      </c>
      <c r="BS575" s="32" t="s">
        <v>1225</v>
      </c>
      <c r="BT575" s="32" t="s">
        <v>1225</v>
      </c>
      <c r="BU575" s="32" t="s">
        <v>1225</v>
      </c>
      <c r="BV575" s="32" t="s">
        <v>1225</v>
      </c>
      <c r="BW575" s="32" t="str">
        <f t="shared" si="16"/>
        <v>View Full Record in Web of Science</v>
      </c>
      <c r="BY575" s="41" t="str">
        <f>IF(Deletion!J575=TRUE,"Yes","No")</f>
        <v>Yes</v>
      </c>
    </row>
    <row r="576" spans="1:77" x14ac:dyDescent="0.15">
      <c r="A576" s="32">
        <f t="shared" si="17"/>
        <v>575</v>
      </c>
      <c r="D576" s="32" t="s">
        <v>1223</v>
      </c>
      <c r="E576" s="32" t="s">
        <v>5198</v>
      </c>
      <c r="F576" s="32" t="s">
        <v>1225</v>
      </c>
      <c r="G576" s="32" t="s">
        <v>1225</v>
      </c>
      <c r="H576" s="32" t="s">
        <v>1225</v>
      </c>
      <c r="I576" s="32" t="s">
        <v>5199</v>
      </c>
      <c r="J576" s="32" t="s">
        <v>1225</v>
      </c>
      <c r="K576" s="32" t="s">
        <v>1225</v>
      </c>
      <c r="L576" s="32" t="s">
        <v>5200</v>
      </c>
      <c r="M576" s="32" t="s">
        <v>68</v>
      </c>
      <c r="N576" s="32" t="s">
        <v>1225</v>
      </c>
      <c r="O576" s="32" t="s">
        <v>1225</v>
      </c>
      <c r="P576" s="32" t="s">
        <v>1225</v>
      </c>
      <c r="Q576" s="32" t="s">
        <v>1227</v>
      </c>
      <c r="R576" s="32" t="s">
        <v>1225</v>
      </c>
      <c r="S576" s="32" t="s">
        <v>1225</v>
      </c>
      <c r="T576" s="32" t="s">
        <v>1225</v>
      </c>
      <c r="U576" s="32" t="s">
        <v>1225</v>
      </c>
      <c r="V576" s="32" t="s">
        <v>1225</v>
      </c>
      <c r="W576" s="32" t="s">
        <v>5201</v>
      </c>
      <c r="X576" s="32" t="s">
        <v>5202</v>
      </c>
      <c r="Y576" s="32" t="s">
        <v>5203</v>
      </c>
      <c r="Z576" s="32" t="s">
        <v>1225</v>
      </c>
      <c r="AA576" s="32" t="s">
        <v>1225</v>
      </c>
      <c r="AB576" s="32" t="s">
        <v>1225</v>
      </c>
      <c r="AC576" s="32" t="s">
        <v>1225</v>
      </c>
      <c r="AD576" s="32" t="s">
        <v>1225</v>
      </c>
      <c r="AE576" s="32" t="s">
        <v>1225</v>
      </c>
      <c r="AF576" s="32" t="s">
        <v>1225</v>
      </c>
      <c r="AG576" s="32" t="s">
        <v>1225</v>
      </c>
      <c r="AH576" s="32" t="s">
        <v>1225</v>
      </c>
      <c r="AI576" s="32" t="s">
        <v>1225</v>
      </c>
      <c r="AJ576" s="32" t="s">
        <v>1225</v>
      </c>
      <c r="AK576" s="32" t="s">
        <v>1225</v>
      </c>
      <c r="AL576" s="32" t="s">
        <v>1225</v>
      </c>
      <c r="AM576" s="32" t="s">
        <v>1225</v>
      </c>
      <c r="AN576" s="32" t="s">
        <v>1225</v>
      </c>
      <c r="AO576" s="32" t="s">
        <v>1225</v>
      </c>
      <c r="AP576" s="32" t="s">
        <v>1225</v>
      </c>
      <c r="AQ576" s="32" t="s">
        <v>1225</v>
      </c>
      <c r="AR576" s="32" t="s">
        <v>1225</v>
      </c>
      <c r="AS576" s="32" t="s">
        <v>1225</v>
      </c>
      <c r="AT576" s="32" t="s">
        <v>1225</v>
      </c>
      <c r="AU576" s="32" t="s">
        <v>1225</v>
      </c>
      <c r="AV576" s="32" t="s">
        <v>1225</v>
      </c>
      <c r="AW576" s="32" t="s">
        <v>1225</v>
      </c>
      <c r="AX576" s="32">
        <v>2020</v>
      </c>
      <c r="AY576" s="32">
        <v>8</v>
      </c>
      <c r="AZ576" s="32" t="s">
        <v>1225</v>
      </c>
      <c r="BA576" s="32" t="s">
        <v>1225</v>
      </c>
      <c r="BB576" s="32" t="s">
        <v>1225</v>
      </c>
      <c r="BC576" s="32" t="s">
        <v>1225</v>
      </c>
      <c r="BD576" s="32" t="s">
        <v>1225</v>
      </c>
      <c r="BE576" s="32">
        <v>133843</v>
      </c>
      <c r="BF576" s="32">
        <v>133853</v>
      </c>
      <c r="BG576" s="32" t="s">
        <v>1225</v>
      </c>
      <c r="BH576" s="32" t="s">
        <v>5204</v>
      </c>
      <c r="BI576" s="32" t="str">
        <f>HYPERLINK("http://dx.doi.org/10.1109/ACCESS.2020.3010919","http://dx.doi.org/10.1109/ACCESS.2020.3010919")</f>
        <v>http://dx.doi.org/10.1109/ACCESS.2020.3010919</v>
      </c>
      <c r="BJ576" s="32" t="s">
        <v>1225</v>
      </c>
      <c r="BK576" s="32" t="s">
        <v>1225</v>
      </c>
      <c r="BL576" s="32" t="s">
        <v>1225</v>
      </c>
      <c r="BM576" s="32" t="s">
        <v>1225</v>
      </c>
      <c r="BN576" s="32" t="s">
        <v>1225</v>
      </c>
      <c r="BO576" s="32" t="s">
        <v>1225</v>
      </c>
      <c r="BP576" s="32" t="s">
        <v>1225</v>
      </c>
      <c r="BQ576" s="32" t="s">
        <v>1225</v>
      </c>
      <c r="BR576" s="32" t="s">
        <v>1225</v>
      </c>
      <c r="BS576" s="32" t="s">
        <v>1225</v>
      </c>
      <c r="BT576" s="32" t="s">
        <v>1225</v>
      </c>
      <c r="BU576" s="32" t="s">
        <v>1225</v>
      </c>
      <c r="BV576" s="32" t="s">
        <v>1225</v>
      </c>
      <c r="BW576" s="32" t="str">
        <f t="shared" si="16"/>
        <v>View Full Record in Web of Science</v>
      </c>
      <c r="BY576" s="41" t="str">
        <f>IF(Deletion!J576=TRUE,"Yes","No")</f>
        <v>Yes</v>
      </c>
    </row>
    <row r="577" spans="1:77" x14ac:dyDescent="0.15">
      <c r="A577" s="38">
        <f t="shared" si="17"/>
        <v>576</v>
      </c>
      <c r="B577" s="38" t="s">
        <v>1413</v>
      </c>
      <c r="C577" s="38" t="s">
        <v>1413</v>
      </c>
      <c r="D577" s="38" t="s">
        <v>1223</v>
      </c>
      <c r="E577" s="38" t="s">
        <v>5205</v>
      </c>
      <c r="F577" s="32" t="s">
        <v>1225</v>
      </c>
      <c r="G577" s="32" t="s">
        <v>1225</v>
      </c>
      <c r="H577" s="32" t="s">
        <v>1225</v>
      </c>
      <c r="I577" s="38" t="s">
        <v>5206</v>
      </c>
      <c r="J577" s="32" t="s">
        <v>1225</v>
      </c>
      <c r="K577" s="32" t="s">
        <v>1225</v>
      </c>
      <c r="L577" s="38" t="s">
        <v>5207</v>
      </c>
      <c r="M577" s="38" t="s">
        <v>5208</v>
      </c>
      <c r="N577" s="32" t="s">
        <v>1225</v>
      </c>
      <c r="O577" s="32" t="s">
        <v>1225</v>
      </c>
      <c r="P577" s="32" t="s">
        <v>1225</v>
      </c>
      <c r="Q577" s="38" t="s">
        <v>1417</v>
      </c>
      <c r="R577" s="32" t="s">
        <v>1225</v>
      </c>
      <c r="S577" s="32" t="s">
        <v>1225</v>
      </c>
      <c r="T577" s="32" t="s">
        <v>1225</v>
      </c>
      <c r="U577" s="32" t="s">
        <v>1225</v>
      </c>
      <c r="V577" s="32" t="s">
        <v>1225</v>
      </c>
      <c r="W577" s="38" t="s">
        <v>5209</v>
      </c>
      <c r="X577" s="38" t="s">
        <v>5210</v>
      </c>
      <c r="Y577" s="38" t="s">
        <v>5211</v>
      </c>
      <c r="Z577" s="32" t="s">
        <v>1225</v>
      </c>
      <c r="AA577" s="32" t="s">
        <v>1225</v>
      </c>
      <c r="AB577" s="32" t="s">
        <v>1225</v>
      </c>
      <c r="AC577" s="32" t="s">
        <v>1225</v>
      </c>
      <c r="AD577" s="32" t="s">
        <v>1225</v>
      </c>
      <c r="AE577" s="32" t="s">
        <v>1225</v>
      </c>
      <c r="AF577" s="32" t="s">
        <v>1225</v>
      </c>
      <c r="AG577" s="32" t="s">
        <v>1225</v>
      </c>
      <c r="AH577" s="32" t="s">
        <v>1225</v>
      </c>
      <c r="AI577" s="32" t="s">
        <v>1225</v>
      </c>
      <c r="AJ577" s="32" t="s">
        <v>1225</v>
      </c>
      <c r="AK577" s="32" t="s">
        <v>1225</v>
      </c>
      <c r="AL577" s="32" t="s">
        <v>1225</v>
      </c>
      <c r="AM577" s="32" t="s">
        <v>1225</v>
      </c>
      <c r="AN577" s="32" t="s">
        <v>1225</v>
      </c>
      <c r="AO577" s="32" t="s">
        <v>1225</v>
      </c>
      <c r="AP577" s="32" t="s">
        <v>1225</v>
      </c>
      <c r="AQ577" s="32" t="s">
        <v>1225</v>
      </c>
      <c r="AR577" s="32" t="s">
        <v>1225</v>
      </c>
      <c r="AS577" s="32" t="s">
        <v>1225</v>
      </c>
      <c r="AT577" s="32" t="s">
        <v>1225</v>
      </c>
      <c r="AU577" s="32" t="s">
        <v>1225</v>
      </c>
      <c r="AV577" s="32" t="s">
        <v>1225</v>
      </c>
      <c r="AW577" s="38" t="s">
        <v>1256</v>
      </c>
      <c r="AX577" s="38">
        <v>2013</v>
      </c>
      <c r="AY577" s="32">
        <v>28</v>
      </c>
      <c r="AZ577" s="32">
        <v>12</v>
      </c>
      <c r="BA577" s="32" t="s">
        <v>1225</v>
      </c>
      <c r="BB577" s="32" t="s">
        <v>1225</v>
      </c>
      <c r="BC577" s="32" t="s">
        <v>1511</v>
      </c>
      <c r="BD577" s="32" t="s">
        <v>1225</v>
      </c>
      <c r="BE577" s="32">
        <v>5673</v>
      </c>
      <c r="BF577" s="32">
        <v>5689</v>
      </c>
      <c r="BG577" s="32" t="s">
        <v>1225</v>
      </c>
      <c r="BH577" s="38" t="s">
        <v>5212</v>
      </c>
      <c r="BI577" s="38" t="str">
        <f>HYPERLINK("http://dx.doi.org/10.1109/TPEL.2012.2227500","http://dx.doi.org/10.1109/TPEL.2012.2227500")</f>
        <v>http://dx.doi.org/10.1109/TPEL.2012.2227500</v>
      </c>
      <c r="BJ577" s="32" t="s">
        <v>1225</v>
      </c>
      <c r="BK577" s="32" t="s">
        <v>1225</v>
      </c>
      <c r="BL577" s="32" t="s">
        <v>1225</v>
      </c>
      <c r="BM577" s="32" t="s">
        <v>1225</v>
      </c>
      <c r="BN577" s="32" t="s">
        <v>1225</v>
      </c>
      <c r="BO577" s="32" t="s">
        <v>1225</v>
      </c>
      <c r="BP577" s="32" t="s">
        <v>1225</v>
      </c>
      <c r="BQ577" s="32" t="s">
        <v>1225</v>
      </c>
      <c r="BR577" s="32" t="s">
        <v>1225</v>
      </c>
      <c r="BS577" s="32" t="s">
        <v>1225</v>
      </c>
      <c r="BT577" s="32" t="s">
        <v>1225</v>
      </c>
      <c r="BU577" s="32" t="s">
        <v>1225</v>
      </c>
      <c r="BV577" s="32" t="s">
        <v>1225</v>
      </c>
      <c r="BW577" s="32" t="str">
        <f t="shared" si="16"/>
        <v>View Full Record in Web of Science</v>
      </c>
      <c r="BY577" s="41" t="str">
        <f>IF(Deletion!J577=TRUE,"Yes","No")</f>
        <v>No</v>
      </c>
    </row>
    <row r="578" spans="1:77" x14ac:dyDescent="0.15">
      <c r="A578" s="32">
        <f t="shared" si="17"/>
        <v>577</v>
      </c>
      <c r="D578" s="32" t="s">
        <v>1223</v>
      </c>
      <c r="E578" s="32" t="s">
        <v>5213</v>
      </c>
      <c r="F578" s="32" t="s">
        <v>1225</v>
      </c>
      <c r="G578" s="32" t="s">
        <v>1225</v>
      </c>
      <c r="H578" s="32" t="s">
        <v>1225</v>
      </c>
      <c r="I578" s="32" t="s">
        <v>5214</v>
      </c>
      <c r="J578" s="32" t="s">
        <v>1225</v>
      </c>
      <c r="K578" s="32" t="s">
        <v>1225</v>
      </c>
      <c r="L578" s="32" t="s">
        <v>5215</v>
      </c>
      <c r="M578" s="32" t="s">
        <v>849</v>
      </c>
      <c r="N578" s="32" t="s">
        <v>1225</v>
      </c>
      <c r="O578" s="32" t="s">
        <v>1225</v>
      </c>
      <c r="P578" s="32" t="s">
        <v>1225</v>
      </c>
      <c r="Q578" s="32" t="s">
        <v>1227</v>
      </c>
      <c r="R578" s="32" t="s">
        <v>1225</v>
      </c>
      <c r="S578" s="32" t="s">
        <v>1225</v>
      </c>
      <c r="T578" s="32" t="s">
        <v>1225</v>
      </c>
      <c r="U578" s="32" t="s">
        <v>1225</v>
      </c>
      <c r="V578" s="32" t="s">
        <v>1225</v>
      </c>
      <c r="W578" s="32" t="s">
        <v>5216</v>
      </c>
      <c r="X578" s="32" t="s">
        <v>5217</v>
      </c>
      <c r="Y578" s="32" t="s">
        <v>5218</v>
      </c>
      <c r="Z578" s="32" t="s">
        <v>1225</v>
      </c>
      <c r="AA578" s="32" t="s">
        <v>1225</v>
      </c>
      <c r="AB578" s="32" t="s">
        <v>1225</v>
      </c>
      <c r="AC578" s="32" t="s">
        <v>1225</v>
      </c>
      <c r="AD578" s="32" t="s">
        <v>1225</v>
      </c>
      <c r="AE578" s="32" t="s">
        <v>1225</v>
      </c>
      <c r="AF578" s="32" t="s">
        <v>1225</v>
      </c>
      <c r="AG578" s="32" t="s">
        <v>1225</v>
      </c>
      <c r="AH578" s="32" t="s">
        <v>1225</v>
      </c>
      <c r="AI578" s="32" t="s">
        <v>1225</v>
      </c>
      <c r="AJ578" s="32" t="s">
        <v>1225</v>
      </c>
      <c r="AK578" s="32" t="s">
        <v>1225</v>
      </c>
      <c r="AL578" s="32" t="s">
        <v>1225</v>
      </c>
      <c r="AM578" s="32" t="s">
        <v>1225</v>
      </c>
      <c r="AN578" s="32" t="s">
        <v>1225</v>
      </c>
      <c r="AO578" s="32" t="s">
        <v>1225</v>
      </c>
      <c r="AP578" s="32" t="s">
        <v>1225</v>
      </c>
      <c r="AQ578" s="32" t="s">
        <v>1225</v>
      </c>
      <c r="AR578" s="32" t="s">
        <v>1225</v>
      </c>
      <c r="AS578" s="32" t="s">
        <v>1225</v>
      </c>
      <c r="AT578" s="32" t="s">
        <v>1225</v>
      </c>
      <c r="AU578" s="32" t="s">
        <v>1225</v>
      </c>
      <c r="AV578" s="32" t="s">
        <v>1225</v>
      </c>
      <c r="AW578" s="32" t="s">
        <v>1285</v>
      </c>
      <c r="AX578" s="32">
        <v>2021</v>
      </c>
      <c r="AY578" s="32">
        <v>36</v>
      </c>
      <c r="AZ578" s="32">
        <v>3</v>
      </c>
      <c r="BA578" s="32" t="s">
        <v>1225</v>
      </c>
      <c r="BB578" s="32" t="s">
        <v>1225</v>
      </c>
      <c r="BC578" s="32" t="s">
        <v>1225</v>
      </c>
      <c r="BD578" s="32" t="s">
        <v>1225</v>
      </c>
      <c r="BE578" s="32">
        <v>1794</v>
      </c>
      <c r="BF578" s="32">
        <v>1806</v>
      </c>
      <c r="BG578" s="32" t="s">
        <v>1225</v>
      </c>
      <c r="BH578" s="32" t="s">
        <v>5219</v>
      </c>
      <c r="BI578" s="32" t="str">
        <f>HYPERLINK("http://dx.doi.org/10.1109/TPWRS.2020.3029836","http://dx.doi.org/10.1109/TPWRS.2020.3029836")</f>
        <v>http://dx.doi.org/10.1109/TPWRS.2020.3029836</v>
      </c>
      <c r="BJ578" s="32" t="s">
        <v>1225</v>
      </c>
      <c r="BK578" s="32" t="s">
        <v>1225</v>
      </c>
      <c r="BL578" s="32" t="s">
        <v>1225</v>
      </c>
      <c r="BM578" s="32" t="s">
        <v>1225</v>
      </c>
      <c r="BN578" s="32" t="s">
        <v>1225</v>
      </c>
      <c r="BO578" s="32" t="s">
        <v>1225</v>
      </c>
      <c r="BP578" s="32" t="s">
        <v>1225</v>
      </c>
      <c r="BQ578" s="32" t="s">
        <v>1225</v>
      </c>
      <c r="BR578" s="32" t="s">
        <v>1225</v>
      </c>
      <c r="BS578" s="32" t="s">
        <v>1225</v>
      </c>
      <c r="BT578" s="32" t="s">
        <v>1225</v>
      </c>
      <c r="BU578" s="32" t="s">
        <v>1225</v>
      </c>
      <c r="BV578" s="32" t="s">
        <v>1225</v>
      </c>
      <c r="BW578" s="32" t="str">
        <f t="shared" ref="BW578:BW627" si="18">HYPERLINK("https%3A%2F%2Fwww.webofscience.com%2Fwos%2Fwoscc%2Ffull-record%2F","View Full Record in Web of Science")</f>
        <v>View Full Record in Web of Science</v>
      </c>
      <c r="BY578" s="41" t="str">
        <f>IF(Deletion!J578=TRUE,"Yes","No")</f>
        <v>Yes</v>
      </c>
    </row>
    <row r="579" spans="1:77" x14ac:dyDescent="0.15">
      <c r="A579" s="32">
        <f t="shared" si="17"/>
        <v>578</v>
      </c>
      <c r="D579" s="32" t="s">
        <v>1223</v>
      </c>
      <c r="E579" s="32" t="s">
        <v>3770</v>
      </c>
      <c r="F579" s="32" t="s">
        <v>1225</v>
      </c>
      <c r="G579" s="32" t="s">
        <v>1225</v>
      </c>
      <c r="H579" s="32" t="s">
        <v>1225</v>
      </c>
      <c r="I579" s="32" t="s">
        <v>3771</v>
      </c>
      <c r="J579" s="32" t="s">
        <v>1225</v>
      </c>
      <c r="K579" s="32" t="s">
        <v>1225</v>
      </c>
      <c r="L579" s="32" t="s">
        <v>5220</v>
      </c>
      <c r="M579" s="32" t="s">
        <v>328</v>
      </c>
      <c r="N579" s="32" t="s">
        <v>1225</v>
      </c>
      <c r="O579" s="32" t="s">
        <v>1225</v>
      </c>
      <c r="P579" s="32" t="s">
        <v>1225</v>
      </c>
      <c r="Q579" s="32" t="s">
        <v>1227</v>
      </c>
      <c r="R579" s="32" t="s">
        <v>1225</v>
      </c>
      <c r="S579" s="32" t="s">
        <v>1225</v>
      </c>
      <c r="T579" s="32" t="s">
        <v>1225</v>
      </c>
      <c r="U579" s="32" t="s">
        <v>1225</v>
      </c>
      <c r="V579" s="32" t="s">
        <v>1225</v>
      </c>
      <c r="W579" s="32" t="s">
        <v>5221</v>
      </c>
      <c r="X579" s="32" t="s">
        <v>3487</v>
      </c>
      <c r="Y579" s="32" t="s">
        <v>5222</v>
      </c>
      <c r="Z579" s="32" t="s">
        <v>1225</v>
      </c>
      <c r="AA579" s="32" t="s">
        <v>1225</v>
      </c>
      <c r="AB579" s="32" t="s">
        <v>1225</v>
      </c>
      <c r="AC579" s="32" t="s">
        <v>1225</v>
      </c>
      <c r="AD579" s="32" t="s">
        <v>1225</v>
      </c>
      <c r="AE579" s="32" t="s">
        <v>1225</v>
      </c>
      <c r="AF579" s="32" t="s">
        <v>1225</v>
      </c>
      <c r="AG579" s="32" t="s">
        <v>1225</v>
      </c>
      <c r="AH579" s="32" t="s">
        <v>1225</v>
      </c>
      <c r="AI579" s="32" t="s">
        <v>1225</v>
      </c>
      <c r="AJ579" s="32" t="s">
        <v>1225</v>
      </c>
      <c r="AK579" s="32" t="s">
        <v>1225</v>
      </c>
      <c r="AL579" s="32" t="s">
        <v>1225</v>
      </c>
      <c r="AM579" s="32" t="s">
        <v>1225</v>
      </c>
      <c r="AN579" s="32" t="s">
        <v>1225</v>
      </c>
      <c r="AO579" s="32" t="s">
        <v>1225</v>
      </c>
      <c r="AP579" s="32" t="s">
        <v>1225</v>
      </c>
      <c r="AQ579" s="32" t="s">
        <v>1225</v>
      </c>
      <c r="AR579" s="32" t="s">
        <v>1225</v>
      </c>
      <c r="AS579" s="32" t="s">
        <v>1225</v>
      </c>
      <c r="AT579" s="32" t="s">
        <v>1225</v>
      </c>
      <c r="AU579" s="32" t="s">
        <v>1225</v>
      </c>
      <c r="AV579" s="32" t="s">
        <v>1225</v>
      </c>
      <c r="AW579" s="32" t="s">
        <v>1239</v>
      </c>
      <c r="AX579" s="32">
        <v>2019</v>
      </c>
      <c r="AY579" s="32" t="s">
        <v>1225</v>
      </c>
      <c r="AZ579" s="32">
        <v>18</v>
      </c>
      <c r="BA579" s="32" t="s">
        <v>1225</v>
      </c>
      <c r="BB579" s="32" t="s">
        <v>1225</v>
      </c>
      <c r="BC579" s="32" t="s">
        <v>1225</v>
      </c>
      <c r="BD579" s="32" t="s">
        <v>1225</v>
      </c>
      <c r="BE579" s="32">
        <v>4836</v>
      </c>
      <c r="BF579" s="32">
        <v>4840</v>
      </c>
      <c r="BG579" s="32" t="s">
        <v>1225</v>
      </c>
      <c r="BH579" s="32" t="s">
        <v>5223</v>
      </c>
      <c r="BI579" s="32" t="str">
        <f>HYPERLINK("http://dx.doi.org/10.1049/joe.2018.9330","http://dx.doi.org/10.1049/joe.2018.9330")</f>
        <v>http://dx.doi.org/10.1049/joe.2018.9330</v>
      </c>
      <c r="BJ579" s="32" t="s">
        <v>1225</v>
      </c>
      <c r="BK579" s="32" t="s">
        <v>1225</v>
      </c>
      <c r="BL579" s="32" t="s">
        <v>1225</v>
      </c>
      <c r="BM579" s="32" t="s">
        <v>1225</v>
      </c>
      <c r="BN579" s="32" t="s">
        <v>1225</v>
      </c>
      <c r="BO579" s="32" t="s">
        <v>1225</v>
      </c>
      <c r="BP579" s="32" t="s">
        <v>1225</v>
      </c>
      <c r="BQ579" s="32" t="s">
        <v>1225</v>
      </c>
      <c r="BR579" s="32" t="s">
        <v>1225</v>
      </c>
      <c r="BS579" s="32" t="s">
        <v>1225</v>
      </c>
      <c r="BT579" s="32" t="s">
        <v>1225</v>
      </c>
      <c r="BU579" s="32" t="s">
        <v>1225</v>
      </c>
      <c r="BV579" s="32" t="s">
        <v>1225</v>
      </c>
      <c r="BW579" s="32" t="str">
        <f t="shared" si="18"/>
        <v>View Full Record in Web of Science</v>
      </c>
      <c r="BY579" s="41" t="str">
        <f>IF(Deletion!J579=TRUE,"Yes","No")</f>
        <v>Yes</v>
      </c>
    </row>
    <row r="580" spans="1:77" x14ac:dyDescent="0.15">
      <c r="A580" s="32">
        <f t="shared" si="17"/>
        <v>579</v>
      </c>
      <c r="D580" s="32" t="s">
        <v>1223</v>
      </c>
      <c r="E580" s="32" t="s">
        <v>5224</v>
      </c>
      <c r="F580" s="32" t="s">
        <v>1225</v>
      </c>
      <c r="G580" s="32" t="s">
        <v>1225</v>
      </c>
      <c r="H580" s="32" t="s">
        <v>1225</v>
      </c>
      <c r="I580" s="32" t="s">
        <v>5225</v>
      </c>
      <c r="J580" s="32" t="s">
        <v>1225</v>
      </c>
      <c r="K580" s="32" t="s">
        <v>1225</v>
      </c>
      <c r="L580" s="32" t="s">
        <v>5226</v>
      </c>
      <c r="M580" s="32" t="s">
        <v>882</v>
      </c>
      <c r="N580" s="32" t="s">
        <v>1225</v>
      </c>
      <c r="O580" s="32" t="s">
        <v>1225</v>
      </c>
      <c r="P580" s="32" t="s">
        <v>1225</v>
      </c>
      <c r="Q580" s="32" t="s">
        <v>1227</v>
      </c>
      <c r="R580" s="32" t="s">
        <v>1225</v>
      </c>
      <c r="S580" s="32" t="s">
        <v>1225</v>
      </c>
      <c r="T580" s="32" t="s">
        <v>1225</v>
      </c>
      <c r="U580" s="32" t="s">
        <v>1225</v>
      </c>
      <c r="V580" s="32" t="s">
        <v>1225</v>
      </c>
      <c r="W580" s="32" t="s">
        <v>5227</v>
      </c>
      <c r="X580" s="32" t="s">
        <v>1225</v>
      </c>
      <c r="Y580" s="32" t="s">
        <v>5228</v>
      </c>
      <c r="Z580" s="32" t="s">
        <v>1225</v>
      </c>
      <c r="AA580" s="32" t="s">
        <v>1225</v>
      </c>
      <c r="AB580" s="32" t="s">
        <v>1225</v>
      </c>
      <c r="AC580" s="32" t="s">
        <v>1225</v>
      </c>
      <c r="AD580" s="32" t="s">
        <v>1225</v>
      </c>
      <c r="AE580" s="32" t="s">
        <v>1225</v>
      </c>
      <c r="AF580" s="32" t="s">
        <v>1225</v>
      </c>
      <c r="AG580" s="32" t="s">
        <v>1225</v>
      </c>
      <c r="AH580" s="32" t="s">
        <v>1225</v>
      </c>
      <c r="AI580" s="32" t="s">
        <v>1225</v>
      </c>
      <c r="AJ580" s="32" t="s">
        <v>1225</v>
      </c>
      <c r="AK580" s="32" t="s">
        <v>1225</v>
      </c>
      <c r="AL580" s="32" t="s">
        <v>1225</v>
      </c>
      <c r="AM580" s="32" t="s">
        <v>1225</v>
      </c>
      <c r="AN580" s="32" t="s">
        <v>1225</v>
      </c>
      <c r="AO580" s="32" t="s">
        <v>1225</v>
      </c>
      <c r="AP580" s="32" t="s">
        <v>1225</v>
      </c>
      <c r="AQ580" s="32" t="s">
        <v>1225</v>
      </c>
      <c r="AR580" s="32" t="s">
        <v>1225</v>
      </c>
      <c r="AS580" s="32" t="s">
        <v>1225</v>
      </c>
      <c r="AT580" s="32" t="s">
        <v>1225</v>
      </c>
      <c r="AU580" s="32" t="s">
        <v>1225</v>
      </c>
      <c r="AV580" s="32" t="s">
        <v>1225</v>
      </c>
      <c r="AW580" s="32" t="s">
        <v>5229</v>
      </c>
      <c r="AX580" s="32">
        <v>2016</v>
      </c>
      <c r="AY580" s="32">
        <v>10</v>
      </c>
      <c r="AZ580" s="32">
        <v>11</v>
      </c>
      <c r="BA580" s="32" t="s">
        <v>1225</v>
      </c>
      <c r="BB580" s="32" t="s">
        <v>1225</v>
      </c>
      <c r="BC580" s="32" t="s">
        <v>1225</v>
      </c>
      <c r="BD580" s="32" t="s">
        <v>1225</v>
      </c>
      <c r="BE580" s="32">
        <v>2689</v>
      </c>
      <c r="BF580" s="32">
        <v>2698</v>
      </c>
      <c r="BG580" s="32" t="s">
        <v>1225</v>
      </c>
      <c r="BH580" s="32" t="s">
        <v>5230</v>
      </c>
      <c r="BI580" s="32" t="str">
        <f>HYPERLINK("http://dx.doi.org/10.1049/iet-gtd.2015.0995","http://dx.doi.org/10.1049/iet-gtd.2015.0995")</f>
        <v>http://dx.doi.org/10.1049/iet-gtd.2015.0995</v>
      </c>
      <c r="BJ580" s="32" t="s">
        <v>1225</v>
      </c>
      <c r="BK580" s="32" t="s">
        <v>1225</v>
      </c>
      <c r="BL580" s="32" t="s">
        <v>1225</v>
      </c>
      <c r="BM580" s="32" t="s">
        <v>1225</v>
      </c>
      <c r="BN580" s="32" t="s">
        <v>1225</v>
      </c>
      <c r="BO580" s="32" t="s">
        <v>1225</v>
      </c>
      <c r="BP580" s="32" t="s">
        <v>1225</v>
      </c>
      <c r="BQ580" s="32" t="s">
        <v>1225</v>
      </c>
      <c r="BR580" s="32" t="s">
        <v>1225</v>
      </c>
      <c r="BS580" s="32" t="s">
        <v>1225</v>
      </c>
      <c r="BT580" s="32" t="s">
        <v>1225</v>
      </c>
      <c r="BU580" s="32" t="s">
        <v>1225</v>
      </c>
      <c r="BV580" s="32" t="s">
        <v>1225</v>
      </c>
      <c r="BW580" s="32" t="str">
        <f t="shared" si="18"/>
        <v>View Full Record in Web of Science</v>
      </c>
      <c r="BY580" s="41" t="str">
        <f>IF(Deletion!J580=TRUE,"Yes","No")</f>
        <v>Yes</v>
      </c>
    </row>
    <row r="581" spans="1:77" x14ac:dyDescent="0.15">
      <c r="A581" s="34">
        <f t="shared" ref="A581:A627" si="19">A580+1</f>
        <v>580</v>
      </c>
      <c r="B581" s="34" t="s">
        <v>4</v>
      </c>
      <c r="C581" s="34" t="s">
        <v>4</v>
      </c>
      <c r="D581" s="34" t="s">
        <v>1223</v>
      </c>
      <c r="E581" s="34" t="s">
        <v>5231</v>
      </c>
      <c r="F581" s="32" t="s">
        <v>1225</v>
      </c>
      <c r="G581" s="32" t="s">
        <v>1225</v>
      </c>
      <c r="H581" s="32" t="s">
        <v>1225</v>
      </c>
      <c r="I581" s="34" t="s">
        <v>5232</v>
      </c>
      <c r="J581" s="32" t="s">
        <v>1225</v>
      </c>
      <c r="K581" s="32" t="s">
        <v>1225</v>
      </c>
      <c r="L581" s="34" t="s">
        <v>5233</v>
      </c>
      <c r="M581" s="34" t="s">
        <v>422</v>
      </c>
      <c r="N581" s="32" t="s">
        <v>1225</v>
      </c>
      <c r="O581" s="32" t="s">
        <v>1225</v>
      </c>
      <c r="P581" s="32" t="s">
        <v>1225</v>
      </c>
      <c r="Q581" s="34" t="s">
        <v>1227</v>
      </c>
      <c r="R581" s="32" t="s">
        <v>1225</v>
      </c>
      <c r="S581" s="32" t="s">
        <v>1225</v>
      </c>
      <c r="T581" s="32" t="s">
        <v>1225</v>
      </c>
      <c r="U581" s="32" t="s">
        <v>1225</v>
      </c>
      <c r="V581" s="32" t="s">
        <v>1225</v>
      </c>
      <c r="W581" s="34" t="s">
        <v>5234</v>
      </c>
      <c r="X581" s="34" t="s">
        <v>5235</v>
      </c>
      <c r="Y581" s="34" t="s">
        <v>5236</v>
      </c>
      <c r="Z581" s="32" t="s">
        <v>1225</v>
      </c>
      <c r="AA581" s="32" t="s">
        <v>1225</v>
      </c>
      <c r="AB581" s="32" t="s">
        <v>1225</v>
      </c>
      <c r="AC581" s="32" t="s">
        <v>1225</v>
      </c>
      <c r="AD581" s="32" t="s">
        <v>1225</v>
      </c>
      <c r="AE581" s="32" t="s">
        <v>1225</v>
      </c>
      <c r="AF581" s="32" t="s">
        <v>1225</v>
      </c>
      <c r="AG581" s="32" t="s">
        <v>1225</v>
      </c>
      <c r="AH581" s="32" t="s">
        <v>1225</v>
      </c>
      <c r="AI581" s="32" t="s">
        <v>1225</v>
      </c>
      <c r="AJ581" s="32" t="s">
        <v>1225</v>
      </c>
      <c r="AK581" s="32" t="s">
        <v>1225</v>
      </c>
      <c r="AL581" s="32" t="s">
        <v>1225</v>
      </c>
      <c r="AM581" s="32" t="s">
        <v>1225</v>
      </c>
      <c r="AN581" s="32" t="s">
        <v>1225</v>
      </c>
      <c r="AO581" s="32" t="s">
        <v>1225</v>
      </c>
      <c r="AP581" s="32" t="s">
        <v>1225</v>
      </c>
      <c r="AQ581" s="32" t="s">
        <v>1225</v>
      </c>
      <c r="AR581" s="32" t="s">
        <v>1225</v>
      </c>
      <c r="AS581" s="32" t="s">
        <v>1225</v>
      </c>
      <c r="AT581" s="32" t="s">
        <v>1225</v>
      </c>
      <c r="AU581" s="32" t="s">
        <v>1225</v>
      </c>
      <c r="AV581" s="32" t="s">
        <v>1225</v>
      </c>
      <c r="AW581" s="34" t="s">
        <v>1272</v>
      </c>
      <c r="AX581" s="34">
        <v>2022</v>
      </c>
      <c r="AY581" s="32">
        <v>15</v>
      </c>
      <c r="AZ581" s="32">
        <v>5</v>
      </c>
      <c r="BA581" s="32" t="s">
        <v>1225</v>
      </c>
      <c r="BB581" s="32" t="s">
        <v>1225</v>
      </c>
      <c r="BC581" s="32" t="s">
        <v>1225</v>
      </c>
      <c r="BD581" s="32" t="s">
        <v>1225</v>
      </c>
      <c r="BE581" s="32" t="s">
        <v>1225</v>
      </c>
      <c r="BF581" s="32" t="s">
        <v>1225</v>
      </c>
      <c r="BG581" s="32">
        <v>1861</v>
      </c>
      <c r="BH581" s="34" t="s">
        <v>5237</v>
      </c>
      <c r="BI581" s="34" t="str">
        <f>HYPERLINK("http://dx.doi.org/10.3390/en15051861","http://dx.doi.org/10.3390/en15051861")</f>
        <v>http://dx.doi.org/10.3390/en15051861</v>
      </c>
      <c r="BJ581" s="32" t="s">
        <v>1225</v>
      </c>
      <c r="BK581" s="32" t="s">
        <v>1225</v>
      </c>
      <c r="BL581" s="32" t="s">
        <v>1225</v>
      </c>
      <c r="BM581" s="32" t="s">
        <v>1225</v>
      </c>
      <c r="BN581" s="32" t="s">
        <v>1225</v>
      </c>
      <c r="BO581" s="32" t="s">
        <v>1225</v>
      </c>
      <c r="BP581" s="32" t="s">
        <v>1225</v>
      </c>
      <c r="BQ581" s="32" t="s">
        <v>1225</v>
      </c>
      <c r="BR581" s="32" t="s">
        <v>1225</v>
      </c>
      <c r="BS581" s="32" t="s">
        <v>1225</v>
      </c>
      <c r="BT581" s="32" t="s">
        <v>1225</v>
      </c>
      <c r="BU581" s="32" t="s">
        <v>1225</v>
      </c>
      <c r="BV581" s="32" t="s">
        <v>1225</v>
      </c>
      <c r="BW581" s="32" t="str">
        <f t="shared" si="18"/>
        <v>View Full Record in Web of Science</v>
      </c>
      <c r="BY581" s="41" t="str">
        <f>IF(Deletion!J581=TRUE,"Yes","No")</f>
        <v>No</v>
      </c>
    </row>
    <row r="582" spans="1:77" x14ac:dyDescent="0.15">
      <c r="A582" s="32">
        <f t="shared" si="19"/>
        <v>581</v>
      </c>
      <c r="D582" s="32" t="s">
        <v>1223</v>
      </c>
      <c r="E582" s="32" t="s">
        <v>5238</v>
      </c>
      <c r="F582" s="32" t="s">
        <v>1225</v>
      </c>
      <c r="G582" s="32" t="s">
        <v>1225</v>
      </c>
      <c r="H582" s="32" t="s">
        <v>1225</v>
      </c>
      <c r="I582" s="32" t="s">
        <v>5239</v>
      </c>
      <c r="J582" s="32" t="s">
        <v>1225</v>
      </c>
      <c r="K582" s="32" t="s">
        <v>1225</v>
      </c>
      <c r="L582" s="32" t="s">
        <v>5240</v>
      </c>
      <c r="M582" s="32" t="s">
        <v>328</v>
      </c>
      <c r="N582" s="32" t="s">
        <v>1225</v>
      </c>
      <c r="O582" s="32" t="s">
        <v>1225</v>
      </c>
      <c r="P582" s="32" t="s">
        <v>1225</v>
      </c>
      <c r="Q582" s="32" t="s">
        <v>1227</v>
      </c>
      <c r="R582" s="32" t="s">
        <v>1225</v>
      </c>
      <c r="S582" s="32" t="s">
        <v>1225</v>
      </c>
      <c r="T582" s="32" t="s">
        <v>1225</v>
      </c>
      <c r="U582" s="32" t="s">
        <v>1225</v>
      </c>
      <c r="V582" s="32" t="s">
        <v>1225</v>
      </c>
      <c r="W582" s="32" t="s">
        <v>5241</v>
      </c>
      <c r="X582" s="32" t="s">
        <v>1225</v>
      </c>
      <c r="Y582" s="32" t="s">
        <v>5242</v>
      </c>
      <c r="Z582" s="32" t="s">
        <v>1225</v>
      </c>
      <c r="AA582" s="32" t="s">
        <v>1225</v>
      </c>
      <c r="AB582" s="32" t="s">
        <v>1225</v>
      </c>
      <c r="AC582" s="32" t="s">
        <v>1225</v>
      </c>
      <c r="AD582" s="32" t="s">
        <v>1225</v>
      </c>
      <c r="AE582" s="32" t="s">
        <v>1225</v>
      </c>
      <c r="AF582" s="32" t="s">
        <v>1225</v>
      </c>
      <c r="AG582" s="32" t="s">
        <v>1225</v>
      </c>
      <c r="AH582" s="32" t="s">
        <v>1225</v>
      </c>
      <c r="AI582" s="32" t="s">
        <v>1225</v>
      </c>
      <c r="AJ582" s="32" t="s">
        <v>1225</v>
      </c>
      <c r="AK582" s="32" t="s">
        <v>1225</v>
      </c>
      <c r="AL582" s="32" t="s">
        <v>1225</v>
      </c>
      <c r="AM582" s="32" t="s">
        <v>1225</v>
      </c>
      <c r="AN582" s="32" t="s">
        <v>1225</v>
      </c>
      <c r="AO582" s="32" t="s">
        <v>1225</v>
      </c>
      <c r="AP582" s="32" t="s">
        <v>1225</v>
      </c>
      <c r="AQ582" s="32" t="s">
        <v>1225</v>
      </c>
      <c r="AR582" s="32" t="s">
        <v>1225</v>
      </c>
      <c r="AS582" s="32" t="s">
        <v>1225</v>
      </c>
      <c r="AT582" s="32" t="s">
        <v>1225</v>
      </c>
      <c r="AU582" s="32" t="s">
        <v>1225</v>
      </c>
      <c r="AV582" s="32" t="s">
        <v>1225</v>
      </c>
      <c r="AW582" s="32" t="s">
        <v>1239</v>
      </c>
      <c r="AX582" s="32">
        <v>2019</v>
      </c>
      <c r="AY582" s="32" t="s">
        <v>1225</v>
      </c>
      <c r="AZ582" s="32">
        <v>18</v>
      </c>
      <c r="BA582" s="32" t="s">
        <v>1225</v>
      </c>
      <c r="BB582" s="32" t="s">
        <v>1225</v>
      </c>
      <c r="BC582" s="32" t="s">
        <v>1225</v>
      </c>
      <c r="BD582" s="32" t="s">
        <v>1225</v>
      </c>
      <c r="BE582" s="32">
        <v>4728</v>
      </c>
      <c r="BF582" s="32">
        <v>4733</v>
      </c>
      <c r="BG582" s="32" t="s">
        <v>1225</v>
      </c>
      <c r="BH582" s="32" t="s">
        <v>5243</v>
      </c>
      <c r="BI582" s="32" t="str">
        <f>HYPERLINK("http://dx.doi.org/10.1049/joe.2018.9374","http://dx.doi.org/10.1049/joe.2018.9374")</f>
        <v>http://dx.doi.org/10.1049/joe.2018.9374</v>
      </c>
      <c r="BJ582" s="32" t="s">
        <v>1225</v>
      </c>
      <c r="BK582" s="32" t="s">
        <v>1225</v>
      </c>
      <c r="BL582" s="32" t="s">
        <v>1225</v>
      </c>
      <c r="BM582" s="32" t="s">
        <v>1225</v>
      </c>
      <c r="BN582" s="32" t="s">
        <v>1225</v>
      </c>
      <c r="BO582" s="32" t="s">
        <v>1225</v>
      </c>
      <c r="BP582" s="32" t="s">
        <v>1225</v>
      </c>
      <c r="BQ582" s="32" t="s">
        <v>1225</v>
      </c>
      <c r="BR582" s="32" t="s">
        <v>1225</v>
      </c>
      <c r="BS582" s="32" t="s">
        <v>1225</v>
      </c>
      <c r="BT582" s="32" t="s">
        <v>1225</v>
      </c>
      <c r="BU582" s="32" t="s">
        <v>1225</v>
      </c>
      <c r="BV582" s="32" t="s">
        <v>1225</v>
      </c>
      <c r="BW582" s="32" t="str">
        <f t="shared" si="18"/>
        <v>View Full Record in Web of Science</v>
      </c>
      <c r="BY582" s="41" t="str">
        <f>IF(Deletion!J582=TRUE,"Yes","No")</f>
        <v>Yes</v>
      </c>
    </row>
    <row r="583" spans="1:77" x14ac:dyDescent="0.15">
      <c r="A583" s="32">
        <f t="shared" si="19"/>
        <v>582</v>
      </c>
      <c r="D583" s="32" t="s">
        <v>1223</v>
      </c>
      <c r="E583" s="32" t="s">
        <v>5244</v>
      </c>
      <c r="F583" s="32" t="s">
        <v>1225</v>
      </c>
      <c r="G583" s="32" t="s">
        <v>1225</v>
      </c>
      <c r="H583" s="32" t="s">
        <v>1225</v>
      </c>
      <c r="I583" s="32" t="s">
        <v>5245</v>
      </c>
      <c r="J583" s="32" t="s">
        <v>1225</v>
      </c>
      <c r="K583" s="32" t="s">
        <v>1225</v>
      </c>
      <c r="L583" s="32" t="s">
        <v>5246</v>
      </c>
      <c r="M583" s="32" t="s">
        <v>2044</v>
      </c>
      <c r="N583" s="32" t="s">
        <v>1225</v>
      </c>
      <c r="O583" s="32" t="s">
        <v>1225</v>
      </c>
      <c r="P583" s="32" t="s">
        <v>1225</v>
      </c>
      <c r="Q583" s="32" t="s">
        <v>1227</v>
      </c>
      <c r="R583" s="32" t="s">
        <v>1225</v>
      </c>
      <c r="S583" s="32" t="s">
        <v>1225</v>
      </c>
      <c r="T583" s="32" t="s">
        <v>1225</v>
      </c>
      <c r="U583" s="32" t="s">
        <v>1225</v>
      </c>
      <c r="V583" s="32" t="s">
        <v>1225</v>
      </c>
      <c r="W583" s="32" t="s">
        <v>5247</v>
      </c>
      <c r="X583" s="32" t="s">
        <v>5248</v>
      </c>
      <c r="Y583" s="32" t="s">
        <v>5249</v>
      </c>
      <c r="Z583" s="32" t="s">
        <v>1225</v>
      </c>
      <c r="AA583" s="32" t="s">
        <v>1225</v>
      </c>
      <c r="AB583" s="32" t="s">
        <v>1225</v>
      </c>
      <c r="AC583" s="32" t="s">
        <v>1225</v>
      </c>
      <c r="AD583" s="32" t="s">
        <v>1225</v>
      </c>
      <c r="AE583" s="32" t="s">
        <v>1225</v>
      </c>
      <c r="AF583" s="32" t="s">
        <v>1225</v>
      </c>
      <c r="AG583" s="32" t="s">
        <v>1225</v>
      </c>
      <c r="AH583" s="32" t="s">
        <v>1225</v>
      </c>
      <c r="AI583" s="32" t="s">
        <v>1225</v>
      </c>
      <c r="AJ583" s="32" t="s">
        <v>1225</v>
      </c>
      <c r="AK583" s="32" t="s">
        <v>1225</v>
      </c>
      <c r="AL583" s="32" t="s">
        <v>1225</v>
      </c>
      <c r="AM583" s="32" t="s">
        <v>1225</v>
      </c>
      <c r="AN583" s="32" t="s">
        <v>1225</v>
      </c>
      <c r="AO583" s="32" t="s">
        <v>1225</v>
      </c>
      <c r="AP583" s="32" t="s">
        <v>1225</v>
      </c>
      <c r="AQ583" s="32" t="s">
        <v>1225</v>
      </c>
      <c r="AR583" s="32" t="s">
        <v>1225</v>
      </c>
      <c r="AS583" s="32" t="s">
        <v>1225</v>
      </c>
      <c r="AT583" s="32" t="s">
        <v>1225</v>
      </c>
      <c r="AU583" s="32" t="s">
        <v>1225</v>
      </c>
      <c r="AV583" s="32" t="s">
        <v>1225</v>
      </c>
      <c r="AW583" s="32" t="s">
        <v>1317</v>
      </c>
      <c r="AX583" s="32">
        <v>2021</v>
      </c>
      <c r="AY583" s="32">
        <v>70</v>
      </c>
      <c r="AZ583" s="32">
        <v>1</v>
      </c>
      <c r="BA583" s="32" t="s">
        <v>1225</v>
      </c>
      <c r="BB583" s="32" t="s">
        <v>1225</v>
      </c>
      <c r="BC583" s="32" t="s">
        <v>1225</v>
      </c>
      <c r="BD583" s="32" t="s">
        <v>1225</v>
      </c>
      <c r="BE583" s="32">
        <v>59</v>
      </c>
      <c r="BF583" s="32">
        <v>68</v>
      </c>
      <c r="BG583" s="32" t="s">
        <v>1225</v>
      </c>
      <c r="BH583" s="32" t="s">
        <v>5250</v>
      </c>
      <c r="BI583" s="32" t="str">
        <f>HYPERLINK("http://dx.doi.org/10.1109/TVT.2020.3045833","http://dx.doi.org/10.1109/TVT.2020.3045833")</f>
        <v>http://dx.doi.org/10.1109/TVT.2020.3045833</v>
      </c>
      <c r="BJ583" s="32" t="s">
        <v>1225</v>
      </c>
      <c r="BK583" s="32" t="s">
        <v>1225</v>
      </c>
      <c r="BL583" s="32" t="s">
        <v>1225</v>
      </c>
      <c r="BM583" s="32" t="s">
        <v>1225</v>
      </c>
      <c r="BN583" s="32" t="s">
        <v>1225</v>
      </c>
      <c r="BO583" s="32" t="s">
        <v>1225</v>
      </c>
      <c r="BP583" s="32" t="s">
        <v>1225</v>
      </c>
      <c r="BQ583" s="32" t="s">
        <v>1225</v>
      </c>
      <c r="BR583" s="32" t="s">
        <v>1225</v>
      </c>
      <c r="BS583" s="32" t="s">
        <v>1225</v>
      </c>
      <c r="BT583" s="32" t="s">
        <v>1225</v>
      </c>
      <c r="BU583" s="32" t="s">
        <v>1225</v>
      </c>
      <c r="BV583" s="32" t="s">
        <v>1225</v>
      </c>
      <c r="BW583" s="32" t="str">
        <f t="shared" si="18"/>
        <v>View Full Record in Web of Science</v>
      </c>
      <c r="BY583" s="41" t="str">
        <f>IF(Deletion!J583=TRUE,"Yes","No")</f>
        <v>Yes</v>
      </c>
    </row>
    <row r="584" spans="1:77" x14ac:dyDescent="0.15">
      <c r="A584" s="32">
        <f t="shared" si="19"/>
        <v>583</v>
      </c>
      <c r="D584" s="32" t="s">
        <v>1223</v>
      </c>
      <c r="E584" s="32" t="s">
        <v>5251</v>
      </c>
      <c r="F584" s="32" t="s">
        <v>1225</v>
      </c>
      <c r="G584" s="32" t="s">
        <v>1225</v>
      </c>
      <c r="H584" s="32" t="s">
        <v>1225</v>
      </c>
      <c r="I584" s="32" t="s">
        <v>5252</v>
      </c>
      <c r="J584" s="32" t="s">
        <v>1225</v>
      </c>
      <c r="K584" s="32" t="s">
        <v>1225</v>
      </c>
      <c r="L584" s="32" t="s">
        <v>5253</v>
      </c>
      <c r="M584" s="32" t="s">
        <v>68</v>
      </c>
      <c r="N584" s="32" t="s">
        <v>1225</v>
      </c>
      <c r="O584" s="32" t="s">
        <v>1225</v>
      </c>
      <c r="P584" s="32" t="s">
        <v>1225</v>
      </c>
      <c r="Q584" s="32" t="s">
        <v>1227</v>
      </c>
      <c r="R584" s="32" t="s">
        <v>1225</v>
      </c>
      <c r="S584" s="32" t="s">
        <v>1225</v>
      </c>
      <c r="T584" s="32" t="s">
        <v>1225</v>
      </c>
      <c r="U584" s="32" t="s">
        <v>1225</v>
      </c>
      <c r="V584" s="32" t="s">
        <v>1225</v>
      </c>
      <c r="W584" s="32" t="s">
        <v>5254</v>
      </c>
      <c r="X584" s="32" t="s">
        <v>5255</v>
      </c>
      <c r="Y584" s="32" t="s">
        <v>5256</v>
      </c>
      <c r="Z584" s="32" t="s">
        <v>1225</v>
      </c>
      <c r="AA584" s="32" t="s">
        <v>1225</v>
      </c>
      <c r="AB584" s="32" t="s">
        <v>1225</v>
      </c>
      <c r="AC584" s="32" t="s">
        <v>1225</v>
      </c>
      <c r="AD584" s="32" t="s">
        <v>1225</v>
      </c>
      <c r="AE584" s="32" t="s">
        <v>1225</v>
      </c>
      <c r="AF584" s="32" t="s">
        <v>1225</v>
      </c>
      <c r="AG584" s="32" t="s">
        <v>1225</v>
      </c>
      <c r="AH584" s="32" t="s">
        <v>1225</v>
      </c>
      <c r="AI584" s="32" t="s">
        <v>1225</v>
      </c>
      <c r="AJ584" s="32" t="s">
        <v>1225</v>
      </c>
      <c r="AK584" s="32" t="s">
        <v>1225</v>
      </c>
      <c r="AL584" s="32" t="s">
        <v>1225</v>
      </c>
      <c r="AM584" s="32" t="s">
        <v>1225</v>
      </c>
      <c r="AN584" s="32" t="s">
        <v>1225</v>
      </c>
      <c r="AO584" s="32" t="s">
        <v>1225</v>
      </c>
      <c r="AP584" s="32" t="s">
        <v>1225</v>
      </c>
      <c r="AQ584" s="32" t="s">
        <v>1225</v>
      </c>
      <c r="AR584" s="32" t="s">
        <v>1225</v>
      </c>
      <c r="AS584" s="32" t="s">
        <v>1225</v>
      </c>
      <c r="AT584" s="32" t="s">
        <v>1225</v>
      </c>
      <c r="AU584" s="32" t="s">
        <v>1225</v>
      </c>
      <c r="AV584" s="32" t="s">
        <v>1225</v>
      </c>
      <c r="AW584" s="32" t="s">
        <v>1225</v>
      </c>
      <c r="AX584" s="32">
        <v>2021</v>
      </c>
      <c r="AY584" s="32">
        <v>9</v>
      </c>
      <c r="AZ584" s="32" t="s">
        <v>1225</v>
      </c>
      <c r="BA584" s="32" t="s">
        <v>1225</v>
      </c>
      <c r="BB584" s="32" t="s">
        <v>1225</v>
      </c>
      <c r="BC584" s="32" t="s">
        <v>1225</v>
      </c>
      <c r="BD584" s="32" t="s">
        <v>1225</v>
      </c>
      <c r="BE584" s="32">
        <v>81612</v>
      </c>
      <c r="BF584" s="32">
        <v>81623</v>
      </c>
      <c r="BG584" s="32" t="s">
        <v>1225</v>
      </c>
      <c r="BH584" s="32" t="s">
        <v>5257</v>
      </c>
      <c r="BI584" s="32" t="str">
        <f>HYPERLINK("http://dx.doi.org/10.1109/ACCESS.2021.3085244","http://dx.doi.org/10.1109/ACCESS.2021.3085244")</f>
        <v>http://dx.doi.org/10.1109/ACCESS.2021.3085244</v>
      </c>
      <c r="BJ584" s="32" t="s">
        <v>1225</v>
      </c>
      <c r="BK584" s="32" t="s">
        <v>1225</v>
      </c>
      <c r="BL584" s="32" t="s">
        <v>1225</v>
      </c>
      <c r="BM584" s="32" t="s">
        <v>1225</v>
      </c>
      <c r="BN584" s="32" t="s">
        <v>1225</v>
      </c>
      <c r="BO584" s="32" t="s">
        <v>1225</v>
      </c>
      <c r="BP584" s="32" t="s">
        <v>1225</v>
      </c>
      <c r="BQ584" s="32" t="s">
        <v>1225</v>
      </c>
      <c r="BR584" s="32" t="s">
        <v>1225</v>
      </c>
      <c r="BS584" s="32" t="s">
        <v>1225</v>
      </c>
      <c r="BT584" s="32" t="s">
        <v>1225</v>
      </c>
      <c r="BU584" s="32" t="s">
        <v>1225</v>
      </c>
      <c r="BV584" s="32" t="s">
        <v>1225</v>
      </c>
      <c r="BW584" s="32" t="str">
        <f t="shared" si="18"/>
        <v>View Full Record in Web of Science</v>
      </c>
      <c r="BY584" s="41" t="str">
        <f>IF(Deletion!J584=TRUE,"Yes","No")</f>
        <v>Yes</v>
      </c>
    </row>
    <row r="585" spans="1:77" x14ac:dyDescent="0.15">
      <c r="A585" s="32">
        <f t="shared" si="19"/>
        <v>584</v>
      </c>
      <c r="D585" s="32" t="s">
        <v>1223</v>
      </c>
      <c r="E585" s="32" t="s">
        <v>5258</v>
      </c>
      <c r="F585" s="32" t="s">
        <v>1225</v>
      </c>
      <c r="G585" s="32" t="s">
        <v>1225</v>
      </c>
      <c r="H585" s="32" t="s">
        <v>1225</v>
      </c>
      <c r="I585" s="32" t="s">
        <v>5259</v>
      </c>
      <c r="J585" s="32" t="s">
        <v>1225</v>
      </c>
      <c r="K585" s="32" t="s">
        <v>1225</v>
      </c>
      <c r="L585" s="32" t="s">
        <v>5260</v>
      </c>
      <c r="M585" s="32" t="s">
        <v>124</v>
      </c>
      <c r="N585" s="32" t="s">
        <v>1225</v>
      </c>
      <c r="O585" s="32" t="s">
        <v>1225</v>
      </c>
      <c r="P585" s="32" t="s">
        <v>1225</v>
      </c>
      <c r="Q585" s="32" t="s">
        <v>1227</v>
      </c>
      <c r="R585" s="32" t="s">
        <v>1225</v>
      </c>
      <c r="S585" s="32" t="s">
        <v>1225</v>
      </c>
      <c r="T585" s="32" t="s">
        <v>1225</v>
      </c>
      <c r="U585" s="32" t="s">
        <v>1225</v>
      </c>
      <c r="V585" s="32" t="s">
        <v>1225</v>
      </c>
      <c r="W585" s="32" t="s">
        <v>5261</v>
      </c>
      <c r="X585" s="32" t="s">
        <v>5262</v>
      </c>
      <c r="Y585" s="32" t="s">
        <v>5263</v>
      </c>
      <c r="Z585" s="32" t="s">
        <v>1225</v>
      </c>
      <c r="AA585" s="32" t="s">
        <v>1225</v>
      </c>
      <c r="AB585" s="32" t="s">
        <v>1225</v>
      </c>
      <c r="AC585" s="32" t="s">
        <v>1225</v>
      </c>
      <c r="AD585" s="32" t="s">
        <v>1225</v>
      </c>
      <c r="AE585" s="32" t="s">
        <v>1225</v>
      </c>
      <c r="AF585" s="32" t="s">
        <v>1225</v>
      </c>
      <c r="AG585" s="32" t="s">
        <v>1225</v>
      </c>
      <c r="AH585" s="32" t="s">
        <v>1225</v>
      </c>
      <c r="AI585" s="32" t="s">
        <v>1225</v>
      </c>
      <c r="AJ585" s="32" t="s">
        <v>1225</v>
      </c>
      <c r="AK585" s="32" t="s">
        <v>1225</v>
      </c>
      <c r="AL585" s="32" t="s">
        <v>1225</v>
      </c>
      <c r="AM585" s="32" t="s">
        <v>1225</v>
      </c>
      <c r="AN585" s="32" t="s">
        <v>1225</v>
      </c>
      <c r="AO585" s="32" t="s">
        <v>1225</v>
      </c>
      <c r="AP585" s="32" t="s">
        <v>1225</v>
      </c>
      <c r="AQ585" s="32" t="s">
        <v>1225</v>
      </c>
      <c r="AR585" s="32" t="s">
        <v>1225</v>
      </c>
      <c r="AS585" s="32" t="s">
        <v>1225</v>
      </c>
      <c r="AT585" s="32" t="s">
        <v>1225</v>
      </c>
      <c r="AU585" s="32" t="s">
        <v>1225</v>
      </c>
      <c r="AV585" s="32" t="s">
        <v>1225</v>
      </c>
      <c r="AW585" s="32" t="s">
        <v>3364</v>
      </c>
      <c r="AX585" s="32">
        <v>2020</v>
      </c>
      <c r="AY585" s="32">
        <v>11</v>
      </c>
      <c r="AZ585" s="32">
        <v>5</v>
      </c>
      <c r="BA585" s="32" t="s">
        <v>1225</v>
      </c>
      <c r="BB585" s="32" t="s">
        <v>1225</v>
      </c>
      <c r="BC585" s="32" t="s">
        <v>1225</v>
      </c>
      <c r="BD585" s="32" t="s">
        <v>1225</v>
      </c>
      <c r="BE585" s="32">
        <v>4005</v>
      </c>
      <c r="BF585" s="32">
        <v>4016</v>
      </c>
      <c r="BG585" s="32" t="s">
        <v>1225</v>
      </c>
      <c r="BH585" s="32" t="s">
        <v>5264</v>
      </c>
      <c r="BI585" s="32" t="str">
        <f>HYPERLINK("http://dx.doi.org/10.1109/TSG.2020.2989751","http://dx.doi.org/10.1109/TSG.2020.2989751")</f>
        <v>http://dx.doi.org/10.1109/TSG.2020.2989751</v>
      </c>
      <c r="BJ585" s="32" t="s">
        <v>1225</v>
      </c>
      <c r="BK585" s="32" t="s">
        <v>1225</v>
      </c>
      <c r="BL585" s="32" t="s">
        <v>1225</v>
      </c>
      <c r="BM585" s="32" t="s">
        <v>1225</v>
      </c>
      <c r="BN585" s="32" t="s">
        <v>1225</v>
      </c>
      <c r="BO585" s="32" t="s">
        <v>1225</v>
      </c>
      <c r="BP585" s="32" t="s">
        <v>1225</v>
      </c>
      <c r="BQ585" s="32" t="s">
        <v>1225</v>
      </c>
      <c r="BR585" s="32" t="s">
        <v>1225</v>
      </c>
      <c r="BS585" s="32" t="s">
        <v>1225</v>
      </c>
      <c r="BT585" s="32" t="s">
        <v>1225</v>
      </c>
      <c r="BU585" s="32" t="s">
        <v>1225</v>
      </c>
      <c r="BV585" s="32" t="s">
        <v>1225</v>
      </c>
      <c r="BW585" s="32" t="str">
        <f t="shared" si="18"/>
        <v>View Full Record in Web of Science</v>
      </c>
      <c r="BY585" s="41" t="str">
        <f>IF(Deletion!J585=TRUE,"Yes","No")</f>
        <v>Yes</v>
      </c>
    </row>
    <row r="586" spans="1:77" x14ac:dyDescent="0.15">
      <c r="A586" s="34">
        <f t="shared" si="19"/>
        <v>585</v>
      </c>
      <c r="B586" s="34" t="s">
        <v>4</v>
      </c>
      <c r="C586" s="34" t="s">
        <v>4</v>
      </c>
      <c r="D586" s="34" t="s">
        <v>1223</v>
      </c>
      <c r="E586" s="34" t="s">
        <v>5265</v>
      </c>
      <c r="F586" s="32" t="s">
        <v>1225</v>
      </c>
      <c r="G586" s="32" t="s">
        <v>1225</v>
      </c>
      <c r="H586" s="32" t="s">
        <v>1225</v>
      </c>
      <c r="I586" s="34" t="s">
        <v>5266</v>
      </c>
      <c r="J586" s="32" t="s">
        <v>1225</v>
      </c>
      <c r="K586" s="32" t="s">
        <v>1225</v>
      </c>
      <c r="L586" s="34" t="s">
        <v>5267</v>
      </c>
      <c r="M586" s="34" t="s">
        <v>228</v>
      </c>
      <c r="N586" s="32" t="s">
        <v>1225</v>
      </c>
      <c r="O586" s="32" t="s">
        <v>1225</v>
      </c>
      <c r="P586" s="32" t="s">
        <v>1225</v>
      </c>
      <c r="Q586" s="34" t="s">
        <v>1227</v>
      </c>
      <c r="R586" s="32" t="s">
        <v>1225</v>
      </c>
      <c r="S586" s="32" t="s">
        <v>1225</v>
      </c>
      <c r="T586" s="32" t="s">
        <v>1225</v>
      </c>
      <c r="U586" s="32" t="s">
        <v>1225</v>
      </c>
      <c r="V586" s="32" t="s">
        <v>1225</v>
      </c>
      <c r="W586" s="34" t="s">
        <v>5268</v>
      </c>
      <c r="X586" s="34" t="s">
        <v>5269</v>
      </c>
      <c r="Y586" s="34" t="s">
        <v>5270</v>
      </c>
      <c r="Z586" s="32" t="s">
        <v>1225</v>
      </c>
      <c r="AA586" s="32" t="s">
        <v>1225</v>
      </c>
      <c r="AB586" s="32" t="s">
        <v>1225</v>
      </c>
      <c r="AC586" s="32" t="s">
        <v>1225</v>
      </c>
      <c r="AD586" s="32" t="s">
        <v>1225</v>
      </c>
      <c r="AE586" s="32" t="s">
        <v>1225</v>
      </c>
      <c r="AF586" s="32" t="s">
        <v>1225</v>
      </c>
      <c r="AG586" s="32" t="s">
        <v>1225</v>
      </c>
      <c r="AH586" s="32" t="s">
        <v>1225</v>
      </c>
      <c r="AI586" s="32" t="s">
        <v>1225</v>
      </c>
      <c r="AJ586" s="32" t="s">
        <v>1225</v>
      </c>
      <c r="AK586" s="32" t="s">
        <v>1225</v>
      </c>
      <c r="AL586" s="32" t="s">
        <v>1225</v>
      </c>
      <c r="AM586" s="32" t="s">
        <v>1225</v>
      </c>
      <c r="AN586" s="32" t="s">
        <v>1225</v>
      </c>
      <c r="AO586" s="32" t="s">
        <v>1225</v>
      </c>
      <c r="AP586" s="32" t="s">
        <v>1225</v>
      </c>
      <c r="AQ586" s="32" t="s">
        <v>1225</v>
      </c>
      <c r="AR586" s="32" t="s">
        <v>1225</v>
      </c>
      <c r="AS586" s="32" t="s">
        <v>1225</v>
      </c>
      <c r="AT586" s="32" t="s">
        <v>1225</v>
      </c>
      <c r="AU586" s="32" t="s">
        <v>1225</v>
      </c>
      <c r="AV586" s="32" t="s">
        <v>1225</v>
      </c>
      <c r="AW586" s="34" t="s">
        <v>1298</v>
      </c>
      <c r="AX586" s="34">
        <v>2017</v>
      </c>
      <c r="AY586" s="32">
        <v>27</v>
      </c>
      <c r="AZ586" s="32">
        <v>9</v>
      </c>
      <c r="BA586" s="32" t="s">
        <v>1225</v>
      </c>
      <c r="BB586" s="32" t="s">
        <v>1225</v>
      </c>
      <c r="BC586" s="32" t="s">
        <v>1225</v>
      </c>
      <c r="BD586" s="32" t="s">
        <v>1225</v>
      </c>
      <c r="BE586" s="32" t="s">
        <v>1225</v>
      </c>
      <c r="BF586" s="32" t="s">
        <v>1225</v>
      </c>
      <c r="BG586" s="32" t="s">
        <v>5271</v>
      </c>
      <c r="BH586" s="34" t="s">
        <v>5272</v>
      </c>
      <c r="BI586" s="34" t="str">
        <f>HYPERLINK("http://dx.doi.org/10.1002/etep.2374","http://dx.doi.org/10.1002/etep.2374")</f>
        <v>http://dx.doi.org/10.1002/etep.2374</v>
      </c>
      <c r="BJ586" s="32" t="s">
        <v>1225</v>
      </c>
      <c r="BK586" s="32" t="s">
        <v>1225</v>
      </c>
      <c r="BL586" s="32" t="s">
        <v>1225</v>
      </c>
      <c r="BM586" s="32" t="s">
        <v>1225</v>
      </c>
      <c r="BN586" s="32" t="s">
        <v>1225</v>
      </c>
      <c r="BO586" s="32" t="s">
        <v>1225</v>
      </c>
      <c r="BP586" s="32" t="s">
        <v>1225</v>
      </c>
      <c r="BQ586" s="32" t="s">
        <v>1225</v>
      </c>
      <c r="BR586" s="32" t="s">
        <v>1225</v>
      </c>
      <c r="BS586" s="32" t="s">
        <v>1225</v>
      </c>
      <c r="BT586" s="32" t="s">
        <v>1225</v>
      </c>
      <c r="BU586" s="32" t="s">
        <v>1225</v>
      </c>
      <c r="BV586" s="32" t="s">
        <v>1225</v>
      </c>
      <c r="BW586" s="32" t="str">
        <f t="shared" si="18"/>
        <v>View Full Record in Web of Science</v>
      </c>
      <c r="BY586" s="41" t="str">
        <f>IF(Deletion!J586=TRUE,"Yes","No")</f>
        <v>No</v>
      </c>
    </row>
    <row r="587" spans="1:77" x14ac:dyDescent="0.15">
      <c r="A587" s="32">
        <f t="shared" si="19"/>
        <v>586</v>
      </c>
      <c r="D587" s="32" t="s">
        <v>1223</v>
      </c>
      <c r="E587" s="32" t="s">
        <v>5273</v>
      </c>
      <c r="F587" s="32" t="s">
        <v>1225</v>
      </c>
      <c r="G587" s="32" t="s">
        <v>1225</v>
      </c>
      <c r="H587" s="32" t="s">
        <v>1225</v>
      </c>
      <c r="I587" s="32" t="s">
        <v>5274</v>
      </c>
      <c r="J587" s="32" t="s">
        <v>1225</v>
      </c>
      <c r="K587" s="32" t="s">
        <v>1225</v>
      </c>
      <c r="L587" s="32" t="s">
        <v>5275</v>
      </c>
      <c r="M587" s="32" t="s">
        <v>882</v>
      </c>
      <c r="N587" s="32" t="s">
        <v>1225</v>
      </c>
      <c r="O587" s="32" t="s">
        <v>1225</v>
      </c>
      <c r="P587" s="32" t="s">
        <v>1225</v>
      </c>
      <c r="Q587" s="32" t="s">
        <v>1227</v>
      </c>
      <c r="R587" s="32" t="s">
        <v>1225</v>
      </c>
      <c r="S587" s="32" t="s">
        <v>1225</v>
      </c>
      <c r="T587" s="32" t="s">
        <v>1225</v>
      </c>
      <c r="U587" s="32" t="s">
        <v>1225</v>
      </c>
      <c r="V587" s="32" t="s">
        <v>1225</v>
      </c>
      <c r="W587" s="32" t="s">
        <v>5276</v>
      </c>
      <c r="X587" s="32" t="s">
        <v>5277</v>
      </c>
      <c r="Y587" s="32" t="s">
        <v>5278</v>
      </c>
      <c r="Z587" s="32" t="s">
        <v>1225</v>
      </c>
      <c r="AA587" s="32" t="s">
        <v>1225</v>
      </c>
      <c r="AB587" s="32" t="s">
        <v>1225</v>
      </c>
      <c r="AC587" s="32" t="s">
        <v>1225</v>
      </c>
      <c r="AD587" s="32" t="s">
        <v>1225</v>
      </c>
      <c r="AE587" s="32" t="s">
        <v>1225</v>
      </c>
      <c r="AF587" s="32" t="s">
        <v>1225</v>
      </c>
      <c r="AG587" s="32" t="s">
        <v>1225</v>
      </c>
      <c r="AH587" s="32" t="s">
        <v>1225</v>
      </c>
      <c r="AI587" s="32" t="s">
        <v>1225</v>
      </c>
      <c r="AJ587" s="32" t="s">
        <v>1225</v>
      </c>
      <c r="AK587" s="32" t="s">
        <v>1225</v>
      </c>
      <c r="AL587" s="32" t="s">
        <v>1225</v>
      </c>
      <c r="AM587" s="32" t="s">
        <v>1225</v>
      </c>
      <c r="AN587" s="32" t="s">
        <v>1225</v>
      </c>
      <c r="AO587" s="32" t="s">
        <v>1225</v>
      </c>
      <c r="AP587" s="32" t="s">
        <v>1225</v>
      </c>
      <c r="AQ587" s="32" t="s">
        <v>1225</v>
      </c>
      <c r="AR587" s="32" t="s">
        <v>1225</v>
      </c>
      <c r="AS587" s="32" t="s">
        <v>1225</v>
      </c>
      <c r="AT587" s="32" t="s">
        <v>1225</v>
      </c>
      <c r="AU587" s="32" t="s">
        <v>1225</v>
      </c>
      <c r="AV587" s="32" t="s">
        <v>1225</v>
      </c>
      <c r="AW587" s="32" t="s">
        <v>4238</v>
      </c>
      <c r="AX587" s="32">
        <v>2020</v>
      </c>
      <c r="AY587" s="32">
        <v>14</v>
      </c>
      <c r="AZ587" s="32">
        <v>21</v>
      </c>
      <c r="BA587" s="32" t="s">
        <v>1225</v>
      </c>
      <c r="BB587" s="32" t="s">
        <v>1225</v>
      </c>
      <c r="BC587" s="32" t="s">
        <v>1225</v>
      </c>
      <c r="BD587" s="32" t="s">
        <v>1225</v>
      </c>
      <c r="BE587" s="32">
        <v>4703</v>
      </c>
      <c r="BF587" s="32">
        <v>4710</v>
      </c>
      <c r="BG587" s="32" t="s">
        <v>1225</v>
      </c>
      <c r="BH587" s="32" t="s">
        <v>5279</v>
      </c>
      <c r="BI587" s="32" t="str">
        <f>HYPERLINK("http://dx.doi.org/10.1049/iet-gtd.2020.0117","http://dx.doi.org/10.1049/iet-gtd.2020.0117")</f>
        <v>http://dx.doi.org/10.1049/iet-gtd.2020.0117</v>
      </c>
      <c r="BJ587" s="32" t="s">
        <v>1225</v>
      </c>
      <c r="BK587" s="32" t="s">
        <v>1225</v>
      </c>
      <c r="BL587" s="32" t="s">
        <v>1225</v>
      </c>
      <c r="BM587" s="32" t="s">
        <v>1225</v>
      </c>
      <c r="BN587" s="32" t="s">
        <v>1225</v>
      </c>
      <c r="BO587" s="32" t="s">
        <v>1225</v>
      </c>
      <c r="BP587" s="32" t="s">
        <v>1225</v>
      </c>
      <c r="BQ587" s="32" t="s">
        <v>1225</v>
      </c>
      <c r="BR587" s="32" t="s">
        <v>1225</v>
      </c>
      <c r="BS587" s="32" t="s">
        <v>1225</v>
      </c>
      <c r="BT587" s="32" t="s">
        <v>1225</v>
      </c>
      <c r="BU587" s="32" t="s">
        <v>1225</v>
      </c>
      <c r="BV587" s="32" t="s">
        <v>1225</v>
      </c>
      <c r="BW587" s="32" t="str">
        <f t="shared" si="18"/>
        <v>View Full Record in Web of Science</v>
      </c>
      <c r="BY587" s="41" t="str">
        <f>IF(Deletion!J587=TRUE,"Yes","No")</f>
        <v>Yes</v>
      </c>
    </row>
    <row r="588" spans="1:77" x14ac:dyDescent="0.15">
      <c r="A588" s="34">
        <f t="shared" si="19"/>
        <v>587</v>
      </c>
      <c r="B588" s="34" t="s">
        <v>4</v>
      </c>
      <c r="C588" s="34" t="s">
        <v>4</v>
      </c>
      <c r="D588" s="34" t="s">
        <v>1223</v>
      </c>
      <c r="E588" s="34" t="s">
        <v>5280</v>
      </c>
      <c r="F588" s="32" t="s">
        <v>1225</v>
      </c>
      <c r="G588" s="32" t="s">
        <v>1225</v>
      </c>
      <c r="H588" s="32" t="s">
        <v>1225</v>
      </c>
      <c r="I588" s="34" t="s">
        <v>5281</v>
      </c>
      <c r="J588" s="32" t="s">
        <v>1225</v>
      </c>
      <c r="K588" s="32" t="s">
        <v>1225</v>
      </c>
      <c r="L588" s="34" t="s">
        <v>5282</v>
      </c>
      <c r="M588" s="34" t="s">
        <v>5283</v>
      </c>
      <c r="N588" s="32" t="s">
        <v>1225</v>
      </c>
      <c r="O588" s="32" t="s">
        <v>1225</v>
      </c>
      <c r="P588" s="32" t="s">
        <v>1225</v>
      </c>
      <c r="Q588" s="34" t="s">
        <v>1227</v>
      </c>
      <c r="R588" s="32" t="s">
        <v>1225</v>
      </c>
      <c r="S588" s="32" t="s">
        <v>1225</v>
      </c>
      <c r="T588" s="32" t="s">
        <v>1225</v>
      </c>
      <c r="U588" s="32" t="s">
        <v>1225</v>
      </c>
      <c r="V588" s="32" t="s">
        <v>1225</v>
      </c>
      <c r="W588" s="34" t="s">
        <v>5284</v>
      </c>
      <c r="X588" s="34" t="s">
        <v>5285</v>
      </c>
      <c r="Y588" s="34" t="s">
        <v>5286</v>
      </c>
      <c r="Z588" s="32" t="s">
        <v>1225</v>
      </c>
      <c r="AA588" s="32" t="s">
        <v>1225</v>
      </c>
      <c r="AB588" s="32" t="s">
        <v>1225</v>
      </c>
      <c r="AC588" s="32" t="s">
        <v>1225</v>
      </c>
      <c r="AD588" s="32" t="s">
        <v>1225</v>
      </c>
      <c r="AE588" s="32" t="s">
        <v>1225</v>
      </c>
      <c r="AF588" s="32" t="s">
        <v>1225</v>
      </c>
      <c r="AG588" s="32" t="s">
        <v>1225</v>
      </c>
      <c r="AH588" s="32" t="s">
        <v>1225</v>
      </c>
      <c r="AI588" s="32" t="s">
        <v>1225</v>
      </c>
      <c r="AJ588" s="32" t="s">
        <v>1225</v>
      </c>
      <c r="AK588" s="32" t="s">
        <v>1225</v>
      </c>
      <c r="AL588" s="32" t="s">
        <v>1225</v>
      </c>
      <c r="AM588" s="32" t="s">
        <v>1225</v>
      </c>
      <c r="AN588" s="32" t="s">
        <v>1225</v>
      </c>
      <c r="AO588" s="32" t="s">
        <v>1225</v>
      </c>
      <c r="AP588" s="32" t="s">
        <v>1225</v>
      </c>
      <c r="AQ588" s="32" t="s">
        <v>1225</v>
      </c>
      <c r="AR588" s="32" t="s">
        <v>1225</v>
      </c>
      <c r="AS588" s="32" t="s">
        <v>1225</v>
      </c>
      <c r="AT588" s="32" t="s">
        <v>1225</v>
      </c>
      <c r="AU588" s="32" t="s">
        <v>1225</v>
      </c>
      <c r="AV588" s="32" t="s">
        <v>1225</v>
      </c>
      <c r="AW588" s="34" t="s">
        <v>1272</v>
      </c>
      <c r="AX588" s="34">
        <v>2014</v>
      </c>
      <c r="AY588" s="32">
        <v>2</v>
      </c>
      <c r="AZ588" s="32">
        <v>1</v>
      </c>
      <c r="BA588" s="32" t="s">
        <v>1225</v>
      </c>
      <c r="BB588" s="32" t="s">
        <v>1225</v>
      </c>
      <c r="BC588" s="32" t="s">
        <v>1225</v>
      </c>
      <c r="BD588" s="32" t="s">
        <v>1225</v>
      </c>
      <c r="BE588" s="32">
        <v>115</v>
      </c>
      <c r="BF588" s="32">
        <v>126</v>
      </c>
      <c r="BG588" s="32" t="s">
        <v>1225</v>
      </c>
      <c r="BH588" s="34" t="s">
        <v>5287</v>
      </c>
      <c r="BI588" s="34" t="str">
        <f>HYPERLINK("http://dx.doi.org/10.1109/JESTPE.2013.2294738","http://dx.doi.org/10.1109/JESTPE.2013.2294738")</f>
        <v>http://dx.doi.org/10.1109/JESTPE.2013.2294738</v>
      </c>
      <c r="BJ588" s="32" t="s">
        <v>1225</v>
      </c>
      <c r="BK588" s="32" t="s">
        <v>1225</v>
      </c>
      <c r="BL588" s="32" t="s">
        <v>1225</v>
      </c>
      <c r="BM588" s="32" t="s">
        <v>1225</v>
      </c>
      <c r="BN588" s="32" t="s">
        <v>1225</v>
      </c>
      <c r="BO588" s="32" t="s">
        <v>1225</v>
      </c>
      <c r="BP588" s="32" t="s">
        <v>1225</v>
      </c>
      <c r="BQ588" s="32" t="s">
        <v>1225</v>
      </c>
      <c r="BR588" s="32" t="s">
        <v>1225</v>
      </c>
      <c r="BS588" s="32" t="s">
        <v>1225</v>
      </c>
      <c r="BT588" s="32" t="s">
        <v>1225</v>
      </c>
      <c r="BU588" s="32" t="s">
        <v>1225</v>
      </c>
      <c r="BV588" s="32" t="s">
        <v>1225</v>
      </c>
      <c r="BW588" s="32" t="str">
        <f t="shared" si="18"/>
        <v>View Full Record in Web of Science</v>
      </c>
      <c r="BY588" s="41" t="str">
        <f>IF(Deletion!J588=TRUE,"Yes","No")</f>
        <v>No</v>
      </c>
    </row>
    <row r="589" spans="1:77" x14ac:dyDescent="0.15">
      <c r="A589" s="32">
        <f t="shared" si="19"/>
        <v>588</v>
      </c>
      <c r="D589" s="32" t="s">
        <v>1223</v>
      </c>
      <c r="E589" s="32" t="s">
        <v>5288</v>
      </c>
      <c r="F589" s="32" t="s">
        <v>1225</v>
      </c>
      <c r="G589" s="32" t="s">
        <v>1225</v>
      </c>
      <c r="H589" s="32" t="s">
        <v>1225</v>
      </c>
      <c r="I589" s="32" t="s">
        <v>5289</v>
      </c>
      <c r="J589" s="32" t="s">
        <v>1225</v>
      </c>
      <c r="K589" s="32" t="s">
        <v>1225</v>
      </c>
      <c r="L589" s="32" t="s">
        <v>5290</v>
      </c>
      <c r="M589" s="32" t="s">
        <v>2051</v>
      </c>
      <c r="N589" s="32" t="s">
        <v>1225</v>
      </c>
      <c r="O589" s="32" t="s">
        <v>1225</v>
      </c>
      <c r="P589" s="32" t="s">
        <v>1225</v>
      </c>
      <c r="Q589" s="32" t="s">
        <v>1227</v>
      </c>
      <c r="R589" s="32" t="s">
        <v>1225</v>
      </c>
      <c r="S589" s="32" t="s">
        <v>1225</v>
      </c>
      <c r="T589" s="32" t="s">
        <v>1225</v>
      </c>
      <c r="U589" s="32" t="s">
        <v>1225</v>
      </c>
      <c r="V589" s="32" t="s">
        <v>1225</v>
      </c>
      <c r="W589" s="32" t="s">
        <v>5291</v>
      </c>
      <c r="X589" s="32" t="s">
        <v>5292</v>
      </c>
      <c r="Y589" s="32" t="s">
        <v>5293</v>
      </c>
      <c r="Z589" s="32" t="s">
        <v>1225</v>
      </c>
      <c r="AA589" s="32" t="s">
        <v>1225</v>
      </c>
      <c r="AB589" s="32" t="s">
        <v>1225</v>
      </c>
      <c r="AC589" s="32" t="s">
        <v>1225</v>
      </c>
      <c r="AD589" s="32" t="s">
        <v>1225</v>
      </c>
      <c r="AE589" s="32" t="s">
        <v>1225</v>
      </c>
      <c r="AF589" s="32" t="s">
        <v>1225</v>
      </c>
      <c r="AG589" s="32" t="s">
        <v>1225</v>
      </c>
      <c r="AH589" s="32" t="s">
        <v>1225</v>
      </c>
      <c r="AI589" s="32" t="s">
        <v>1225</v>
      </c>
      <c r="AJ589" s="32" t="s">
        <v>1225</v>
      </c>
      <c r="AK589" s="32" t="s">
        <v>1225</v>
      </c>
      <c r="AL589" s="32" t="s">
        <v>1225</v>
      </c>
      <c r="AM589" s="32" t="s">
        <v>1225</v>
      </c>
      <c r="AN589" s="32" t="s">
        <v>1225</v>
      </c>
      <c r="AO589" s="32" t="s">
        <v>1225</v>
      </c>
      <c r="AP589" s="32" t="s">
        <v>1225</v>
      </c>
      <c r="AQ589" s="32" t="s">
        <v>1225</v>
      </c>
      <c r="AR589" s="32" t="s">
        <v>1225</v>
      </c>
      <c r="AS589" s="32" t="s">
        <v>1225</v>
      </c>
      <c r="AT589" s="32" t="s">
        <v>1225</v>
      </c>
      <c r="AU589" s="32" t="s">
        <v>1225</v>
      </c>
      <c r="AV589" s="32" t="s">
        <v>1225</v>
      </c>
      <c r="AW589" s="32" t="s">
        <v>1272</v>
      </c>
      <c r="AX589" s="32">
        <v>2022</v>
      </c>
      <c r="AY589" s="32">
        <v>18</v>
      </c>
      <c r="AZ589" s="32">
        <v>3</v>
      </c>
      <c r="BA589" s="32" t="s">
        <v>1225</v>
      </c>
      <c r="BB589" s="32" t="s">
        <v>1225</v>
      </c>
      <c r="BC589" s="32" t="s">
        <v>1225</v>
      </c>
      <c r="BD589" s="32" t="s">
        <v>1225</v>
      </c>
      <c r="BE589" s="32">
        <v>1618</v>
      </c>
      <c r="BF589" s="32">
        <v>1628</v>
      </c>
      <c r="BG589" s="32" t="s">
        <v>1225</v>
      </c>
      <c r="BH589" s="32" t="s">
        <v>5294</v>
      </c>
      <c r="BI589" s="32" t="str">
        <f>HYPERLINK("http://dx.doi.org/10.1109/TII.2021.3088420","http://dx.doi.org/10.1109/TII.2021.3088420")</f>
        <v>http://dx.doi.org/10.1109/TII.2021.3088420</v>
      </c>
      <c r="BJ589" s="32" t="s">
        <v>1225</v>
      </c>
      <c r="BK589" s="32" t="s">
        <v>1225</v>
      </c>
      <c r="BL589" s="32" t="s">
        <v>1225</v>
      </c>
      <c r="BM589" s="32" t="s">
        <v>1225</v>
      </c>
      <c r="BN589" s="32" t="s">
        <v>1225</v>
      </c>
      <c r="BO589" s="32" t="s">
        <v>1225</v>
      </c>
      <c r="BP589" s="32" t="s">
        <v>1225</v>
      </c>
      <c r="BQ589" s="32" t="s">
        <v>1225</v>
      </c>
      <c r="BR589" s="32" t="s">
        <v>1225</v>
      </c>
      <c r="BS589" s="32" t="s">
        <v>1225</v>
      </c>
      <c r="BT589" s="32" t="s">
        <v>1225</v>
      </c>
      <c r="BU589" s="32" t="s">
        <v>1225</v>
      </c>
      <c r="BV589" s="32" t="s">
        <v>1225</v>
      </c>
      <c r="BW589" s="32" t="str">
        <f t="shared" si="18"/>
        <v>View Full Record in Web of Science</v>
      </c>
      <c r="BY589" s="41" t="str">
        <f>IF(Deletion!J589=TRUE,"Yes","No")</f>
        <v>Yes</v>
      </c>
    </row>
    <row r="590" spans="1:77" x14ac:dyDescent="0.15">
      <c r="A590" s="32">
        <f t="shared" si="19"/>
        <v>589</v>
      </c>
      <c r="D590" s="32" t="s">
        <v>1223</v>
      </c>
      <c r="E590" s="32" t="s">
        <v>5295</v>
      </c>
      <c r="F590" s="32" t="s">
        <v>1225</v>
      </c>
      <c r="G590" s="32" t="s">
        <v>1225</v>
      </c>
      <c r="H590" s="32" t="s">
        <v>1225</v>
      </c>
      <c r="I590" s="32" t="s">
        <v>5296</v>
      </c>
      <c r="J590" s="32" t="s">
        <v>1225</v>
      </c>
      <c r="K590" s="32" t="s">
        <v>1225</v>
      </c>
      <c r="L590" s="32" t="s">
        <v>5297</v>
      </c>
      <c r="M590" s="32" t="s">
        <v>2459</v>
      </c>
      <c r="N590" s="32" t="s">
        <v>1225</v>
      </c>
      <c r="O590" s="32" t="s">
        <v>1225</v>
      </c>
      <c r="P590" s="32" t="s">
        <v>1225</v>
      </c>
      <c r="Q590" s="32" t="s">
        <v>1227</v>
      </c>
      <c r="R590" s="32" t="s">
        <v>1225</v>
      </c>
      <c r="S590" s="32" t="s">
        <v>1225</v>
      </c>
      <c r="T590" s="32" t="s">
        <v>1225</v>
      </c>
      <c r="U590" s="32" t="s">
        <v>1225</v>
      </c>
      <c r="V590" s="32" t="s">
        <v>1225</v>
      </c>
      <c r="W590" s="32" t="s">
        <v>5298</v>
      </c>
      <c r="X590" s="32" t="s">
        <v>5299</v>
      </c>
      <c r="Y590" s="32" t="s">
        <v>5300</v>
      </c>
      <c r="Z590" s="32" t="s">
        <v>1225</v>
      </c>
      <c r="AA590" s="32" t="s">
        <v>1225</v>
      </c>
      <c r="AB590" s="32" t="s">
        <v>1225</v>
      </c>
      <c r="AC590" s="32" t="s">
        <v>1225</v>
      </c>
      <c r="AD590" s="32" t="s">
        <v>1225</v>
      </c>
      <c r="AE590" s="32" t="s">
        <v>1225</v>
      </c>
      <c r="AF590" s="32" t="s">
        <v>1225</v>
      </c>
      <c r="AG590" s="32" t="s">
        <v>1225</v>
      </c>
      <c r="AH590" s="32" t="s">
        <v>1225</v>
      </c>
      <c r="AI590" s="32" t="s">
        <v>1225</v>
      </c>
      <c r="AJ590" s="32" t="s">
        <v>1225</v>
      </c>
      <c r="AK590" s="32" t="s">
        <v>1225</v>
      </c>
      <c r="AL590" s="32" t="s">
        <v>1225</v>
      </c>
      <c r="AM590" s="32" t="s">
        <v>1225</v>
      </c>
      <c r="AN590" s="32" t="s">
        <v>1225</v>
      </c>
      <c r="AO590" s="32" t="s">
        <v>1225</v>
      </c>
      <c r="AP590" s="32" t="s">
        <v>1225</v>
      </c>
      <c r="AQ590" s="32" t="s">
        <v>1225</v>
      </c>
      <c r="AR590" s="32" t="s">
        <v>1225</v>
      </c>
      <c r="AS590" s="32" t="s">
        <v>1225</v>
      </c>
      <c r="AT590" s="32" t="s">
        <v>1225</v>
      </c>
      <c r="AU590" s="32" t="s">
        <v>1225</v>
      </c>
      <c r="AV590" s="32" t="s">
        <v>1225</v>
      </c>
      <c r="AW590" s="32" t="s">
        <v>1272</v>
      </c>
      <c r="AX590" s="32">
        <v>2018</v>
      </c>
      <c r="AY590" s="32">
        <v>13</v>
      </c>
      <c r="AZ590" s="32">
        <v>2</v>
      </c>
      <c r="BA590" s="32" t="s">
        <v>1225</v>
      </c>
      <c r="BB590" s="32" t="s">
        <v>1225</v>
      </c>
      <c r="BC590" s="32" t="s">
        <v>1225</v>
      </c>
      <c r="BD590" s="32" t="s">
        <v>1225</v>
      </c>
      <c r="BE590" s="32">
        <v>742</v>
      </c>
      <c r="BF590" s="32">
        <v>751</v>
      </c>
      <c r="BG590" s="32" t="s">
        <v>1225</v>
      </c>
      <c r="BH590" s="32" t="s">
        <v>5301</v>
      </c>
      <c r="BI590" s="32" t="str">
        <f>HYPERLINK("http://dx.doi.org/10.5370/JEET.2018.13.2.742","http://dx.doi.org/10.5370/JEET.2018.13.2.742")</f>
        <v>http://dx.doi.org/10.5370/JEET.2018.13.2.742</v>
      </c>
      <c r="BJ590" s="32" t="s">
        <v>1225</v>
      </c>
      <c r="BK590" s="32" t="s">
        <v>1225</v>
      </c>
      <c r="BL590" s="32" t="s">
        <v>1225</v>
      </c>
      <c r="BM590" s="32" t="s">
        <v>1225</v>
      </c>
      <c r="BN590" s="32" t="s">
        <v>1225</v>
      </c>
      <c r="BO590" s="32" t="s">
        <v>1225</v>
      </c>
      <c r="BP590" s="32" t="s">
        <v>1225</v>
      </c>
      <c r="BQ590" s="32" t="s">
        <v>1225</v>
      </c>
      <c r="BR590" s="32" t="s">
        <v>1225</v>
      </c>
      <c r="BS590" s="32" t="s">
        <v>1225</v>
      </c>
      <c r="BT590" s="32" t="s">
        <v>1225</v>
      </c>
      <c r="BU590" s="32" t="s">
        <v>1225</v>
      </c>
      <c r="BV590" s="32" t="s">
        <v>1225</v>
      </c>
      <c r="BW590" s="32" t="str">
        <f t="shared" si="18"/>
        <v>View Full Record in Web of Science</v>
      </c>
      <c r="BY590" s="41" t="str">
        <f>IF(Deletion!J590=TRUE,"Yes","No")</f>
        <v>Yes</v>
      </c>
    </row>
    <row r="591" spans="1:77" x14ac:dyDescent="0.15">
      <c r="A591" s="32">
        <f t="shared" si="19"/>
        <v>590</v>
      </c>
      <c r="D591" s="32" t="s">
        <v>1223</v>
      </c>
      <c r="E591" s="32" t="s">
        <v>5302</v>
      </c>
      <c r="F591" s="32" t="s">
        <v>1225</v>
      </c>
      <c r="G591" s="32" t="s">
        <v>1225</v>
      </c>
      <c r="H591" s="32" t="s">
        <v>1225</v>
      </c>
      <c r="I591" s="32" t="s">
        <v>5303</v>
      </c>
      <c r="J591" s="32" t="s">
        <v>1225</v>
      </c>
      <c r="K591" s="32" t="s">
        <v>1225</v>
      </c>
      <c r="L591" s="32" t="s">
        <v>5304</v>
      </c>
      <c r="M591" s="32" t="s">
        <v>2051</v>
      </c>
      <c r="N591" s="32" t="s">
        <v>1225</v>
      </c>
      <c r="O591" s="32" t="s">
        <v>1225</v>
      </c>
      <c r="P591" s="32" t="s">
        <v>1225</v>
      </c>
      <c r="Q591" s="32" t="s">
        <v>1227</v>
      </c>
      <c r="R591" s="32" t="s">
        <v>1225</v>
      </c>
      <c r="S591" s="32" t="s">
        <v>1225</v>
      </c>
      <c r="T591" s="32" t="s">
        <v>1225</v>
      </c>
      <c r="U591" s="32" t="s">
        <v>1225</v>
      </c>
      <c r="V591" s="32" t="s">
        <v>1225</v>
      </c>
      <c r="W591" s="32" t="s">
        <v>5305</v>
      </c>
      <c r="X591" s="32" t="s">
        <v>5306</v>
      </c>
      <c r="Y591" s="32" t="s">
        <v>5307</v>
      </c>
      <c r="Z591" s="32" t="s">
        <v>1225</v>
      </c>
      <c r="AA591" s="32" t="s">
        <v>1225</v>
      </c>
      <c r="AB591" s="32" t="s">
        <v>1225</v>
      </c>
      <c r="AC591" s="32" t="s">
        <v>1225</v>
      </c>
      <c r="AD591" s="32" t="s">
        <v>1225</v>
      </c>
      <c r="AE591" s="32" t="s">
        <v>1225</v>
      </c>
      <c r="AF591" s="32" t="s">
        <v>1225</v>
      </c>
      <c r="AG591" s="32" t="s">
        <v>1225</v>
      </c>
      <c r="AH591" s="32" t="s">
        <v>1225</v>
      </c>
      <c r="AI591" s="32" t="s">
        <v>1225</v>
      </c>
      <c r="AJ591" s="32" t="s">
        <v>1225</v>
      </c>
      <c r="AK591" s="32" t="s">
        <v>1225</v>
      </c>
      <c r="AL591" s="32" t="s">
        <v>1225</v>
      </c>
      <c r="AM591" s="32" t="s">
        <v>1225</v>
      </c>
      <c r="AN591" s="32" t="s">
        <v>1225</v>
      </c>
      <c r="AO591" s="32" t="s">
        <v>1225</v>
      </c>
      <c r="AP591" s="32" t="s">
        <v>1225</v>
      </c>
      <c r="AQ591" s="32" t="s">
        <v>1225</v>
      </c>
      <c r="AR591" s="32" t="s">
        <v>1225</v>
      </c>
      <c r="AS591" s="32" t="s">
        <v>1225</v>
      </c>
      <c r="AT591" s="32" t="s">
        <v>1225</v>
      </c>
      <c r="AU591" s="32" t="s">
        <v>1225</v>
      </c>
      <c r="AV591" s="32" t="s">
        <v>1225</v>
      </c>
      <c r="AW591" s="32" t="s">
        <v>1272</v>
      </c>
      <c r="AX591" s="32">
        <v>2020</v>
      </c>
      <c r="AY591" s="32">
        <v>16</v>
      </c>
      <c r="AZ591" s="32">
        <v>3</v>
      </c>
      <c r="BA591" s="32" t="s">
        <v>1225</v>
      </c>
      <c r="BB591" s="32" t="s">
        <v>1225</v>
      </c>
      <c r="BC591" s="32" t="s">
        <v>1225</v>
      </c>
      <c r="BD591" s="32" t="s">
        <v>1225</v>
      </c>
      <c r="BE591" s="32">
        <v>1811</v>
      </c>
      <c r="BF591" s="32">
        <v>1822</v>
      </c>
      <c r="BG591" s="32" t="s">
        <v>1225</v>
      </c>
      <c r="BH591" s="32" t="s">
        <v>5308</v>
      </c>
      <c r="BI591" s="32" t="str">
        <f>HYPERLINK("http://dx.doi.org/10.1109/TII.2019.2928520","http://dx.doi.org/10.1109/TII.2019.2928520")</f>
        <v>http://dx.doi.org/10.1109/TII.2019.2928520</v>
      </c>
      <c r="BJ591" s="32" t="s">
        <v>1225</v>
      </c>
      <c r="BK591" s="32" t="s">
        <v>1225</v>
      </c>
      <c r="BL591" s="32" t="s">
        <v>1225</v>
      </c>
      <c r="BM591" s="32" t="s">
        <v>1225</v>
      </c>
      <c r="BN591" s="32" t="s">
        <v>1225</v>
      </c>
      <c r="BO591" s="32" t="s">
        <v>1225</v>
      </c>
      <c r="BP591" s="32" t="s">
        <v>1225</v>
      </c>
      <c r="BQ591" s="32" t="s">
        <v>1225</v>
      </c>
      <c r="BR591" s="32" t="s">
        <v>1225</v>
      </c>
      <c r="BS591" s="32" t="s">
        <v>1225</v>
      </c>
      <c r="BT591" s="32" t="s">
        <v>1225</v>
      </c>
      <c r="BU591" s="32" t="s">
        <v>1225</v>
      </c>
      <c r="BV591" s="32" t="s">
        <v>1225</v>
      </c>
      <c r="BW591" s="32" t="str">
        <f t="shared" si="18"/>
        <v>View Full Record in Web of Science</v>
      </c>
      <c r="BY591" s="41" t="str">
        <f>IF(Deletion!J591=TRUE,"Yes","No")</f>
        <v>Yes</v>
      </c>
    </row>
    <row r="592" spans="1:77" x14ac:dyDescent="0.15">
      <c r="A592" s="34">
        <f t="shared" si="19"/>
        <v>591</v>
      </c>
      <c r="B592" s="34" t="s">
        <v>4</v>
      </c>
      <c r="C592" s="34" t="s">
        <v>4</v>
      </c>
      <c r="D592" s="34" t="s">
        <v>1223</v>
      </c>
      <c r="E592" s="34" t="s">
        <v>5309</v>
      </c>
      <c r="F592" s="32" t="s">
        <v>1225</v>
      </c>
      <c r="G592" s="32" t="s">
        <v>1225</v>
      </c>
      <c r="H592" s="32" t="s">
        <v>1225</v>
      </c>
      <c r="I592" s="34" t="s">
        <v>5310</v>
      </c>
      <c r="J592" s="32" t="s">
        <v>1225</v>
      </c>
      <c r="K592" s="32" t="s">
        <v>1225</v>
      </c>
      <c r="L592" s="34" t="s">
        <v>5311</v>
      </c>
      <c r="M592" s="34" t="s">
        <v>1743</v>
      </c>
      <c r="N592" s="32" t="s">
        <v>1225</v>
      </c>
      <c r="O592" s="32" t="s">
        <v>1225</v>
      </c>
      <c r="P592" s="32" t="s">
        <v>1225</v>
      </c>
      <c r="Q592" s="34" t="s">
        <v>1795</v>
      </c>
      <c r="R592" s="32" t="s">
        <v>1225</v>
      </c>
      <c r="S592" s="32" t="s">
        <v>1225</v>
      </c>
      <c r="T592" s="32" t="s">
        <v>1225</v>
      </c>
      <c r="U592" s="32" t="s">
        <v>1225</v>
      </c>
      <c r="V592" s="32" t="s">
        <v>1225</v>
      </c>
      <c r="W592" s="34" t="s">
        <v>5312</v>
      </c>
      <c r="X592" s="34" t="s">
        <v>5313</v>
      </c>
      <c r="Y592" s="34" t="s">
        <v>5314</v>
      </c>
      <c r="Z592" s="32" t="s">
        <v>1225</v>
      </c>
      <c r="AA592" s="32" t="s">
        <v>1225</v>
      </c>
      <c r="AB592" s="32" t="s">
        <v>1225</v>
      </c>
      <c r="AC592" s="32" t="s">
        <v>1225</v>
      </c>
      <c r="AD592" s="32" t="s">
        <v>1225</v>
      </c>
      <c r="AE592" s="32" t="s">
        <v>1225</v>
      </c>
      <c r="AF592" s="32" t="s">
        <v>1225</v>
      </c>
      <c r="AG592" s="32" t="s">
        <v>1225</v>
      </c>
      <c r="AH592" s="32" t="s">
        <v>1225</v>
      </c>
      <c r="AI592" s="32" t="s">
        <v>1225</v>
      </c>
      <c r="AJ592" s="32" t="s">
        <v>1225</v>
      </c>
      <c r="AK592" s="32" t="s">
        <v>1225</v>
      </c>
      <c r="AL592" s="32" t="s">
        <v>1225</v>
      </c>
      <c r="AM592" s="32" t="s">
        <v>1225</v>
      </c>
      <c r="AN592" s="32" t="s">
        <v>1225</v>
      </c>
      <c r="AO592" s="32" t="s">
        <v>1225</v>
      </c>
      <c r="AP592" s="32" t="s">
        <v>1225</v>
      </c>
      <c r="AQ592" s="32" t="s">
        <v>1225</v>
      </c>
      <c r="AR592" s="32" t="s">
        <v>1225</v>
      </c>
      <c r="AS592" s="32" t="s">
        <v>1225</v>
      </c>
      <c r="AT592" s="32" t="s">
        <v>1225</v>
      </c>
      <c r="AU592" s="32" t="s">
        <v>1225</v>
      </c>
      <c r="AV592" s="32" t="s">
        <v>1225</v>
      </c>
      <c r="AW592" s="34" t="s">
        <v>2215</v>
      </c>
      <c r="AX592" s="34">
        <v>2021</v>
      </c>
      <c r="AY592" s="32">
        <v>57</v>
      </c>
      <c r="AZ592" s="32">
        <v>2</v>
      </c>
      <c r="BA592" s="32" t="s">
        <v>1225</v>
      </c>
      <c r="BB592" s="32" t="s">
        <v>1225</v>
      </c>
      <c r="BC592" s="32" t="s">
        <v>1225</v>
      </c>
      <c r="BD592" s="32" t="s">
        <v>1225</v>
      </c>
      <c r="BE592" s="32">
        <v>1688</v>
      </c>
      <c r="BF592" s="32">
        <v>1702</v>
      </c>
      <c r="BG592" s="32" t="s">
        <v>1225</v>
      </c>
      <c r="BH592" s="34" t="s">
        <v>5315</v>
      </c>
      <c r="BI592" s="34" t="str">
        <f>HYPERLINK("http://dx.doi.org/10.1109/TIA.2020.3041808","http://dx.doi.org/10.1109/TIA.2020.3041808")</f>
        <v>http://dx.doi.org/10.1109/TIA.2020.3041808</v>
      </c>
      <c r="BJ592" s="32" t="s">
        <v>1225</v>
      </c>
      <c r="BK592" s="32" t="s">
        <v>1225</v>
      </c>
      <c r="BL592" s="32" t="s">
        <v>1225</v>
      </c>
      <c r="BM592" s="32" t="s">
        <v>1225</v>
      </c>
      <c r="BN592" s="32" t="s">
        <v>1225</v>
      </c>
      <c r="BO592" s="32" t="s">
        <v>1225</v>
      </c>
      <c r="BP592" s="32" t="s">
        <v>1225</v>
      </c>
      <c r="BQ592" s="32" t="s">
        <v>1225</v>
      </c>
      <c r="BR592" s="32" t="s">
        <v>1225</v>
      </c>
      <c r="BS592" s="32" t="s">
        <v>1225</v>
      </c>
      <c r="BT592" s="32" t="s">
        <v>1225</v>
      </c>
      <c r="BU592" s="32" t="s">
        <v>1225</v>
      </c>
      <c r="BV592" s="32" t="s">
        <v>1225</v>
      </c>
      <c r="BW592" s="32" t="str">
        <f t="shared" si="18"/>
        <v>View Full Record in Web of Science</v>
      </c>
      <c r="BY592" s="41" t="str">
        <f>IF(Deletion!J592=TRUE,"Yes","No")</f>
        <v>Yes</v>
      </c>
    </row>
    <row r="593" spans="1:77" x14ac:dyDescent="0.15">
      <c r="A593" s="32">
        <f t="shared" si="19"/>
        <v>592</v>
      </c>
      <c r="D593" s="32" t="s">
        <v>1223</v>
      </c>
      <c r="E593" s="32" t="s">
        <v>5238</v>
      </c>
      <c r="F593" s="32" t="s">
        <v>1225</v>
      </c>
      <c r="G593" s="32" t="s">
        <v>1225</v>
      </c>
      <c r="H593" s="32" t="s">
        <v>1225</v>
      </c>
      <c r="I593" s="32" t="s">
        <v>5239</v>
      </c>
      <c r="J593" s="32" t="s">
        <v>1225</v>
      </c>
      <c r="K593" s="32" t="s">
        <v>1225</v>
      </c>
      <c r="L593" s="32" t="s">
        <v>5316</v>
      </c>
      <c r="M593" s="32" t="s">
        <v>882</v>
      </c>
      <c r="N593" s="32" t="s">
        <v>1225</v>
      </c>
      <c r="O593" s="32" t="s">
        <v>1225</v>
      </c>
      <c r="P593" s="32" t="s">
        <v>1225</v>
      </c>
      <c r="Q593" s="32" t="s">
        <v>1227</v>
      </c>
      <c r="R593" s="32" t="s">
        <v>1225</v>
      </c>
      <c r="S593" s="32" t="s">
        <v>1225</v>
      </c>
      <c r="T593" s="32" t="s">
        <v>1225</v>
      </c>
      <c r="U593" s="32" t="s">
        <v>1225</v>
      </c>
      <c r="V593" s="32" t="s">
        <v>1225</v>
      </c>
      <c r="W593" s="32" t="s">
        <v>5317</v>
      </c>
      <c r="X593" s="32" t="s">
        <v>5318</v>
      </c>
      <c r="Y593" s="32" t="s">
        <v>5319</v>
      </c>
      <c r="Z593" s="32" t="s">
        <v>1225</v>
      </c>
      <c r="AA593" s="32" t="s">
        <v>1225</v>
      </c>
      <c r="AB593" s="32" t="s">
        <v>1225</v>
      </c>
      <c r="AC593" s="32" t="s">
        <v>1225</v>
      </c>
      <c r="AD593" s="32" t="s">
        <v>1225</v>
      </c>
      <c r="AE593" s="32" t="s">
        <v>1225</v>
      </c>
      <c r="AF593" s="32" t="s">
        <v>1225</v>
      </c>
      <c r="AG593" s="32" t="s">
        <v>1225</v>
      </c>
      <c r="AH593" s="32" t="s">
        <v>1225</v>
      </c>
      <c r="AI593" s="32" t="s">
        <v>1225</v>
      </c>
      <c r="AJ593" s="32" t="s">
        <v>1225</v>
      </c>
      <c r="AK593" s="32" t="s">
        <v>1225</v>
      </c>
      <c r="AL593" s="32" t="s">
        <v>1225</v>
      </c>
      <c r="AM593" s="32" t="s">
        <v>1225</v>
      </c>
      <c r="AN593" s="32" t="s">
        <v>1225</v>
      </c>
      <c r="AO593" s="32" t="s">
        <v>1225</v>
      </c>
      <c r="AP593" s="32" t="s">
        <v>1225</v>
      </c>
      <c r="AQ593" s="32" t="s">
        <v>1225</v>
      </c>
      <c r="AR593" s="32" t="s">
        <v>1225</v>
      </c>
      <c r="AS593" s="32" t="s">
        <v>1225</v>
      </c>
      <c r="AT593" s="32" t="s">
        <v>1225</v>
      </c>
      <c r="AU593" s="32" t="s">
        <v>1225</v>
      </c>
      <c r="AV593" s="32" t="s">
        <v>1225</v>
      </c>
      <c r="AW593" s="32" t="s">
        <v>5320</v>
      </c>
      <c r="AX593" s="32">
        <v>2019</v>
      </c>
      <c r="AY593" s="32">
        <v>13</v>
      </c>
      <c r="AZ593" s="32">
        <v>18</v>
      </c>
      <c r="BA593" s="32" t="s">
        <v>1225</v>
      </c>
      <c r="BB593" s="32" t="s">
        <v>1225</v>
      </c>
      <c r="BC593" s="32" t="s">
        <v>1225</v>
      </c>
      <c r="BD593" s="32" t="s">
        <v>1225</v>
      </c>
      <c r="BE593" s="32">
        <v>4249</v>
      </c>
      <c r="BF593" s="32">
        <v>4261</v>
      </c>
      <c r="BG593" s="32" t="s">
        <v>1225</v>
      </c>
      <c r="BH593" s="32" t="s">
        <v>5321</v>
      </c>
      <c r="BI593" s="32" t="str">
        <f>HYPERLINK("http://dx.doi.org/10.1049/iet-gtd.2018.6330","http://dx.doi.org/10.1049/iet-gtd.2018.6330")</f>
        <v>http://dx.doi.org/10.1049/iet-gtd.2018.6330</v>
      </c>
      <c r="BJ593" s="32" t="s">
        <v>1225</v>
      </c>
      <c r="BK593" s="32" t="s">
        <v>1225</v>
      </c>
      <c r="BL593" s="32" t="s">
        <v>1225</v>
      </c>
      <c r="BM593" s="32" t="s">
        <v>1225</v>
      </c>
      <c r="BN593" s="32" t="s">
        <v>1225</v>
      </c>
      <c r="BO593" s="32" t="s">
        <v>1225</v>
      </c>
      <c r="BP593" s="32" t="s">
        <v>1225</v>
      </c>
      <c r="BQ593" s="32" t="s">
        <v>1225</v>
      </c>
      <c r="BR593" s="32" t="s">
        <v>1225</v>
      </c>
      <c r="BS593" s="32" t="s">
        <v>1225</v>
      </c>
      <c r="BT593" s="32" t="s">
        <v>1225</v>
      </c>
      <c r="BU593" s="32" t="s">
        <v>1225</v>
      </c>
      <c r="BV593" s="32" t="s">
        <v>1225</v>
      </c>
      <c r="BW593" s="32" t="str">
        <f t="shared" si="18"/>
        <v>View Full Record in Web of Science</v>
      </c>
      <c r="BY593" s="41" t="str">
        <f>IF(Deletion!J593=TRUE,"Yes","No")</f>
        <v>Yes</v>
      </c>
    </row>
    <row r="594" spans="1:77" x14ac:dyDescent="0.15">
      <c r="A594" s="32">
        <f t="shared" si="19"/>
        <v>593</v>
      </c>
      <c r="D594" s="32" t="s">
        <v>1223</v>
      </c>
      <c r="E594" s="32" t="s">
        <v>5322</v>
      </c>
      <c r="F594" s="32" t="s">
        <v>1225</v>
      </c>
      <c r="G594" s="32" t="s">
        <v>1225</v>
      </c>
      <c r="H594" s="32" t="s">
        <v>1225</v>
      </c>
      <c r="I594" s="32" t="s">
        <v>5323</v>
      </c>
      <c r="J594" s="32" t="s">
        <v>1225</v>
      </c>
      <c r="K594" s="32" t="s">
        <v>1225</v>
      </c>
      <c r="L594" s="32" t="s">
        <v>5324</v>
      </c>
      <c r="M594" s="32" t="s">
        <v>3138</v>
      </c>
      <c r="N594" s="32" t="s">
        <v>1225</v>
      </c>
      <c r="O594" s="32" t="s">
        <v>1225</v>
      </c>
      <c r="P594" s="32" t="s">
        <v>1225</v>
      </c>
      <c r="Q594" s="32" t="s">
        <v>1227</v>
      </c>
      <c r="R594" s="32" t="s">
        <v>1225</v>
      </c>
      <c r="S594" s="32" t="s">
        <v>1225</v>
      </c>
      <c r="T594" s="32" t="s">
        <v>1225</v>
      </c>
      <c r="U594" s="32" t="s">
        <v>1225</v>
      </c>
      <c r="V594" s="32" t="s">
        <v>1225</v>
      </c>
      <c r="W594" s="32" t="s">
        <v>5325</v>
      </c>
      <c r="X594" s="32" t="s">
        <v>2817</v>
      </c>
      <c r="Y594" s="32" t="s">
        <v>5326</v>
      </c>
      <c r="Z594" s="32" t="s">
        <v>1225</v>
      </c>
      <c r="AA594" s="32" t="s">
        <v>1225</v>
      </c>
      <c r="AB594" s="32" t="s">
        <v>1225</v>
      </c>
      <c r="AC594" s="32" t="s">
        <v>1225</v>
      </c>
      <c r="AD594" s="32" t="s">
        <v>1225</v>
      </c>
      <c r="AE594" s="32" t="s">
        <v>1225</v>
      </c>
      <c r="AF594" s="32" t="s">
        <v>1225</v>
      </c>
      <c r="AG594" s="32" t="s">
        <v>1225</v>
      </c>
      <c r="AH594" s="32" t="s">
        <v>1225</v>
      </c>
      <c r="AI594" s="32" t="s">
        <v>1225</v>
      </c>
      <c r="AJ594" s="32" t="s">
        <v>1225</v>
      </c>
      <c r="AK594" s="32" t="s">
        <v>1225</v>
      </c>
      <c r="AL594" s="32" t="s">
        <v>1225</v>
      </c>
      <c r="AM594" s="32" t="s">
        <v>1225</v>
      </c>
      <c r="AN594" s="32" t="s">
        <v>1225</v>
      </c>
      <c r="AO594" s="32" t="s">
        <v>1225</v>
      </c>
      <c r="AP594" s="32" t="s">
        <v>1225</v>
      </c>
      <c r="AQ594" s="32" t="s">
        <v>1225</v>
      </c>
      <c r="AR594" s="32" t="s">
        <v>1225</v>
      </c>
      <c r="AS594" s="32" t="s">
        <v>1225</v>
      </c>
      <c r="AT594" s="32" t="s">
        <v>1225</v>
      </c>
      <c r="AU594" s="32" t="s">
        <v>1225</v>
      </c>
      <c r="AV594" s="32" t="s">
        <v>1225</v>
      </c>
      <c r="AW594" s="32" t="s">
        <v>1272</v>
      </c>
      <c r="AX594" s="32">
        <v>2020</v>
      </c>
      <c r="AY594" s="32">
        <v>10</v>
      </c>
      <c r="AZ594" s="32">
        <v>1</v>
      </c>
      <c r="BA594" s="32" t="s">
        <v>1225</v>
      </c>
      <c r="BB594" s="32" t="s">
        <v>1225</v>
      </c>
      <c r="BC594" s="32" t="s">
        <v>1225</v>
      </c>
      <c r="BD594" s="32" t="s">
        <v>1225</v>
      </c>
      <c r="BE594" s="32">
        <v>1</v>
      </c>
      <c r="BF594" s="32">
        <v>12</v>
      </c>
      <c r="BG594" s="32" t="s">
        <v>1225</v>
      </c>
      <c r="BH594" s="32" t="s">
        <v>5327</v>
      </c>
      <c r="BI594" s="32" t="str">
        <f>HYPERLINK("http://dx.doi.org/10.1049/iet-est.2018.5080","http://dx.doi.org/10.1049/iet-est.2018.5080")</f>
        <v>http://dx.doi.org/10.1049/iet-est.2018.5080</v>
      </c>
      <c r="BJ594" s="32" t="s">
        <v>1225</v>
      </c>
      <c r="BK594" s="32" t="s">
        <v>1225</v>
      </c>
      <c r="BL594" s="32" t="s">
        <v>1225</v>
      </c>
      <c r="BM594" s="32" t="s">
        <v>1225</v>
      </c>
      <c r="BN594" s="32" t="s">
        <v>1225</v>
      </c>
      <c r="BO594" s="32" t="s">
        <v>1225</v>
      </c>
      <c r="BP594" s="32" t="s">
        <v>1225</v>
      </c>
      <c r="BQ594" s="32" t="s">
        <v>1225</v>
      </c>
      <c r="BR594" s="32" t="s">
        <v>1225</v>
      </c>
      <c r="BS594" s="32" t="s">
        <v>1225</v>
      </c>
      <c r="BT594" s="32" t="s">
        <v>1225</v>
      </c>
      <c r="BU594" s="32" t="s">
        <v>1225</v>
      </c>
      <c r="BV594" s="32" t="s">
        <v>1225</v>
      </c>
      <c r="BW594" s="32" t="str">
        <f t="shared" si="18"/>
        <v>View Full Record in Web of Science</v>
      </c>
      <c r="BY594" s="41" t="str">
        <f>IF(Deletion!J594=TRUE,"Yes","No")</f>
        <v>Yes</v>
      </c>
    </row>
    <row r="595" spans="1:77" x14ac:dyDescent="0.15">
      <c r="A595" s="32">
        <f t="shared" si="19"/>
        <v>594</v>
      </c>
      <c r="D595" s="32" t="s">
        <v>1223</v>
      </c>
      <c r="E595" s="32" t="s">
        <v>5328</v>
      </c>
      <c r="F595" s="32" t="s">
        <v>1225</v>
      </c>
      <c r="G595" s="32" t="s">
        <v>1225</v>
      </c>
      <c r="H595" s="32" t="s">
        <v>1225</v>
      </c>
      <c r="I595" s="32" t="s">
        <v>5329</v>
      </c>
      <c r="J595" s="32" t="s">
        <v>1225</v>
      </c>
      <c r="K595" s="32" t="s">
        <v>1225</v>
      </c>
      <c r="L595" s="32" t="s">
        <v>5330</v>
      </c>
      <c r="M595" s="32" t="s">
        <v>882</v>
      </c>
      <c r="N595" s="32" t="s">
        <v>1225</v>
      </c>
      <c r="O595" s="32" t="s">
        <v>1225</v>
      </c>
      <c r="P595" s="32" t="s">
        <v>1225</v>
      </c>
      <c r="Q595" s="32" t="s">
        <v>1227</v>
      </c>
      <c r="R595" s="32" t="s">
        <v>1225</v>
      </c>
      <c r="S595" s="32" t="s">
        <v>1225</v>
      </c>
      <c r="T595" s="32" t="s">
        <v>1225</v>
      </c>
      <c r="U595" s="32" t="s">
        <v>1225</v>
      </c>
      <c r="V595" s="32" t="s">
        <v>1225</v>
      </c>
      <c r="W595" s="32" t="s">
        <v>5331</v>
      </c>
      <c r="X595" s="32" t="s">
        <v>1346</v>
      </c>
      <c r="Y595" s="32" t="s">
        <v>5332</v>
      </c>
      <c r="Z595" s="32" t="s">
        <v>1225</v>
      </c>
      <c r="AA595" s="32" t="s">
        <v>1225</v>
      </c>
      <c r="AB595" s="32" t="s">
        <v>1225</v>
      </c>
      <c r="AC595" s="32" t="s">
        <v>1225</v>
      </c>
      <c r="AD595" s="32" t="s">
        <v>1225</v>
      </c>
      <c r="AE595" s="32" t="s">
        <v>1225</v>
      </c>
      <c r="AF595" s="32" t="s">
        <v>1225</v>
      </c>
      <c r="AG595" s="32" t="s">
        <v>1225</v>
      </c>
      <c r="AH595" s="32" t="s">
        <v>1225</v>
      </c>
      <c r="AI595" s="32" t="s">
        <v>1225</v>
      </c>
      <c r="AJ595" s="32" t="s">
        <v>1225</v>
      </c>
      <c r="AK595" s="32" t="s">
        <v>1225</v>
      </c>
      <c r="AL595" s="32" t="s">
        <v>1225</v>
      </c>
      <c r="AM595" s="32" t="s">
        <v>1225</v>
      </c>
      <c r="AN595" s="32" t="s">
        <v>1225</v>
      </c>
      <c r="AO595" s="32" t="s">
        <v>1225</v>
      </c>
      <c r="AP595" s="32" t="s">
        <v>1225</v>
      </c>
      <c r="AQ595" s="32" t="s">
        <v>1225</v>
      </c>
      <c r="AR595" s="32" t="s">
        <v>1225</v>
      </c>
      <c r="AS595" s="32" t="s">
        <v>1225</v>
      </c>
      <c r="AT595" s="32" t="s">
        <v>1225</v>
      </c>
      <c r="AU595" s="32" t="s">
        <v>1225</v>
      </c>
      <c r="AV595" s="32" t="s">
        <v>1225</v>
      </c>
      <c r="AW595" s="32" t="s">
        <v>5333</v>
      </c>
      <c r="AX595" s="32">
        <v>2020</v>
      </c>
      <c r="AY595" s="32">
        <v>14</v>
      </c>
      <c r="AZ595" s="32">
        <v>11</v>
      </c>
      <c r="BA595" s="32" t="s">
        <v>1225</v>
      </c>
      <c r="BB595" s="32" t="s">
        <v>1225</v>
      </c>
      <c r="BC595" s="32" t="s">
        <v>1225</v>
      </c>
      <c r="BD595" s="32" t="s">
        <v>1225</v>
      </c>
      <c r="BE595" s="32">
        <v>2169</v>
      </c>
      <c r="BF595" s="32">
        <v>2180</v>
      </c>
      <c r="BG595" s="32" t="s">
        <v>1225</v>
      </c>
      <c r="BH595" s="32" t="s">
        <v>5334</v>
      </c>
      <c r="BI595" s="32" t="str">
        <f>HYPERLINK("http://dx.doi.org/10.1049/iet-gtd.2018.6547","http://dx.doi.org/10.1049/iet-gtd.2018.6547")</f>
        <v>http://dx.doi.org/10.1049/iet-gtd.2018.6547</v>
      </c>
      <c r="BJ595" s="32" t="s">
        <v>1225</v>
      </c>
      <c r="BK595" s="32" t="s">
        <v>1225</v>
      </c>
      <c r="BL595" s="32" t="s">
        <v>1225</v>
      </c>
      <c r="BM595" s="32" t="s">
        <v>1225</v>
      </c>
      <c r="BN595" s="32" t="s">
        <v>1225</v>
      </c>
      <c r="BO595" s="32" t="s">
        <v>1225</v>
      </c>
      <c r="BP595" s="32" t="s">
        <v>1225</v>
      </c>
      <c r="BQ595" s="32" t="s">
        <v>1225</v>
      </c>
      <c r="BR595" s="32" t="s">
        <v>1225</v>
      </c>
      <c r="BS595" s="32" t="s">
        <v>1225</v>
      </c>
      <c r="BT595" s="32" t="s">
        <v>1225</v>
      </c>
      <c r="BU595" s="32" t="s">
        <v>1225</v>
      </c>
      <c r="BV595" s="32" t="s">
        <v>1225</v>
      </c>
      <c r="BW595" s="32" t="str">
        <f t="shared" si="18"/>
        <v>View Full Record in Web of Science</v>
      </c>
      <c r="BY595" s="41" t="str">
        <f>IF(Deletion!J595=TRUE,"Yes","No")</f>
        <v>Yes</v>
      </c>
    </row>
    <row r="596" spans="1:77" x14ac:dyDescent="0.15">
      <c r="A596" s="32">
        <f t="shared" si="19"/>
        <v>595</v>
      </c>
      <c r="D596" s="32" t="s">
        <v>1223</v>
      </c>
      <c r="E596" s="32" t="s">
        <v>5335</v>
      </c>
      <c r="F596" s="32" t="s">
        <v>1225</v>
      </c>
      <c r="G596" s="32" t="s">
        <v>1225</v>
      </c>
      <c r="H596" s="32" t="s">
        <v>1225</v>
      </c>
      <c r="I596" s="32" t="s">
        <v>5336</v>
      </c>
      <c r="J596" s="32" t="s">
        <v>1225</v>
      </c>
      <c r="K596" s="32" t="s">
        <v>1225</v>
      </c>
      <c r="L596" s="32" t="s">
        <v>5337</v>
      </c>
      <c r="M596" s="32" t="s">
        <v>882</v>
      </c>
      <c r="N596" s="32" t="s">
        <v>1225</v>
      </c>
      <c r="O596" s="32" t="s">
        <v>1225</v>
      </c>
      <c r="P596" s="32" t="s">
        <v>1225</v>
      </c>
      <c r="Q596" s="32" t="s">
        <v>1227</v>
      </c>
      <c r="R596" s="32" t="s">
        <v>1225</v>
      </c>
      <c r="S596" s="32" t="s">
        <v>1225</v>
      </c>
      <c r="T596" s="32" t="s">
        <v>1225</v>
      </c>
      <c r="U596" s="32" t="s">
        <v>1225</v>
      </c>
      <c r="V596" s="32" t="s">
        <v>1225</v>
      </c>
      <c r="W596" s="32" t="s">
        <v>5338</v>
      </c>
      <c r="X596" s="32" t="s">
        <v>5339</v>
      </c>
      <c r="Y596" s="32" t="s">
        <v>5340</v>
      </c>
      <c r="Z596" s="32" t="s">
        <v>1225</v>
      </c>
      <c r="AA596" s="32" t="s">
        <v>1225</v>
      </c>
      <c r="AB596" s="32" t="s">
        <v>1225</v>
      </c>
      <c r="AC596" s="32" t="s">
        <v>1225</v>
      </c>
      <c r="AD596" s="32" t="s">
        <v>1225</v>
      </c>
      <c r="AE596" s="32" t="s">
        <v>1225</v>
      </c>
      <c r="AF596" s="32" t="s">
        <v>1225</v>
      </c>
      <c r="AG596" s="32" t="s">
        <v>1225</v>
      </c>
      <c r="AH596" s="32" t="s">
        <v>1225</v>
      </c>
      <c r="AI596" s="32" t="s">
        <v>1225</v>
      </c>
      <c r="AJ596" s="32" t="s">
        <v>1225</v>
      </c>
      <c r="AK596" s="32" t="s">
        <v>1225</v>
      </c>
      <c r="AL596" s="32" t="s">
        <v>1225</v>
      </c>
      <c r="AM596" s="32" t="s">
        <v>1225</v>
      </c>
      <c r="AN596" s="32" t="s">
        <v>1225</v>
      </c>
      <c r="AO596" s="32" t="s">
        <v>1225</v>
      </c>
      <c r="AP596" s="32" t="s">
        <v>1225</v>
      </c>
      <c r="AQ596" s="32" t="s">
        <v>1225</v>
      </c>
      <c r="AR596" s="32" t="s">
        <v>1225</v>
      </c>
      <c r="AS596" s="32" t="s">
        <v>1225</v>
      </c>
      <c r="AT596" s="32" t="s">
        <v>1225</v>
      </c>
      <c r="AU596" s="32" t="s">
        <v>1225</v>
      </c>
      <c r="AV596" s="32" t="s">
        <v>1225</v>
      </c>
      <c r="AW596" s="32" t="s">
        <v>5147</v>
      </c>
      <c r="AX596" s="32">
        <v>2018</v>
      </c>
      <c r="AY596" s="32">
        <v>12</v>
      </c>
      <c r="AZ596" s="32">
        <v>5</v>
      </c>
      <c r="BA596" s="32" t="s">
        <v>1225</v>
      </c>
      <c r="BB596" s="32" t="s">
        <v>1225</v>
      </c>
      <c r="BC596" s="32" t="s">
        <v>1225</v>
      </c>
      <c r="BD596" s="32" t="s">
        <v>1225</v>
      </c>
      <c r="BE596" s="32">
        <v>1127</v>
      </c>
      <c r="BF596" s="32">
        <v>1136</v>
      </c>
      <c r="BG596" s="32" t="s">
        <v>1225</v>
      </c>
      <c r="BH596" s="32" t="s">
        <v>5341</v>
      </c>
      <c r="BI596" s="32" t="str">
        <f>HYPERLINK("http://dx.doi.org/10.1049/iet-gtd.2017.0134","http://dx.doi.org/10.1049/iet-gtd.2017.0134")</f>
        <v>http://dx.doi.org/10.1049/iet-gtd.2017.0134</v>
      </c>
      <c r="BJ596" s="32" t="s">
        <v>1225</v>
      </c>
      <c r="BK596" s="32" t="s">
        <v>1225</v>
      </c>
      <c r="BL596" s="32" t="s">
        <v>1225</v>
      </c>
      <c r="BM596" s="32" t="s">
        <v>1225</v>
      </c>
      <c r="BN596" s="32" t="s">
        <v>1225</v>
      </c>
      <c r="BO596" s="32" t="s">
        <v>1225</v>
      </c>
      <c r="BP596" s="32" t="s">
        <v>1225</v>
      </c>
      <c r="BQ596" s="32" t="s">
        <v>1225</v>
      </c>
      <c r="BR596" s="32" t="s">
        <v>1225</v>
      </c>
      <c r="BS596" s="32" t="s">
        <v>1225</v>
      </c>
      <c r="BT596" s="32" t="s">
        <v>1225</v>
      </c>
      <c r="BU596" s="32" t="s">
        <v>1225</v>
      </c>
      <c r="BV596" s="32" t="s">
        <v>1225</v>
      </c>
      <c r="BW596" s="32" t="str">
        <f t="shared" si="18"/>
        <v>View Full Record in Web of Science</v>
      </c>
      <c r="BY596" s="41" t="str">
        <f>IF(Deletion!J596=TRUE,"Yes","No")</f>
        <v>Yes</v>
      </c>
    </row>
    <row r="597" spans="1:77" x14ac:dyDescent="0.15">
      <c r="A597" s="32">
        <f t="shared" si="19"/>
        <v>596</v>
      </c>
      <c r="D597" s="32" t="s">
        <v>1223</v>
      </c>
      <c r="E597" s="32" t="s">
        <v>5342</v>
      </c>
      <c r="F597" s="32" t="s">
        <v>1225</v>
      </c>
      <c r="G597" s="32" t="s">
        <v>1225</v>
      </c>
      <c r="H597" s="32" t="s">
        <v>1225</v>
      </c>
      <c r="I597" s="32" t="s">
        <v>5343</v>
      </c>
      <c r="J597" s="32" t="s">
        <v>1225</v>
      </c>
      <c r="K597" s="32" t="s">
        <v>1225</v>
      </c>
      <c r="L597" s="32" t="s">
        <v>5344</v>
      </c>
      <c r="M597" s="32" t="s">
        <v>1507</v>
      </c>
      <c r="N597" s="32" t="s">
        <v>1225</v>
      </c>
      <c r="O597" s="32" t="s">
        <v>1225</v>
      </c>
      <c r="P597" s="32" t="s">
        <v>1225</v>
      </c>
      <c r="Q597" s="32" t="s">
        <v>1227</v>
      </c>
      <c r="R597" s="32" t="s">
        <v>1225</v>
      </c>
      <c r="S597" s="32" t="s">
        <v>1225</v>
      </c>
      <c r="T597" s="32" t="s">
        <v>1225</v>
      </c>
      <c r="U597" s="32" t="s">
        <v>1225</v>
      </c>
      <c r="V597" s="32" t="s">
        <v>1225</v>
      </c>
      <c r="W597" s="32" t="s">
        <v>5345</v>
      </c>
      <c r="X597" s="32" t="s">
        <v>5346</v>
      </c>
      <c r="Y597" s="32" t="s">
        <v>5347</v>
      </c>
      <c r="Z597" s="32" t="s">
        <v>1225</v>
      </c>
      <c r="AA597" s="32" t="s">
        <v>1225</v>
      </c>
      <c r="AB597" s="32" t="s">
        <v>1225</v>
      </c>
      <c r="AC597" s="32" t="s">
        <v>1225</v>
      </c>
      <c r="AD597" s="32" t="s">
        <v>1225</v>
      </c>
      <c r="AE597" s="32" t="s">
        <v>1225</v>
      </c>
      <c r="AF597" s="32" t="s">
        <v>1225</v>
      </c>
      <c r="AG597" s="32" t="s">
        <v>1225</v>
      </c>
      <c r="AH597" s="32" t="s">
        <v>1225</v>
      </c>
      <c r="AI597" s="32" t="s">
        <v>1225</v>
      </c>
      <c r="AJ597" s="32" t="s">
        <v>1225</v>
      </c>
      <c r="AK597" s="32" t="s">
        <v>1225</v>
      </c>
      <c r="AL597" s="32" t="s">
        <v>1225</v>
      </c>
      <c r="AM597" s="32" t="s">
        <v>1225</v>
      </c>
      <c r="AN597" s="32" t="s">
        <v>1225</v>
      </c>
      <c r="AO597" s="32" t="s">
        <v>1225</v>
      </c>
      <c r="AP597" s="32" t="s">
        <v>1225</v>
      </c>
      <c r="AQ597" s="32" t="s">
        <v>1225</v>
      </c>
      <c r="AR597" s="32" t="s">
        <v>1225</v>
      </c>
      <c r="AS597" s="32" t="s">
        <v>1225</v>
      </c>
      <c r="AT597" s="32" t="s">
        <v>1225</v>
      </c>
      <c r="AU597" s="32" t="s">
        <v>1225</v>
      </c>
      <c r="AV597" s="32" t="s">
        <v>1225</v>
      </c>
      <c r="AW597" s="32" t="s">
        <v>1317</v>
      </c>
      <c r="AX597" s="32">
        <v>2020</v>
      </c>
      <c r="AY597" s="32">
        <v>38</v>
      </c>
      <c r="AZ597" s="32">
        <v>1</v>
      </c>
      <c r="BA597" s="32" t="s">
        <v>1225</v>
      </c>
      <c r="BB597" s="32" t="s">
        <v>1225</v>
      </c>
      <c r="BC597" s="32" t="s">
        <v>1511</v>
      </c>
      <c r="BD597" s="32" t="s">
        <v>1225</v>
      </c>
      <c r="BE597" s="32">
        <v>229</v>
      </c>
      <c r="BF597" s="32">
        <v>243</v>
      </c>
      <c r="BG597" s="32" t="s">
        <v>1225</v>
      </c>
      <c r="BH597" s="32" t="s">
        <v>5348</v>
      </c>
      <c r="BI597" s="32" t="str">
        <f>HYPERLINK("http://dx.doi.org/10.1109/JSAC.2019.2951989","http://dx.doi.org/10.1109/JSAC.2019.2951989")</f>
        <v>http://dx.doi.org/10.1109/JSAC.2019.2951989</v>
      </c>
      <c r="BJ597" s="32" t="s">
        <v>1225</v>
      </c>
      <c r="BK597" s="32" t="s">
        <v>1225</v>
      </c>
      <c r="BL597" s="32" t="s">
        <v>1225</v>
      </c>
      <c r="BM597" s="32" t="s">
        <v>1225</v>
      </c>
      <c r="BN597" s="32" t="s">
        <v>1225</v>
      </c>
      <c r="BO597" s="32" t="s">
        <v>1225</v>
      </c>
      <c r="BP597" s="32" t="s">
        <v>1225</v>
      </c>
      <c r="BQ597" s="32" t="s">
        <v>1225</v>
      </c>
      <c r="BR597" s="32" t="s">
        <v>1225</v>
      </c>
      <c r="BS597" s="32" t="s">
        <v>1225</v>
      </c>
      <c r="BT597" s="32" t="s">
        <v>1225</v>
      </c>
      <c r="BU597" s="32" t="s">
        <v>1225</v>
      </c>
      <c r="BV597" s="32" t="s">
        <v>1225</v>
      </c>
      <c r="BW597" s="32" t="str">
        <f t="shared" si="18"/>
        <v>View Full Record in Web of Science</v>
      </c>
      <c r="BY597" s="41" t="str">
        <f>IF(Deletion!J597=TRUE,"Yes","No")</f>
        <v>Yes</v>
      </c>
    </row>
    <row r="598" spans="1:77" x14ac:dyDescent="0.15">
      <c r="A598" s="32">
        <f t="shared" si="19"/>
        <v>597</v>
      </c>
      <c r="D598" s="32" t="s">
        <v>1223</v>
      </c>
      <c r="E598" s="32" t="s">
        <v>5349</v>
      </c>
      <c r="F598" s="32" t="s">
        <v>1225</v>
      </c>
      <c r="G598" s="32" t="s">
        <v>1225</v>
      </c>
      <c r="H598" s="32" t="s">
        <v>1225</v>
      </c>
      <c r="I598" s="32" t="s">
        <v>5350</v>
      </c>
      <c r="J598" s="32" t="s">
        <v>1225</v>
      </c>
      <c r="K598" s="32" t="s">
        <v>1225</v>
      </c>
      <c r="L598" s="32" t="s">
        <v>5351</v>
      </c>
      <c r="M598" s="32" t="s">
        <v>849</v>
      </c>
      <c r="N598" s="32" t="s">
        <v>1225</v>
      </c>
      <c r="O598" s="32" t="s">
        <v>1225</v>
      </c>
      <c r="P598" s="32" t="s">
        <v>1225</v>
      </c>
      <c r="Q598" s="32" t="s">
        <v>1227</v>
      </c>
      <c r="R598" s="32" t="s">
        <v>1225</v>
      </c>
      <c r="S598" s="32" t="s">
        <v>1225</v>
      </c>
      <c r="T598" s="32" t="s">
        <v>1225</v>
      </c>
      <c r="U598" s="32" t="s">
        <v>1225</v>
      </c>
      <c r="V598" s="32" t="s">
        <v>1225</v>
      </c>
      <c r="W598" s="32" t="s">
        <v>5352</v>
      </c>
      <c r="X598" s="32" t="s">
        <v>1225</v>
      </c>
      <c r="Y598" s="32" t="s">
        <v>5353</v>
      </c>
      <c r="Z598" s="32" t="s">
        <v>1225</v>
      </c>
      <c r="AA598" s="32" t="s">
        <v>1225</v>
      </c>
      <c r="AB598" s="32" t="s">
        <v>1225</v>
      </c>
      <c r="AC598" s="32" t="s">
        <v>1225</v>
      </c>
      <c r="AD598" s="32" t="s">
        <v>1225</v>
      </c>
      <c r="AE598" s="32" t="s">
        <v>1225</v>
      </c>
      <c r="AF598" s="32" t="s">
        <v>1225</v>
      </c>
      <c r="AG598" s="32" t="s">
        <v>1225</v>
      </c>
      <c r="AH598" s="32" t="s">
        <v>1225</v>
      </c>
      <c r="AI598" s="32" t="s">
        <v>1225</v>
      </c>
      <c r="AJ598" s="32" t="s">
        <v>1225</v>
      </c>
      <c r="AK598" s="32" t="s">
        <v>1225</v>
      </c>
      <c r="AL598" s="32" t="s">
        <v>1225</v>
      </c>
      <c r="AM598" s="32" t="s">
        <v>1225</v>
      </c>
      <c r="AN598" s="32" t="s">
        <v>1225</v>
      </c>
      <c r="AO598" s="32" t="s">
        <v>1225</v>
      </c>
      <c r="AP598" s="32" t="s">
        <v>1225</v>
      </c>
      <c r="AQ598" s="32" t="s">
        <v>1225</v>
      </c>
      <c r="AR598" s="32" t="s">
        <v>1225</v>
      </c>
      <c r="AS598" s="32" t="s">
        <v>1225</v>
      </c>
      <c r="AT598" s="32" t="s">
        <v>1225</v>
      </c>
      <c r="AU598" s="32" t="s">
        <v>1225</v>
      </c>
      <c r="AV598" s="32" t="s">
        <v>1225</v>
      </c>
      <c r="AW598" s="32" t="s">
        <v>1272</v>
      </c>
      <c r="AX598" s="32">
        <v>2022</v>
      </c>
      <c r="AY598" s="32">
        <v>37</v>
      </c>
      <c r="AZ598" s="32">
        <v>2</v>
      </c>
      <c r="BA598" s="32" t="s">
        <v>1225</v>
      </c>
      <c r="BB598" s="32" t="s">
        <v>1225</v>
      </c>
      <c r="BC598" s="32" t="s">
        <v>1225</v>
      </c>
      <c r="BD598" s="32" t="s">
        <v>1225</v>
      </c>
      <c r="BE598" s="32">
        <v>1173</v>
      </c>
      <c r="BF598" s="32">
        <v>1183</v>
      </c>
      <c r="BG598" s="32" t="s">
        <v>1225</v>
      </c>
      <c r="BH598" s="32" t="s">
        <v>5354</v>
      </c>
      <c r="BI598" s="32" t="str">
        <f>HYPERLINK("http://dx.doi.org/10.1109/TPWRS.2021.3100994","http://dx.doi.org/10.1109/TPWRS.2021.3100994")</f>
        <v>http://dx.doi.org/10.1109/TPWRS.2021.3100994</v>
      </c>
      <c r="BJ598" s="32" t="s">
        <v>1225</v>
      </c>
      <c r="BK598" s="32" t="s">
        <v>1225</v>
      </c>
      <c r="BL598" s="32" t="s">
        <v>1225</v>
      </c>
      <c r="BM598" s="32" t="s">
        <v>1225</v>
      </c>
      <c r="BN598" s="32" t="s">
        <v>1225</v>
      </c>
      <c r="BO598" s="32" t="s">
        <v>1225</v>
      </c>
      <c r="BP598" s="32" t="s">
        <v>1225</v>
      </c>
      <c r="BQ598" s="32" t="s">
        <v>1225</v>
      </c>
      <c r="BR598" s="32" t="s">
        <v>1225</v>
      </c>
      <c r="BS598" s="32" t="s">
        <v>1225</v>
      </c>
      <c r="BT598" s="32" t="s">
        <v>1225</v>
      </c>
      <c r="BU598" s="32" t="s">
        <v>1225</v>
      </c>
      <c r="BV598" s="32" t="s">
        <v>1225</v>
      </c>
      <c r="BW598" s="32" t="str">
        <f t="shared" si="18"/>
        <v>View Full Record in Web of Science</v>
      </c>
      <c r="BY598" s="41" t="str">
        <f>IF(Deletion!J598=TRUE,"Yes","No")</f>
        <v>Yes</v>
      </c>
    </row>
    <row r="599" spans="1:77" x14ac:dyDescent="0.15">
      <c r="A599" s="32">
        <f t="shared" si="19"/>
        <v>598</v>
      </c>
      <c r="D599" s="32" t="s">
        <v>1223</v>
      </c>
      <c r="E599" s="32" t="s">
        <v>5355</v>
      </c>
      <c r="F599" s="32" t="s">
        <v>1225</v>
      </c>
      <c r="G599" s="32" t="s">
        <v>1225</v>
      </c>
      <c r="H599" s="32" t="s">
        <v>1225</v>
      </c>
      <c r="I599" s="32" t="s">
        <v>5356</v>
      </c>
      <c r="J599" s="32" t="s">
        <v>1225</v>
      </c>
      <c r="K599" s="32" t="s">
        <v>1225</v>
      </c>
      <c r="L599" s="32" t="s">
        <v>5357</v>
      </c>
      <c r="M599" s="32" t="s">
        <v>3138</v>
      </c>
      <c r="N599" s="32" t="s">
        <v>1225</v>
      </c>
      <c r="O599" s="32" t="s">
        <v>1225</v>
      </c>
      <c r="P599" s="32" t="s">
        <v>1225</v>
      </c>
      <c r="Q599" s="32" t="s">
        <v>1227</v>
      </c>
      <c r="R599" s="32" t="s">
        <v>1225</v>
      </c>
      <c r="S599" s="32" t="s">
        <v>1225</v>
      </c>
      <c r="T599" s="32" t="s">
        <v>1225</v>
      </c>
      <c r="U599" s="32" t="s">
        <v>1225</v>
      </c>
      <c r="V599" s="32" t="s">
        <v>1225</v>
      </c>
      <c r="W599" s="32" t="s">
        <v>5358</v>
      </c>
      <c r="X599" s="32" t="s">
        <v>1225</v>
      </c>
      <c r="Y599" s="32" t="s">
        <v>5359</v>
      </c>
      <c r="Z599" s="32" t="s">
        <v>1225</v>
      </c>
      <c r="AA599" s="32" t="s">
        <v>1225</v>
      </c>
      <c r="AB599" s="32" t="s">
        <v>1225</v>
      </c>
      <c r="AC599" s="32" t="s">
        <v>1225</v>
      </c>
      <c r="AD599" s="32" t="s">
        <v>1225</v>
      </c>
      <c r="AE599" s="32" t="s">
        <v>1225</v>
      </c>
      <c r="AF599" s="32" t="s">
        <v>1225</v>
      </c>
      <c r="AG599" s="32" t="s">
        <v>1225</v>
      </c>
      <c r="AH599" s="32" t="s">
        <v>1225</v>
      </c>
      <c r="AI599" s="32" t="s">
        <v>1225</v>
      </c>
      <c r="AJ599" s="32" t="s">
        <v>1225</v>
      </c>
      <c r="AK599" s="32" t="s">
        <v>1225</v>
      </c>
      <c r="AL599" s="32" t="s">
        <v>1225</v>
      </c>
      <c r="AM599" s="32" t="s">
        <v>1225</v>
      </c>
      <c r="AN599" s="32" t="s">
        <v>1225</v>
      </c>
      <c r="AO599" s="32" t="s">
        <v>1225</v>
      </c>
      <c r="AP599" s="32" t="s">
        <v>1225</v>
      </c>
      <c r="AQ599" s="32" t="s">
        <v>1225</v>
      </c>
      <c r="AR599" s="32" t="s">
        <v>1225</v>
      </c>
      <c r="AS599" s="32" t="s">
        <v>1225</v>
      </c>
      <c r="AT599" s="32" t="s">
        <v>1225</v>
      </c>
      <c r="AU599" s="32" t="s">
        <v>1225</v>
      </c>
      <c r="AV599" s="32" t="s">
        <v>1225</v>
      </c>
      <c r="AW599" s="32" t="s">
        <v>1298</v>
      </c>
      <c r="AX599" s="32">
        <v>2017</v>
      </c>
      <c r="AY599" s="32">
        <v>7</v>
      </c>
      <c r="AZ599" s="32">
        <v>3</v>
      </c>
      <c r="BA599" s="32" t="s">
        <v>1225</v>
      </c>
      <c r="BB599" s="32" t="s">
        <v>1225</v>
      </c>
      <c r="BC599" s="32" t="s">
        <v>1225</v>
      </c>
      <c r="BD599" s="32" t="s">
        <v>1225</v>
      </c>
      <c r="BE599" s="32">
        <v>246</v>
      </c>
      <c r="BF599" s="32">
        <v>251</v>
      </c>
      <c r="BG599" s="32" t="s">
        <v>1225</v>
      </c>
      <c r="BH599" s="32" t="s">
        <v>5360</v>
      </c>
      <c r="BI599" s="32" t="str">
        <f>HYPERLINK("http://dx.doi.org/10.1049/iet-est.2016.0072","http://dx.doi.org/10.1049/iet-est.2016.0072")</f>
        <v>http://dx.doi.org/10.1049/iet-est.2016.0072</v>
      </c>
      <c r="BJ599" s="32" t="s">
        <v>1225</v>
      </c>
      <c r="BK599" s="32" t="s">
        <v>1225</v>
      </c>
      <c r="BL599" s="32" t="s">
        <v>1225</v>
      </c>
      <c r="BM599" s="32" t="s">
        <v>1225</v>
      </c>
      <c r="BN599" s="32" t="s">
        <v>1225</v>
      </c>
      <c r="BO599" s="32" t="s">
        <v>1225</v>
      </c>
      <c r="BP599" s="32" t="s">
        <v>1225</v>
      </c>
      <c r="BQ599" s="32" t="s">
        <v>1225</v>
      </c>
      <c r="BR599" s="32" t="s">
        <v>1225</v>
      </c>
      <c r="BS599" s="32" t="s">
        <v>1225</v>
      </c>
      <c r="BT599" s="32" t="s">
        <v>1225</v>
      </c>
      <c r="BU599" s="32" t="s">
        <v>1225</v>
      </c>
      <c r="BV599" s="32" t="s">
        <v>1225</v>
      </c>
      <c r="BW599" s="32" t="str">
        <f t="shared" si="18"/>
        <v>View Full Record in Web of Science</v>
      </c>
      <c r="BY599" s="41" t="str">
        <f>IF(Deletion!J599=TRUE,"Yes","No")</f>
        <v>Yes</v>
      </c>
    </row>
    <row r="600" spans="1:77" x14ac:dyDescent="0.15">
      <c r="A600" s="34">
        <f t="shared" si="19"/>
        <v>599</v>
      </c>
      <c r="B600" s="34" t="s">
        <v>4</v>
      </c>
      <c r="C600" s="34" t="s">
        <v>4</v>
      </c>
      <c r="D600" s="34" t="s">
        <v>1223</v>
      </c>
      <c r="E600" s="34" t="s">
        <v>5361</v>
      </c>
      <c r="F600" s="32" t="s">
        <v>1225</v>
      </c>
      <c r="G600" s="32" t="s">
        <v>1225</v>
      </c>
      <c r="H600" s="32" t="s">
        <v>1225</v>
      </c>
      <c r="I600" s="34" t="s">
        <v>5362</v>
      </c>
      <c r="J600" s="32" t="s">
        <v>1225</v>
      </c>
      <c r="K600" s="32" t="s">
        <v>1225</v>
      </c>
      <c r="L600" s="34" t="s">
        <v>5363</v>
      </c>
      <c r="M600" s="34" t="s">
        <v>5364</v>
      </c>
      <c r="N600" s="32" t="s">
        <v>1225</v>
      </c>
      <c r="O600" s="32" t="s">
        <v>1225</v>
      </c>
      <c r="P600" s="32" t="s">
        <v>1225</v>
      </c>
      <c r="Q600" s="34" t="s">
        <v>1227</v>
      </c>
      <c r="R600" s="32" t="s">
        <v>1225</v>
      </c>
      <c r="S600" s="32" t="s">
        <v>1225</v>
      </c>
      <c r="T600" s="32" t="s">
        <v>1225</v>
      </c>
      <c r="U600" s="32" t="s">
        <v>1225</v>
      </c>
      <c r="V600" s="32" t="s">
        <v>1225</v>
      </c>
      <c r="W600" s="34" t="s">
        <v>5365</v>
      </c>
      <c r="X600" s="34" t="s">
        <v>1225</v>
      </c>
      <c r="Y600" s="34" t="s">
        <v>5366</v>
      </c>
      <c r="Z600" s="32" t="s">
        <v>1225</v>
      </c>
      <c r="AA600" s="32" t="s">
        <v>1225</v>
      </c>
      <c r="AB600" s="32" t="s">
        <v>1225</v>
      </c>
      <c r="AC600" s="32" t="s">
        <v>1225</v>
      </c>
      <c r="AD600" s="32" t="s">
        <v>1225</v>
      </c>
      <c r="AE600" s="32" t="s">
        <v>1225</v>
      </c>
      <c r="AF600" s="32" t="s">
        <v>1225</v>
      </c>
      <c r="AG600" s="32" t="s">
        <v>1225</v>
      </c>
      <c r="AH600" s="32" t="s">
        <v>1225</v>
      </c>
      <c r="AI600" s="32" t="s">
        <v>1225</v>
      </c>
      <c r="AJ600" s="32" t="s">
        <v>1225</v>
      </c>
      <c r="AK600" s="32" t="s">
        <v>1225</v>
      </c>
      <c r="AL600" s="32" t="s">
        <v>1225</v>
      </c>
      <c r="AM600" s="32" t="s">
        <v>1225</v>
      </c>
      <c r="AN600" s="32" t="s">
        <v>1225</v>
      </c>
      <c r="AO600" s="32" t="s">
        <v>1225</v>
      </c>
      <c r="AP600" s="32" t="s">
        <v>1225</v>
      </c>
      <c r="AQ600" s="32" t="s">
        <v>1225</v>
      </c>
      <c r="AR600" s="32" t="s">
        <v>1225</v>
      </c>
      <c r="AS600" s="32" t="s">
        <v>1225</v>
      </c>
      <c r="AT600" s="32" t="s">
        <v>1225</v>
      </c>
      <c r="AU600" s="32" t="s">
        <v>1225</v>
      </c>
      <c r="AV600" s="32" t="s">
        <v>1225</v>
      </c>
      <c r="AW600" s="34" t="s">
        <v>1298</v>
      </c>
      <c r="AX600" s="34">
        <v>2020</v>
      </c>
      <c r="AY600" s="32">
        <v>2</v>
      </c>
      <c r="AZ600" s="32">
        <v>3</v>
      </c>
      <c r="BA600" s="32" t="s">
        <v>1225</v>
      </c>
      <c r="BB600" s="32" t="s">
        <v>1225</v>
      </c>
      <c r="BC600" s="32" t="s">
        <v>1225</v>
      </c>
      <c r="BD600" s="32" t="s">
        <v>1225</v>
      </c>
      <c r="BE600" s="32">
        <v>261</v>
      </c>
      <c r="BF600" s="32">
        <v>272</v>
      </c>
      <c r="BG600" s="32" t="s">
        <v>1225</v>
      </c>
      <c r="BH600" s="34" t="s">
        <v>5367</v>
      </c>
      <c r="BI600" s="34" t="str">
        <f>HYPERLINK("http://dx.doi.org/10.1049/iet-esi.2019.0136","http://dx.doi.org/10.1049/iet-esi.2019.0136")</f>
        <v>http://dx.doi.org/10.1049/iet-esi.2019.0136</v>
      </c>
      <c r="BJ600" s="32" t="s">
        <v>1225</v>
      </c>
      <c r="BK600" s="32" t="s">
        <v>1225</v>
      </c>
      <c r="BL600" s="32" t="s">
        <v>1225</v>
      </c>
      <c r="BM600" s="32" t="s">
        <v>1225</v>
      </c>
      <c r="BN600" s="32" t="s">
        <v>1225</v>
      </c>
      <c r="BO600" s="32" t="s">
        <v>1225</v>
      </c>
      <c r="BP600" s="32" t="s">
        <v>1225</v>
      </c>
      <c r="BQ600" s="32" t="s">
        <v>1225</v>
      </c>
      <c r="BR600" s="32" t="s">
        <v>1225</v>
      </c>
      <c r="BS600" s="32" t="s">
        <v>1225</v>
      </c>
      <c r="BT600" s="32" t="s">
        <v>1225</v>
      </c>
      <c r="BU600" s="32" t="s">
        <v>1225</v>
      </c>
      <c r="BV600" s="32" t="s">
        <v>1225</v>
      </c>
      <c r="BW600" s="32" t="str">
        <f t="shared" si="18"/>
        <v>View Full Record in Web of Science</v>
      </c>
      <c r="BY600" s="41" t="str">
        <f>IF(Deletion!J600=TRUE,"Yes","No")</f>
        <v>No</v>
      </c>
    </row>
    <row r="601" spans="1:77" x14ac:dyDescent="0.15">
      <c r="A601" s="32">
        <f t="shared" si="19"/>
        <v>600</v>
      </c>
      <c r="D601" s="32" t="s">
        <v>1223</v>
      </c>
      <c r="E601" s="32" t="s">
        <v>5368</v>
      </c>
      <c r="F601" s="32" t="s">
        <v>1225</v>
      </c>
      <c r="G601" s="32" t="s">
        <v>1225</v>
      </c>
      <c r="H601" s="32" t="s">
        <v>1225</v>
      </c>
      <c r="I601" s="32" t="s">
        <v>5369</v>
      </c>
      <c r="J601" s="32" t="s">
        <v>1225</v>
      </c>
      <c r="K601" s="32" t="s">
        <v>1225</v>
      </c>
      <c r="L601" s="32" t="s">
        <v>5370</v>
      </c>
      <c r="M601" s="32" t="s">
        <v>1743</v>
      </c>
      <c r="N601" s="32" t="s">
        <v>1225</v>
      </c>
      <c r="O601" s="32" t="s">
        <v>1225</v>
      </c>
      <c r="P601" s="32" t="s">
        <v>1225</v>
      </c>
      <c r="Q601" s="32" t="s">
        <v>1227</v>
      </c>
      <c r="R601" s="32" t="s">
        <v>1225</v>
      </c>
      <c r="S601" s="32" t="s">
        <v>1225</v>
      </c>
      <c r="T601" s="32" t="s">
        <v>1225</v>
      </c>
      <c r="U601" s="32" t="s">
        <v>1225</v>
      </c>
      <c r="V601" s="32" t="s">
        <v>1225</v>
      </c>
      <c r="W601" s="32" t="s">
        <v>5371</v>
      </c>
      <c r="X601" s="32" t="s">
        <v>5372</v>
      </c>
      <c r="Y601" s="32" t="s">
        <v>5373</v>
      </c>
      <c r="Z601" s="32" t="s">
        <v>1225</v>
      </c>
      <c r="AA601" s="32" t="s">
        <v>1225</v>
      </c>
      <c r="AB601" s="32" t="s">
        <v>1225</v>
      </c>
      <c r="AC601" s="32" t="s">
        <v>1225</v>
      </c>
      <c r="AD601" s="32" t="s">
        <v>1225</v>
      </c>
      <c r="AE601" s="32" t="s">
        <v>1225</v>
      </c>
      <c r="AF601" s="32" t="s">
        <v>1225</v>
      </c>
      <c r="AG601" s="32" t="s">
        <v>1225</v>
      </c>
      <c r="AH601" s="32" t="s">
        <v>1225</v>
      </c>
      <c r="AI601" s="32" t="s">
        <v>1225</v>
      </c>
      <c r="AJ601" s="32" t="s">
        <v>1225</v>
      </c>
      <c r="AK601" s="32" t="s">
        <v>1225</v>
      </c>
      <c r="AL601" s="32" t="s">
        <v>1225</v>
      </c>
      <c r="AM601" s="32" t="s">
        <v>1225</v>
      </c>
      <c r="AN601" s="32" t="s">
        <v>1225</v>
      </c>
      <c r="AO601" s="32" t="s">
        <v>1225</v>
      </c>
      <c r="AP601" s="32" t="s">
        <v>1225</v>
      </c>
      <c r="AQ601" s="32" t="s">
        <v>1225</v>
      </c>
      <c r="AR601" s="32" t="s">
        <v>1225</v>
      </c>
      <c r="AS601" s="32" t="s">
        <v>1225</v>
      </c>
      <c r="AT601" s="32" t="s">
        <v>1225</v>
      </c>
      <c r="AU601" s="32" t="s">
        <v>1225</v>
      </c>
      <c r="AV601" s="32" t="s">
        <v>1225</v>
      </c>
      <c r="AW601" s="32" t="s">
        <v>2215</v>
      </c>
      <c r="AX601" s="32">
        <v>2022</v>
      </c>
      <c r="AY601" s="32">
        <v>58</v>
      </c>
      <c r="AZ601" s="32">
        <v>2</v>
      </c>
      <c r="BA601" s="32" t="s">
        <v>1225</v>
      </c>
      <c r="BB601" s="32" t="s">
        <v>1225</v>
      </c>
      <c r="BC601" s="32" t="s">
        <v>1225</v>
      </c>
      <c r="BD601" s="32" t="s">
        <v>1225</v>
      </c>
      <c r="BE601" s="32">
        <v>2677</v>
      </c>
      <c r="BF601" s="32">
        <v>2693</v>
      </c>
      <c r="BG601" s="32" t="s">
        <v>1225</v>
      </c>
      <c r="BH601" s="32" t="s">
        <v>5374</v>
      </c>
      <c r="BI601" s="32" t="str">
        <f>HYPERLINK("http://dx.doi.org/10.1109/TIA.2021.3116916","http://dx.doi.org/10.1109/TIA.2021.3116916")</f>
        <v>http://dx.doi.org/10.1109/TIA.2021.3116916</v>
      </c>
      <c r="BJ601" s="32" t="s">
        <v>1225</v>
      </c>
      <c r="BK601" s="32" t="s">
        <v>1225</v>
      </c>
      <c r="BL601" s="32" t="s">
        <v>1225</v>
      </c>
      <c r="BM601" s="32" t="s">
        <v>1225</v>
      </c>
      <c r="BN601" s="32" t="s">
        <v>1225</v>
      </c>
      <c r="BO601" s="32" t="s">
        <v>1225</v>
      </c>
      <c r="BP601" s="32" t="s">
        <v>1225</v>
      </c>
      <c r="BQ601" s="32" t="s">
        <v>1225</v>
      </c>
      <c r="BR601" s="32" t="s">
        <v>1225</v>
      </c>
      <c r="BS601" s="32" t="s">
        <v>1225</v>
      </c>
      <c r="BT601" s="32" t="s">
        <v>1225</v>
      </c>
      <c r="BU601" s="32" t="s">
        <v>1225</v>
      </c>
      <c r="BV601" s="32" t="s">
        <v>1225</v>
      </c>
      <c r="BW601" s="32" t="str">
        <f t="shared" si="18"/>
        <v>View Full Record in Web of Science</v>
      </c>
      <c r="BY601" s="41" t="str">
        <f>IF(Deletion!J601=TRUE,"Yes","No")</f>
        <v>Yes</v>
      </c>
    </row>
    <row r="602" spans="1:77" x14ac:dyDescent="0.15">
      <c r="A602" s="32">
        <f t="shared" si="19"/>
        <v>601</v>
      </c>
      <c r="D602" s="32" t="s">
        <v>1223</v>
      </c>
      <c r="E602" s="32" t="s">
        <v>5375</v>
      </c>
      <c r="F602" s="32" t="s">
        <v>1225</v>
      </c>
      <c r="G602" s="32" t="s">
        <v>1225</v>
      </c>
      <c r="H602" s="32" t="s">
        <v>1225</v>
      </c>
      <c r="I602" s="32" t="s">
        <v>5376</v>
      </c>
      <c r="J602" s="32" t="s">
        <v>1225</v>
      </c>
      <c r="K602" s="32" t="s">
        <v>1225</v>
      </c>
      <c r="L602" s="32" t="s">
        <v>5377</v>
      </c>
      <c r="M602" s="32" t="s">
        <v>68</v>
      </c>
      <c r="N602" s="32" t="s">
        <v>1225</v>
      </c>
      <c r="O602" s="32" t="s">
        <v>1225</v>
      </c>
      <c r="P602" s="32" t="s">
        <v>1225</v>
      </c>
      <c r="Q602" s="32" t="s">
        <v>1227</v>
      </c>
      <c r="R602" s="32" t="s">
        <v>1225</v>
      </c>
      <c r="S602" s="32" t="s">
        <v>1225</v>
      </c>
      <c r="T602" s="32" t="s">
        <v>1225</v>
      </c>
      <c r="U602" s="32" t="s">
        <v>1225</v>
      </c>
      <c r="V602" s="32" t="s">
        <v>1225</v>
      </c>
      <c r="W602" s="32" t="s">
        <v>5378</v>
      </c>
      <c r="X602" s="32" t="s">
        <v>5379</v>
      </c>
      <c r="Y602" s="32" t="s">
        <v>5380</v>
      </c>
      <c r="Z602" s="32" t="s">
        <v>1225</v>
      </c>
      <c r="AA602" s="32" t="s">
        <v>1225</v>
      </c>
      <c r="AB602" s="32" t="s">
        <v>1225</v>
      </c>
      <c r="AC602" s="32" t="s">
        <v>1225</v>
      </c>
      <c r="AD602" s="32" t="s">
        <v>1225</v>
      </c>
      <c r="AE602" s="32" t="s">
        <v>1225</v>
      </c>
      <c r="AF602" s="32" t="s">
        <v>1225</v>
      </c>
      <c r="AG602" s="32" t="s">
        <v>1225</v>
      </c>
      <c r="AH602" s="32" t="s">
        <v>1225</v>
      </c>
      <c r="AI602" s="32" t="s">
        <v>1225</v>
      </c>
      <c r="AJ602" s="32" t="s">
        <v>1225</v>
      </c>
      <c r="AK602" s="32" t="s">
        <v>1225</v>
      </c>
      <c r="AL602" s="32" t="s">
        <v>1225</v>
      </c>
      <c r="AM602" s="32" t="s">
        <v>1225</v>
      </c>
      <c r="AN602" s="32" t="s">
        <v>1225</v>
      </c>
      <c r="AO602" s="32" t="s">
        <v>1225</v>
      </c>
      <c r="AP602" s="32" t="s">
        <v>1225</v>
      </c>
      <c r="AQ602" s="32" t="s">
        <v>1225</v>
      </c>
      <c r="AR602" s="32" t="s">
        <v>1225</v>
      </c>
      <c r="AS602" s="32" t="s">
        <v>1225</v>
      </c>
      <c r="AT602" s="32" t="s">
        <v>1225</v>
      </c>
      <c r="AU602" s="32" t="s">
        <v>1225</v>
      </c>
      <c r="AV602" s="32" t="s">
        <v>1225</v>
      </c>
      <c r="AW602" s="32" t="s">
        <v>1225</v>
      </c>
      <c r="AX602" s="32">
        <v>2021</v>
      </c>
      <c r="AY602" s="32">
        <v>9</v>
      </c>
      <c r="AZ602" s="32" t="s">
        <v>1225</v>
      </c>
      <c r="BA602" s="32" t="s">
        <v>1225</v>
      </c>
      <c r="BB602" s="32" t="s">
        <v>1225</v>
      </c>
      <c r="BC602" s="32" t="s">
        <v>1225</v>
      </c>
      <c r="BD602" s="32" t="s">
        <v>1225</v>
      </c>
      <c r="BE602" s="32">
        <v>123398</v>
      </c>
      <c r="BF602" s="32">
        <v>123413</v>
      </c>
      <c r="BG602" s="32" t="s">
        <v>1225</v>
      </c>
      <c r="BH602" s="32" t="s">
        <v>5381</v>
      </c>
      <c r="BI602" s="32" t="str">
        <f>HYPERLINK("http://dx.doi.org/10.1109/ACCESS.2021.3109621","http://dx.doi.org/10.1109/ACCESS.2021.3109621")</f>
        <v>http://dx.doi.org/10.1109/ACCESS.2021.3109621</v>
      </c>
      <c r="BJ602" s="32" t="s">
        <v>1225</v>
      </c>
      <c r="BK602" s="32" t="s">
        <v>1225</v>
      </c>
      <c r="BL602" s="32" t="s">
        <v>1225</v>
      </c>
      <c r="BM602" s="32" t="s">
        <v>1225</v>
      </c>
      <c r="BN602" s="32" t="s">
        <v>1225</v>
      </c>
      <c r="BO602" s="32" t="s">
        <v>1225</v>
      </c>
      <c r="BP602" s="32" t="s">
        <v>1225</v>
      </c>
      <c r="BQ602" s="32" t="s">
        <v>1225</v>
      </c>
      <c r="BR602" s="32" t="s">
        <v>1225</v>
      </c>
      <c r="BS602" s="32" t="s">
        <v>1225</v>
      </c>
      <c r="BT602" s="32" t="s">
        <v>1225</v>
      </c>
      <c r="BU602" s="32" t="s">
        <v>1225</v>
      </c>
      <c r="BV602" s="32" t="s">
        <v>1225</v>
      </c>
      <c r="BW602" s="32" t="str">
        <f t="shared" si="18"/>
        <v>View Full Record in Web of Science</v>
      </c>
      <c r="BY602" s="41" t="str">
        <f>IF(Deletion!J602=TRUE,"Yes","No")</f>
        <v>Yes</v>
      </c>
    </row>
    <row r="603" spans="1:77" x14ac:dyDescent="0.15">
      <c r="A603" s="32">
        <f t="shared" si="19"/>
        <v>602</v>
      </c>
      <c r="D603" s="32" t="s">
        <v>1223</v>
      </c>
      <c r="E603" s="32" t="s">
        <v>5382</v>
      </c>
      <c r="F603" s="32" t="s">
        <v>1225</v>
      </c>
      <c r="G603" s="32" t="s">
        <v>1225</v>
      </c>
      <c r="H603" s="32" t="s">
        <v>1225</v>
      </c>
      <c r="I603" s="32" t="s">
        <v>5383</v>
      </c>
      <c r="J603" s="32" t="s">
        <v>1225</v>
      </c>
      <c r="K603" s="32" t="s">
        <v>1225</v>
      </c>
      <c r="L603" s="32" t="s">
        <v>5384</v>
      </c>
      <c r="M603" s="32" t="s">
        <v>3360</v>
      </c>
      <c r="N603" s="32" t="s">
        <v>1225</v>
      </c>
      <c r="O603" s="32" t="s">
        <v>1225</v>
      </c>
      <c r="P603" s="32" t="s">
        <v>1225</v>
      </c>
      <c r="Q603" s="32" t="s">
        <v>1227</v>
      </c>
      <c r="R603" s="32" t="s">
        <v>1225</v>
      </c>
      <c r="S603" s="32" t="s">
        <v>1225</v>
      </c>
      <c r="T603" s="32" t="s">
        <v>1225</v>
      </c>
      <c r="U603" s="32" t="s">
        <v>1225</v>
      </c>
      <c r="V603" s="32" t="s">
        <v>1225</v>
      </c>
      <c r="W603" s="32" t="s">
        <v>5385</v>
      </c>
      <c r="X603" s="32" t="s">
        <v>5386</v>
      </c>
      <c r="Y603" s="32" t="s">
        <v>5387</v>
      </c>
      <c r="Z603" s="32" t="s">
        <v>1225</v>
      </c>
      <c r="AA603" s="32" t="s">
        <v>1225</v>
      </c>
      <c r="AB603" s="32" t="s">
        <v>1225</v>
      </c>
      <c r="AC603" s="32" t="s">
        <v>1225</v>
      </c>
      <c r="AD603" s="32" t="s">
        <v>1225</v>
      </c>
      <c r="AE603" s="32" t="s">
        <v>1225</v>
      </c>
      <c r="AF603" s="32" t="s">
        <v>1225</v>
      </c>
      <c r="AG603" s="32" t="s">
        <v>1225</v>
      </c>
      <c r="AH603" s="32" t="s">
        <v>1225</v>
      </c>
      <c r="AI603" s="32" t="s">
        <v>1225</v>
      </c>
      <c r="AJ603" s="32" t="s">
        <v>1225</v>
      </c>
      <c r="AK603" s="32" t="s">
        <v>1225</v>
      </c>
      <c r="AL603" s="32" t="s">
        <v>1225</v>
      </c>
      <c r="AM603" s="32" t="s">
        <v>1225</v>
      </c>
      <c r="AN603" s="32" t="s">
        <v>1225</v>
      </c>
      <c r="AO603" s="32" t="s">
        <v>1225</v>
      </c>
      <c r="AP603" s="32" t="s">
        <v>1225</v>
      </c>
      <c r="AQ603" s="32" t="s">
        <v>1225</v>
      </c>
      <c r="AR603" s="32" t="s">
        <v>1225</v>
      </c>
      <c r="AS603" s="32" t="s">
        <v>1225</v>
      </c>
      <c r="AT603" s="32" t="s">
        <v>1225</v>
      </c>
      <c r="AU603" s="32" t="s">
        <v>1225</v>
      </c>
      <c r="AV603" s="32" t="s">
        <v>1225</v>
      </c>
      <c r="AW603" s="32" t="s">
        <v>1298</v>
      </c>
      <c r="AX603" s="32">
        <v>2021</v>
      </c>
      <c r="AY603" s="32">
        <v>15</v>
      </c>
      <c r="AZ603" s="32">
        <v>3</v>
      </c>
      <c r="BA603" s="32" t="s">
        <v>1225</v>
      </c>
      <c r="BB603" s="32" t="s">
        <v>1225</v>
      </c>
      <c r="BC603" s="32" t="s">
        <v>1225</v>
      </c>
      <c r="BD603" s="32" t="s">
        <v>1225</v>
      </c>
      <c r="BE603" s="32">
        <v>3749</v>
      </c>
      <c r="BF603" s="32">
        <v>3758</v>
      </c>
      <c r="BG603" s="32" t="s">
        <v>1225</v>
      </c>
      <c r="BH603" s="32" t="s">
        <v>5388</v>
      </c>
      <c r="BI603" s="32" t="str">
        <f>HYPERLINK("http://dx.doi.org/10.1109/JSYST.2020.3007320","http://dx.doi.org/10.1109/JSYST.2020.3007320")</f>
        <v>http://dx.doi.org/10.1109/JSYST.2020.3007320</v>
      </c>
      <c r="BJ603" s="32" t="s">
        <v>1225</v>
      </c>
      <c r="BK603" s="32" t="s">
        <v>1225</v>
      </c>
      <c r="BL603" s="32" t="s">
        <v>1225</v>
      </c>
      <c r="BM603" s="32" t="s">
        <v>1225</v>
      </c>
      <c r="BN603" s="32" t="s">
        <v>1225</v>
      </c>
      <c r="BO603" s="32" t="s">
        <v>1225</v>
      </c>
      <c r="BP603" s="32" t="s">
        <v>1225</v>
      </c>
      <c r="BQ603" s="32" t="s">
        <v>1225</v>
      </c>
      <c r="BR603" s="32" t="s">
        <v>1225</v>
      </c>
      <c r="BS603" s="32" t="s">
        <v>1225</v>
      </c>
      <c r="BT603" s="32" t="s">
        <v>1225</v>
      </c>
      <c r="BU603" s="32" t="s">
        <v>1225</v>
      </c>
      <c r="BV603" s="32" t="s">
        <v>1225</v>
      </c>
      <c r="BW603" s="32" t="str">
        <f t="shared" si="18"/>
        <v>View Full Record in Web of Science</v>
      </c>
      <c r="BY603" s="41" t="str">
        <f>IF(Deletion!J603=TRUE,"Yes","No")</f>
        <v>Yes</v>
      </c>
    </row>
    <row r="604" spans="1:77" x14ac:dyDescent="0.15">
      <c r="A604" s="32">
        <f t="shared" si="19"/>
        <v>603</v>
      </c>
      <c r="D604" s="32" t="s">
        <v>1223</v>
      </c>
      <c r="E604" s="32" t="s">
        <v>5389</v>
      </c>
      <c r="F604" s="32" t="s">
        <v>1225</v>
      </c>
      <c r="G604" s="32" t="s">
        <v>1225</v>
      </c>
      <c r="H604" s="32" t="s">
        <v>1225</v>
      </c>
      <c r="I604" s="32" t="s">
        <v>5390</v>
      </c>
      <c r="J604" s="32" t="s">
        <v>1225</v>
      </c>
      <c r="K604" s="32" t="s">
        <v>1225</v>
      </c>
      <c r="L604" s="32" t="s">
        <v>5391</v>
      </c>
      <c r="M604" s="32" t="s">
        <v>3138</v>
      </c>
      <c r="N604" s="32" t="s">
        <v>1225</v>
      </c>
      <c r="O604" s="32" t="s">
        <v>1225</v>
      </c>
      <c r="P604" s="32" t="s">
        <v>1225</v>
      </c>
      <c r="Q604" s="32" t="s">
        <v>1227</v>
      </c>
      <c r="R604" s="32" t="s">
        <v>1225</v>
      </c>
      <c r="S604" s="32" t="s">
        <v>1225</v>
      </c>
      <c r="T604" s="32" t="s">
        <v>1225</v>
      </c>
      <c r="U604" s="32" t="s">
        <v>1225</v>
      </c>
      <c r="V604" s="32" t="s">
        <v>1225</v>
      </c>
      <c r="W604" s="32" t="s">
        <v>5392</v>
      </c>
      <c r="X604" s="32" t="s">
        <v>5393</v>
      </c>
      <c r="Y604" s="32" t="s">
        <v>5394</v>
      </c>
      <c r="Z604" s="32" t="s">
        <v>1225</v>
      </c>
      <c r="AA604" s="32" t="s">
        <v>1225</v>
      </c>
      <c r="AB604" s="32" t="s">
        <v>1225</v>
      </c>
      <c r="AC604" s="32" t="s">
        <v>1225</v>
      </c>
      <c r="AD604" s="32" t="s">
        <v>1225</v>
      </c>
      <c r="AE604" s="32" t="s">
        <v>1225</v>
      </c>
      <c r="AF604" s="32" t="s">
        <v>1225</v>
      </c>
      <c r="AG604" s="32" t="s">
        <v>1225</v>
      </c>
      <c r="AH604" s="32" t="s">
        <v>1225</v>
      </c>
      <c r="AI604" s="32" t="s">
        <v>1225</v>
      </c>
      <c r="AJ604" s="32" t="s">
        <v>1225</v>
      </c>
      <c r="AK604" s="32" t="s">
        <v>1225</v>
      </c>
      <c r="AL604" s="32" t="s">
        <v>1225</v>
      </c>
      <c r="AM604" s="32" t="s">
        <v>1225</v>
      </c>
      <c r="AN604" s="32" t="s">
        <v>1225</v>
      </c>
      <c r="AO604" s="32" t="s">
        <v>1225</v>
      </c>
      <c r="AP604" s="32" t="s">
        <v>1225</v>
      </c>
      <c r="AQ604" s="32" t="s">
        <v>1225</v>
      </c>
      <c r="AR604" s="32" t="s">
        <v>1225</v>
      </c>
      <c r="AS604" s="32" t="s">
        <v>1225</v>
      </c>
      <c r="AT604" s="32" t="s">
        <v>1225</v>
      </c>
      <c r="AU604" s="32" t="s">
        <v>1225</v>
      </c>
      <c r="AV604" s="32" t="s">
        <v>1225</v>
      </c>
      <c r="AW604" s="32" t="s">
        <v>1298</v>
      </c>
      <c r="AX604" s="32">
        <v>2017</v>
      </c>
      <c r="AY604" s="32">
        <v>7</v>
      </c>
      <c r="AZ604" s="32">
        <v>3</v>
      </c>
      <c r="BA604" s="32" t="s">
        <v>1225</v>
      </c>
      <c r="BB604" s="32" t="s">
        <v>1225</v>
      </c>
      <c r="BC604" s="32" t="s">
        <v>1225</v>
      </c>
      <c r="BD604" s="32" t="s">
        <v>1225</v>
      </c>
      <c r="BE604" s="32">
        <v>223</v>
      </c>
      <c r="BF604" s="32">
        <v>229</v>
      </c>
      <c r="BG604" s="32" t="s">
        <v>1225</v>
      </c>
      <c r="BH604" s="32" t="s">
        <v>5395</v>
      </c>
      <c r="BI604" s="32" t="str">
        <f>HYPERLINK("http://dx.doi.org/10.1049/iet-est.2016.0056","http://dx.doi.org/10.1049/iet-est.2016.0056")</f>
        <v>http://dx.doi.org/10.1049/iet-est.2016.0056</v>
      </c>
      <c r="BJ604" s="32" t="s">
        <v>1225</v>
      </c>
      <c r="BK604" s="32" t="s">
        <v>1225</v>
      </c>
      <c r="BL604" s="32" t="s">
        <v>1225</v>
      </c>
      <c r="BM604" s="32" t="s">
        <v>1225</v>
      </c>
      <c r="BN604" s="32" t="s">
        <v>1225</v>
      </c>
      <c r="BO604" s="32" t="s">
        <v>1225</v>
      </c>
      <c r="BP604" s="32" t="s">
        <v>1225</v>
      </c>
      <c r="BQ604" s="32" t="s">
        <v>1225</v>
      </c>
      <c r="BR604" s="32" t="s">
        <v>1225</v>
      </c>
      <c r="BS604" s="32" t="s">
        <v>1225</v>
      </c>
      <c r="BT604" s="32" t="s">
        <v>1225</v>
      </c>
      <c r="BU604" s="32" t="s">
        <v>1225</v>
      </c>
      <c r="BV604" s="32" t="s">
        <v>1225</v>
      </c>
      <c r="BW604" s="32" t="str">
        <f t="shared" si="18"/>
        <v>View Full Record in Web of Science</v>
      </c>
      <c r="BY604" s="41" t="str">
        <f>IF(Deletion!J604=TRUE,"Yes","No")</f>
        <v>Yes</v>
      </c>
    </row>
    <row r="605" spans="1:77" x14ac:dyDescent="0.15">
      <c r="A605" s="32">
        <f t="shared" si="19"/>
        <v>604</v>
      </c>
      <c r="D605" s="32" t="s">
        <v>1223</v>
      </c>
      <c r="E605" s="32" t="s">
        <v>5396</v>
      </c>
      <c r="F605" s="32" t="s">
        <v>1225</v>
      </c>
      <c r="G605" s="32" t="s">
        <v>1225</v>
      </c>
      <c r="H605" s="32" t="s">
        <v>1225</v>
      </c>
      <c r="I605" s="32" t="s">
        <v>5397</v>
      </c>
      <c r="J605" s="32" t="s">
        <v>1225</v>
      </c>
      <c r="K605" s="32" t="s">
        <v>1225</v>
      </c>
      <c r="L605" s="32" t="s">
        <v>5398</v>
      </c>
      <c r="M605" s="32" t="s">
        <v>2302</v>
      </c>
      <c r="N605" s="32" t="s">
        <v>1225</v>
      </c>
      <c r="O605" s="32" t="s">
        <v>1225</v>
      </c>
      <c r="P605" s="32" t="s">
        <v>1225</v>
      </c>
      <c r="Q605" s="32" t="s">
        <v>1227</v>
      </c>
      <c r="R605" s="32" t="s">
        <v>1225</v>
      </c>
      <c r="S605" s="32" t="s">
        <v>1225</v>
      </c>
      <c r="T605" s="32" t="s">
        <v>1225</v>
      </c>
      <c r="U605" s="32" t="s">
        <v>1225</v>
      </c>
      <c r="V605" s="32" t="s">
        <v>1225</v>
      </c>
      <c r="W605" s="32" t="s">
        <v>5399</v>
      </c>
      <c r="X605" s="32" t="s">
        <v>1225</v>
      </c>
      <c r="Y605" s="32" t="s">
        <v>5400</v>
      </c>
      <c r="Z605" s="32" t="s">
        <v>1225</v>
      </c>
      <c r="AA605" s="32" t="s">
        <v>1225</v>
      </c>
      <c r="AB605" s="32" t="s">
        <v>1225</v>
      </c>
      <c r="AC605" s="32" t="s">
        <v>1225</v>
      </c>
      <c r="AD605" s="32" t="s">
        <v>1225</v>
      </c>
      <c r="AE605" s="32" t="s">
        <v>1225</v>
      </c>
      <c r="AF605" s="32" t="s">
        <v>1225</v>
      </c>
      <c r="AG605" s="32" t="s">
        <v>1225</v>
      </c>
      <c r="AH605" s="32" t="s">
        <v>1225</v>
      </c>
      <c r="AI605" s="32" t="s">
        <v>1225</v>
      </c>
      <c r="AJ605" s="32" t="s">
        <v>1225</v>
      </c>
      <c r="AK605" s="32" t="s">
        <v>1225</v>
      </c>
      <c r="AL605" s="32" t="s">
        <v>1225</v>
      </c>
      <c r="AM605" s="32" t="s">
        <v>1225</v>
      </c>
      <c r="AN605" s="32" t="s">
        <v>1225</v>
      </c>
      <c r="AO605" s="32" t="s">
        <v>1225</v>
      </c>
      <c r="AP605" s="32" t="s">
        <v>1225</v>
      </c>
      <c r="AQ605" s="32" t="s">
        <v>1225</v>
      </c>
      <c r="AR605" s="32" t="s">
        <v>1225</v>
      </c>
      <c r="AS605" s="32" t="s">
        <v>1225</v>
      </c>
      <c r="AT605" s="32" t="s">
        <v>1225</v>
      </c>
      <c r="AU605" s="32" t="s">
        <v>1225</v>
      </c>
      <c r="AV605" s="32" t="s">
        <v>1225</v>
      </c>
      <c r="AW605" s="32" t="s">
        <v>1256</v>
      </c>
      <c r="AX605" s="32">
        <v>2020</v>
      </c>
      <c r="AY605" s="32">
        <v>3</v>
      </c>
      <c r="AZ605" s="32">
        <v>6</v>
      </c>
      <c r="BA605" s="32" t="s">
        <v>1225</v>
      </c>
      <c r="BB605" s="32" t="s">
        <v>1225</v>
      </c>
      <c r="BC605" s="32" t="s">
        <v>1225</v>
      </c>
      <c r="BD605" s="32" t="s">
        <v>1225</v>
      </c>
      <c r="BE605" s="32">
        <v>751</v>
      </c>
      <c r="BF605" s="32">
        <v>759</v>
      </c>
      <c r="BG605" s="32" t="s">
        <v>1225</v>
      </c>
      <c r="BH605" s="32" t="s">
        <v>5401</v>
      </c>
      <c r="BI605" s="32" t="str">
        <f>HYPERLINK("http://dx.doi.org/10.1049/iet-stg.2020.0100","http://dx.doi.org/10.1049/iet-stg.2020.0100")</f>
        <v>http://dx.doi.org/10.1049/iet-stg.2020.0100</v>
      </c>
      <c r="BJ605" s="32" t="s">
        <v>1225</v>
      </c>
      <c r="BK605" s="32" t="s">
        <v>1225</v>
      </c>
      <c r="BL605" s="32" t="s">
        <v>1225</v>
      </c>
      <c r="BM605" s="32" t="s">
        <v>1225</v>
      </c>
      <c r="BN605" s="32" t="s">
        <v>1225</v>
      </c>
      <c r="BO605" s="32" t="s">
        <v>1225</v>
      </c>
      <c r="BP605" s="32" t="s">
        <v>1225</v>
      </c>
      <c r="BQ605" s="32" t="s">
        <v>1225</v>
      </c>
      <c r="BR605" s="32" t="s">
        <v>1225</v>
      </c>
      <c r="BS605" s="32" t="s">
        <v>1225</v>
      </c>
      <c r="BT605" s="32" t="s">
        <v>1225</v>
      </c>
      <c r="BU605" s="32" t="s">
        <v>1225</v>
      </c>
      <c r="BV605" s="32" t="s">
        <v>1225</v>
      </c>
      <c r="BW605" s="32" t="str">
        <f t="shared" si="18"/>
        <v>View Full Record in Web of Science</v>
      </c>
      <c r="BY605" s="41" t="str">
        <f>IF(Deletion!J605=TRUE,"Yes","No")</f>
        <v>Yes</v>
      </c>
    </row>
    <row r="606" spans="1:77" x14ac:dyDescent="0.15">
      <c r="A606" s="32">
        <f t="shared" si="19"/>
        <v>605</v>
      </c>
      <c r="D606" s="32" t="s">
        <v>1223</v>
      </c>
      <c r="E606" s="32" t="s">
        <v>5402</v>
      </c>
      <c r="F606" s="32" t="s">
        <v>1225</v>
      </c>
      <c r="G606" s="32" t="s">
        <v>1225</v>
      </c>
      <c r="H606" s="32" t="s">
        <v>1225</v>
      </c>
      <c r="I606" s="32" t="s">
        <v>5403</v>
      </c>
      <c r="J606" s="32" t="s">
        <v>1225</v>
      </c>
      <c r="K606" s="32" t="s">
        <v>1225</v>
      </c>
      <c r="L606" s="32" t="s">
        <v>5404</v>
      </c>
      <c r="M606" s="32" t="s">
        <v>422</v>
      </c>
      <c r="N606" s="32" t="s">
        <v>1225</v>
      </c>
      <c r="O606" s="32" t="s">
        <v>1225</v>
      </c>
      <c r="P606" s="32" t="s">
        <v>1225</v>
      </c>
      <c r="Q606" s="32" t="s">
        <v>1227</v>
      </c>
      <c r="R606" s="32" t="s">
        <v>1225</v>
      </c>
      <c r="S606" s="32" t="s">
        <v>1225</v>
      </c>
      <c r="T606" s="32" t="s">
        <v>1225</v>
      </c>
      <c r="U606" s="32" t="s">
        <v>1225</v>
      </c>
      <c r="V606" s="32" t="s">
        <v>1225</v>
      </c>
      <c r="W606" s="32" t="s">
        <v>5405</v>
      </c>
      <c r="X606" s="32" t="s">
        <v>5406</v>
      </c>
      <c r="Y606" s="32" t="s">
        <v>5407</v>
      </c>
      <c r="Z606" s="32" t="s">
        <v>1225</v>
      </c>
      <c r="AA606" s="32" t="s">
        <v>1225</v>
      </c>
      <c r="AB606" s="32" t="s">
        <v>1225</v>
      </c>
      <c r="AC606" s="32" t="s">
        <v>1225</v>
      </c>
      <c r="AD606" s="32" t="s">
        <v>1225</v>
      </c>
      <c r="AE606" s="32" t="s">
        <v>1225</v>
      </c>
      <c r="AF606" s="32" t="s">
        <v>1225</v>
      </c>
      <c r="AG606" s="32" t="s">
        <v>1225</v>
      </c>
      <c r="AH606" s="32" t="s">
        <v>1225</v>
      </c>
      <c r="AI606" s="32" t="s">
        <v>1225</v>
      </c>
      <c r="AJ606" s="32" t="s">
        <v>1225</v>
      </c>
      <c r="AK606" s="32" t="s">
        <v>1225</v>
      </c>
      <c r="AL606" s="32" t="s">
        <v>1225</v>
      </c>
      <c r="AM606" s="32" t="s">
        <v>1225</v>
      </c>
      <c r="AN606" s="32" t="s">
        <v>1225</v>
      </c>
      <c r="AO606" s="32" t="s">
        <v>1225</v>
      </c>
      <c r="AP606" s="32" t="s">
        <v>1225</v>
      </c>
      <c r="AQ606" s="32" t="s">
        <v>1225</v>
      </c>
      <c r="AR606" s="32" t="s">
        <v>1225</v>
      </c>
      <c r="AS606" s="32" t="s">
        <v>1225</v>
      </c>
      <c r="AT606" s="32" t="s">
        <v>1225</v>
      </c>
      <c r="AU606" s="32" t="s">
        <v>1225</v>
      </c>
      <c r="AV606" s="32" t="s">
        <v>1225</v>
      </c>
      <c r="AW606" s="32" t="s">
        <v>1285</v>
      </c>
      <c r="AX606" s="32">
        <v>2018</v>
      </c>
      <c r="AY606" s="32">
        <v>11</v>
      </c>
      <c r="AZ606" s="32">
        <v>5</v>
      </c>
      <c r="BA606" s="32" t="s">
        <v>1225</v>
      </c>
      <c r="BB606" s="32" t="s">
        <v>1225</v>
      </c>
      <c r="BC606" s="32" t="s">
        <v>1225</v>
      </c>
      <c r="BD606" s="32" t="s">
        <v>1225</v>
      </c>
      <c r="BE606" s="32" t="s">
        <v>1225</v>
      </c>
      <c r="BF606" s="32" t="s">
        <v>1225</v>
      </c>
      <c r="BG606" s="32">
        <v>1220</v>
      </c>
      <c r="BH606" s="32" t="s">
        <v>5408</v>
      </c>
      <c r="BI606" s="32" t="str">
        <f>HYPERLINK("http://dx.doi.org/10.3390/en11051220","http://dx.doi.org/10.3390/en11051220")</f>
        <v>http://dx.doi.org/10.3390/en11051220</v>
      </c>
      <c r="BJ606" s="32" t="s">
        <v>1225</v>
      </c>
      <c r="BK606" s="32" t="s">
        <v>1225</v>
      </c>
      <c r="BL606" s="32" t="s">
        <v>1225</v>
      </c>
      <c r="BM606" s="32" t="s">
        <v>1225</v>
      </c>
      <c r="BN606" s="32" t="s">
        <v>1225</v>
      </c>
      <c r="BO606" s="32" t="s">
        <v>1225</v>
      </c>
      <c r="BP606" s="32" t="s">
        <v>1225</v>
      </c>
      <c r="BQ606" s="32" t="s">
        <v>1225</v>
      </c>
      <c r="BR606" s="32" t="s">
        <v>1225</v>
      </c>
      <c r="BS606" s="32" t="s">
        <v>1225</v>
      </c>
      <c r="BT606" s="32" t="s">
        <v>1225</v>
      </c>
      <c r="BU606" s="32" t="s">
        <v>1225</v>
      </c>
      <c r="BV606" s="32" t="s">
        <v>1225</v>
      </c>
      <c r="BW606" s="32" t="str">
        <f t="shared" si="18"/>
        <v>View Full Record in Web of Science</v>
      </c>
      <c r="BY606" s="41" t="str">
        <f>IF(Deletion!J606=TRUE,"Yes","No")</f>
        <v>Yes</v>
      </c>
    </row>
    <row r="607" spans="1:77" x14ac:dyDescent="0.15">
      <c r="A607" s="32">
        <f t="shared" si="19"/>
        <v>606</v>
      </c>
      <c r="D607" s="32" t="s">
        <v>1223</v>
      </c>
      <c r="E607" s="32" t="s">
        <v>5409</v>
      </c>
      <c r="F607" s="32" t="s">
        <v>1225</v>
      </c>
      <c r="G607" s="32" t="s">
        <v>1225</v>
      </c>
      <c r="H607" s="32" t="s">
        <v>1225</v>
      </c>
      <c r="I607" s="32" t="s">
        <v>5410</v>
      </c>
      <c r="J607" s="32" t="s">
        <v>1225</v>
      </c>
      <c r="K607" s="32" t="s">
        <v>1225</v>
      </c>
      <c r="L607" s="32" t="s">
        <v>5411</v>
      </c>
      <c r="M607" s="32" t="s">
        <v>2051</v>
      </c>
      <c r="N607" s="32" t="s">
        <v>1225</v>
      </c>
      <c r="O607" s="32" t="s">
        <v>1225</v>
      </c>
      <c r="P607" s="32" t="s">
        <v>1225</v>
      </c>
      <c r="Q607" s="32" t="s">
        <v>1227</v>
      </c>
      <c r="R607" s="32" t="s">
        <v>1225</v>
      </c>
      <c r="S607" s="32" t="s">
        <v>1225</v>
      </c>
      <c r="T607" s="32" t="s">
        <v>1225</v>
      </c>
      <c r="U607" s="32" t="s">
        <v>1225</v>
      </c>
      <c r="V607" s="32" t="s">
        <v>1225</v>
      </c>
      <c r="W607" s="32" t="s">
        <v>5412</v>
      </c>
      <c r="X607" s="32" t="s">
        <v>5413</v>
      </c>
      <c r="Y607" s="32" t="s">
        <v>5414</v>
      </c>
      <c r="Z607" s="32" t="s">
        <v>1225</v>
      </c>
      <c r="AA607" s="32" t="s">
        <v>1225</v>
      </c>
      <c r="AB607" s="32" t="s">
        <v>1225</v>
      </c>
      <c r="AC607" s="32" t="s">
        <v>1225</v>
      </c>
      <c r="AD607" s="32" t="s">
        <v>1225</v>
      </c>
      <c r="AE607" s="32" t="s">
        <v>1225</v>
      </c>
      <c r="AF607" s="32" t="s">
        <v>1225</v>
      </c>
      <c r="AG607" s="32" t="s">
        <v>1225</v>
      </c>
      <c r="AH607" s="32" t="s">
        <v>1225</v>
      </c>
      <c r="AI607" s="32" t="s">
        <v>1225</v>
      </c>
      <c r="AJ607" s="32" t="s">
        <v>1225</v>
      </c>
      <c r="AK607" s="32" t="s">
        <v>1225</v>
      </c>
      <c r="AL607" s="32" t="s">
        <v>1225</v>
      </c>
      <c r="AM607" s="32" t="s">
        <v>1225</v>
      </c>
      <c r="AN607" s="32" t="s">
        <v>1225</v>
      </c>
      <c r="AO607" s="32" t="s">
        <v>1225</v>
      </c>
      <c r="AP607" s="32" t="s">
        <v>1225</v>
      </c>
      <c r="AQ607" s="32" t="s">
        <v>1225</v>
      </c>
      <c r="AR607" s="32" t="s">
        <v>1225</v>
      </c>
      <c r="AS607" s="32" t="s">
        <v>1225</v>
      </c>
      <c r="AT607" s="32" t="s">
        <v>1225</v>
      </c>
      <c r="AU607" s="32" t="s">
        <v>1225</v>
      </c>
      <c r="AV607" s="32" t="s">
        <v>1225</v>
      </c>
      <c r="AW607" s="32" t="s">
        <v>1276</v>
      </c>
      <c r="AX607" s="32">
        <v>2021</v>
      </c>
      <c r="AY607" s="32">
        <v>17</v>
      </c>
      <c r="AZ607" s="32">
        <v>10</v>
      </c>
      <c r="BA607" s="32" t="s">
        <v>1225</v>
      </c>
      <c r="BB607" s="32" t="s">
        <v>1225</v>
      </c>
      <c r="BC607" s="32" t="s">
        <v>1225</v>
      </c>
      <c r="BD607" s="32" t="s">
        <v>1225</v>
      </c>
      <c r="BE607" s="32">
        <v>6971</v>
      </c>
      <c r="BF607" s="32">
        <v>6980</v>
      </c>
      <c r="BG607" s="32" t="s">
        <v>1225</v>
      </c>
      <c r="BH607" s="32" t="s">
        <v>5415</v>
      </c>
      <c r="BI607" s="32" t="str">
        <f>HYPERLINK("http://dx.doi.org/10.1109/TII.2020.3030949","http://dx.doi.org/10.1109/TII.2020.3030949")</f>
        <v>http://dx.doi.org/10.1109/TII.2020.3030949</v>
      </c>
      <c r="BJ607" s="32" t="s">
        <v>1225</v>
      </c>
      <c r="BK607" s="32" t="s">
        <v>1225</v>
      </c>
      <c r="BL607" s="32" t="s">
        <v>1225</v>
      </c>
      <c r="BM607" s="32" t="s">
        <v>1225</v>
      </c>
      <c r="BN607" s="32" t="s">
        <v>1225</v>
      </c>
      <c r="BO607" s="32" t="s">
        <v>1225</v>
      </c>
      <c r="BP607" s="32" t="s">
        <v>1225</v>
      </c>
      <c r="BQ607" s="32" t="s">
        <v>1225</v>
      </c>
      <c r="BR607" s="32" t="s">
        <v>1225</v>
      </c>
      <c r="BS607" s="32" t="s">
        <v>1225</v>
      </c>
      <c r="BT607" s="32" t="s">
        <v>1225</v>
      </c>
      <c r="BU607" s="32" t="s">
        <v>1225</v>
      </c>
      <c r="BV607" s="32" t="s">
        <v>1225</v>
      </c>
      <c r="BW607" s="32" t="str">
        <f t="shared" si="18"/>
        <v>View Full Record in Web of Science</v>
      </c>
      <c r="BY607" s="41" t="str">
        <f>IF(Deletion!J607=TRUE,"Yes","No")</f>
        <v>Yes</v>
      </c>
    </row>
    <row r="608" spans="1:77" x14ac:dyDescent="0.15">
      <c r="A608" s="32">
        <f t="shared" si="19"/>
        <v>607</v>
      </c>
      <c r="D608" s="32" t="s">
        <v>1223</v>
      </c>
      <c r="E608" s="32" t="s">
        <v>5416</v>
      </c>
      <c r="F608" s="32" t="s">
        <v>1225</v>
      </c>
      <c r="G608" s="32" t="s">
        <v>1225</v>
      </c>
      <c r="H608" s="32" t="s">
        <v>1225</v>
      </c>
      <c r="I608" s="32" t="s">
        <v>5417</v>
      </c>
      <c r="J608" s="32" t="s">
        <v>1225</v>
      </c>
      <c r="K608" s="32" t="s">
        <v>1225</v>
      </c>
      <c r="L608" s="32" t="s">
        <v>5418</v>
      </c>
      <c r="M608" s="32" t="s">
        <v>3138</v>
      </c>
      <c r="N608" s="32" t="s">
        <v>1225</v>
      </c>
      <c r="O608" s="32" t="s">
        <v>1225</v>
      </c>
      <c r="P608" s="32" t="s">
        <v>1225</v>
      </c>
      <c r="Q608" s="32" t="s">
        <v>1227</v>
      </c>
      <c r="R608" s="32" t="s">
        <v>1225</v>
      </c>
      <c r="S608" s="32" t="s">
        <v>1225</v>
      </c>
      <c r="T608" s="32" t="s">
        <v>1225</v>
      </c>
      <c r="U608" s="32" t="s">
        <v>1225</v>
      </c>
      <c r="V608" s="32" t="s">
        <v>1225</v>
      </c>
      <c r="W608" s="32" t="s">
        <v>5419</v>
      </c>
      <c r="X608" s="32" t="s">
        <v>5420</v>
      </c>
      <c r="Y608" s="32" t="s">
        <v>5421</v>
      </c>
      <c r="Z608" s="32" t="s">
        <v>1225</v>
      </c>
      <c r="AA608" s="32" t="s">
        <v>1225</v>
      </c>
      <c r="AB608" s="32" t="s">
        <v>1225</v>
      </c>
      <c r="AC608" s="32" t="s">
        <v>1225</v>
      </c>
      <c r="AD608" s="32" t="s">
        <v>1225</v>
      </c>
      <c r="AE608" s="32" t="s">
        <v>1225</v>
      </c>
      <c r="AF608" s="32" t="s">
        <v>1225</v>
      </c>
      <c r="AG608" s="32" t="s">
        <v>1225</v>
      </c>
      <c r="AH608" s="32" t="s">
        <v>1225</v>
      </c>
      <c r="AI608" s="32" t="s">
        <v>1225</v>
      </c>
      <c r="AJ608" s="32" t="s">
        <v>1225</v>
      </c>
      <c r="AK608" s="32" t="s">
        <v>1225</v>
      </c>
      <c r="AL608" s="32" t="s">
        <v>1225</v>
      </c>
      <c r="AM608" s="32" t="s">
        <v>1225</v>
      </c>
      <c r="AN608" s="32" t="s">
        <v>1225</v>
      </c>
      <c r="AO608" s="32" t="s">
        <v>1225</v>
      </c>
      <c r="AP608" s="32" t="s">
        <v>1225</v>
      </c>
      <c r="AQ608" s="32" t="s">
        <v>1225</v>
      </c>
      <c r="AR608" s="32" t="s">
        <v>1225</v>
      </c>
      <c r="AS608" s="32" t="s">
        <v>1225</v>
      </c>
      <c r="AT608" s="32" t="s">
        <v>1225</v>
      </c>
      <c r="AU608" s="32" t="s">
        <v>1225</v>
      </c>
      <c r="AV608" s="32" t="s">
        <v>1225</v>
      </c>
      <c r="AW608" s="32" t="s">
        <v>1298</v>
      </c>
      <c r="AX608" s="32">
        <v>2020</v>
      </c>
      <c r="AY608" s="32">
        <v>10</v>
      </c>
      <c r="AZ608" s="32">
        <v>3</v>
      </c>
      <c r="BA608" s="32" t="s">
        <v>1225</v>
      </c>
      <c r="BB608" s="32" t="s">
        <v>1225</v>
      </c>
      <c r="BC608" s="32" t="s">
        <v>1225</v>
      </c>
      <c r="BD608" s="32" t="s">
        <v>1225</v>
      </c>
      <c r="BE608" s="32">
        <v>249</v>
      </c>
      <c r="BF608" s="32">
        <v>258</v>
      </c>
      <c r="BG608" s="32" t="s">
        <v>1225</v>
      </c>
      <c r="BH608" s="32" t="s">
        <v>5422</v>
      </c>
      <c r="BI608" s="32" t="str">
        <f>HYPERLINK("http://dx.doi.org/10.1049/iet-est.2019.0013","http://dx.doi.org/10.1049/iet-est.2019.0013")</f>
        <v>http://dx.doi.org/10.1049/iet-est.2019.0013</v>
      </c>
      <c r="BJ608" s="32" t="s">
        <v>1225</v>
      </c>
      <c r="BK608" s="32" t="s">
        <v>1225</v>
      </c>
      <c r="BL608" s="32" t="s">
        <v>1225</v>
      </c>
      <c r="BM608" s="32" t="s">
        <v>1225</v>
      </c>
      <c r="BN608" s="32" t="s">
        <v>1225</v>
      </c>
      <c r="BO608" s="32" t="s">
        <v>1225</v>
      </c>
      <c r="BP608" s="32" t="s">
        <v>1225</v>
      </c>
      <c r="BQ608" s="32" t="s">
        <v>1225</v>
      </c>
      <c r="BR608" s="32" t="s">
        <v>1225</v>
      </c>
      <c r="BS608" s="32" t="s">
        <v>1225</v>
      </c>
      <c r="BT608" s="32" t="s">
        <v>1225</v>
      </c>
      <c r="BU608" s="32" t="s">
        <v>1225</v>
      </c>
      <c r="BV608" s="32" t="s">
        <v>1225</v>
      </c>
      <c r="BW608" s="32" t="str">
        <f t="shared" si="18"/>
        <v>View Full Record in Web of Science</v>
      </c>
      <c r="BY608" s="41" t="str">
        <f>IF(Deletion!J608=TRUE,"Yes","No")</f>
        <v>Yes</v>
      </c>
    </row>
    <row r="609" spans="1:77" x14ac:dyDescent="0.15">
      <c r="A609" s="38">
        <f t="shared" si="19"/>
        <v>608</v>
      </c>
      <c r="B609" s="38" t="s">
        <v>1413</v>
      </c>
      <c r="C609" s="38" t="s">
        <v>1413</v>
      </c>
      <c r="D609" s="38" t="s">
        <v>1223</v>
      </c>
      <c r="E609" s="38" t="s">
        <v>5423</v>
      </c>
      <c r="F609" s="32" t="s">
        <v>1225</v>
      </c>
      <c r="G609" s="32" t="s">
        <v>1225</v>
      </c>
      <c r="H609" s="32" t="s">
        <v>1225</v>
      </c>
      <c r="I609" s="38" t="s">
        <v>5424</v>
      </c>
      <c r="J609" s="32" t="s">
        <v>1225</v>
      </c>
      <c r="K609" s="32" t="s">
        <v>1225</v>
      </c>
      <c r="L609" s="38" t="s">
        <v>5425</v>
      </c>
      <c r="M609" s="38" t="s">
        <v>2302</v>
      </c>
      <c r="N609" s="32" t="s">
        <v>1225</v>
      </c>
      <c r="O609" s="32" t="s">
        <v>1225</v>
      </c>
      <c r="P609" s="32" t="s">
        <v>1225</v>
      </c>
      <c r="Q609" s="38" t="s">
        <v>1417</v>
      </c>
      <c r="R609" s="32" t="s">
        <v>1225</v>
      </c>
      <c r="S609" s="32" t="s">
        <v>1225</v>
      </c>
      <c r="T609" s="32" t="s">
        <v>1225</v>
      </c>
      <c r="U609" s="32" t="s">
        <v>1225</v>
      </c>
      <c r="V609" s="32" t="s">
        <v>1225</v>
      </c>
      <c r="W609" s="38" t="s">
        <v>5426</v>
      </c>
      <c r="X609" s="38" t="s">
        <v>5427</v>
      </c>
      <c r="Y609" s="38" t="s">
        <v>5428</v>
      </c>
      <c r="Z609" s="32" t="s">
        <v>1225</v>
      </c>
      <c r="AA609" s="32" t="s">
        <v>1225</v>
      </c>
      <c r="AB609" s="32" t="s">
        <v>1225</v>
      </c>
      <c r="AC609" s="32" t="s">
        <v>1225</v>
      </c>
      <c r="AD609" s="32" t="s">
        <v>1225</v>
      </c>
      <c r="AE609" s="32" t="s">
        <v>1225</v>
      </c>
      <c r="AF609" s="32" t="s">
        <v>1225</v>
      </c>
      <c r="AG609" s="32" t="s">
        <v>1225</v>
      </c>
      <c r="AH609" s="32" t="s">
        <v>1225</v>
      </c>
      <c r="AI609" s="32" t="s">
        <v>1225</v>
      </c>
      <c r="AJ609" s="32" t="s">
        <v>1225</v>
      </c>
      <c r="AK609" s="32" t="s">
        <v>1225</v>
      </c>
      <c r="AL609" s="32" t="s">
        <v>1225</v>
      </c>
      <c r="AM609" s="32" t="s">
        <v>1225</v>
      </c>
      <c r="AN609" s="32" t="s">
        <v>1225</v>
      </c>
      <c r="AO609" s="32" t="s">
        <v>1225</v>
      </c>
      <c r="AP609" s="32" t="s">
        <v>1225</v>
      </c>
      <c r="AQ609" s="32" t="s">
        <v>1225</v>
      </c>
      <c r="AR609" s="32" t="s">
        <v>1225</v>
      </c>
      <c r="AS609" s="32" t="s">
        <v>1225</v>
      </c>
      <c r="AT609" s="32" t="s">
        <v>1225</v>
      </c>
      <c r="AU609" s="32" t="s">
        <v>1225</v>
      </c>
      <c r="AV609" s="32" t="s">
        <v>1225</v>
      </c>
      <c r="AW609" s="38" t="s">
        <v>1393</v>
      </c>
      <c r="AX609" s="38">
        <v>2020</v>
      </c>
      <c r="AY609" s="32">
        <v>3</v>
      </c>
      <c r="AZ609" s="32">
        <v>3</v>
      </c>
      <c r="BA609" s="32" t="s">
        <v>1225</v>
      </c>
      <c r="BB609" s="32" t="s">
        <v>1225</v>
      </c>
      <c r="BC609" s="32" t="s">
        <v>1225</v>
      </c>
      <c r="BD609" s="32" t="s">
        <v>1225</v>
      </c>
      <c r="BE609" s="32">
        <v>267</v>
      </c>
      <c r="BF609" s="32">
        <v>279</v>
      </c>
      <c r="BG609" s="32" t="s">
        <v>1225</v>
      </c>
      <c r="BH609" s="38" t="s">
        <v>5429</v>
      </c>
      <c r="BI609" s="38" t="str">
        <f>HYPERLINK("http://dx.doi.org/10.1049/iet-stg.2019.0220","http://dx.doi.org/10.1049/iet-stg.2019.0220")</f>
        <v>http://dx.doi.org/10.1049/iet-stg.2019.0220</v>
      </c>
      <c r="BJ609" s="32" t="s">
        <v>1225</v>
      </c>
      <c r="BK609" s="32" t="s">
        <v>1225</v>
      </c>
      <c r="BL609" s="32" t="s">
        <v>1225</v>
      </c>
      <c r="BM609" s="32" t="s">
        <v>1225</v>
      </c>
      <c r="BN609" s="32" t="s">
        <v>1225</v>
      </c>
      <c r="BO609" s="32" t="s">
        <v>1225</v>
      </c>
      <c r="BP609" s="32" t="s">
        <v>1225</v>
      </c>
      <c r="BQ609" s="32" t="s">
        <v>1225</v>
      </c>
      <c r="BR609" s="32" t="s">
        <v>1225</v>
      </c>
      <c r="BS609" s="32" t="s">
        <v>1225</v>
      </c>
      <c r="BT609" s="32" t="s">
        <v>1225</v>
      </c>
      <c r="BU609" s="32" t="s">
        <v>1225</v>
      </c>
      <c r="BV609" s="32" t="s">
        <v>1225</v>
      </c>
      <c r="BW609" s="32" t="str">
        <f t="shared" si="18"/>
        <v>View Full Record in Web of Science</v>
      </c>
      <c r="BY609" s="41" t="str">
        <f>IF(Deletion!J609=TRUE,"Yes","No")</f>
        <v>Yes</v>
      </c>
    </row>
    <row r="610" spans="1:77" x14ac:dyDescent="0.15">
      <c r="A610" s="32">
        <f t="shared" si="19"/>
        <v>609</v>
      </c>
      <c r="D610" s="32" t="s">
        <v>1223</v>
      </c>
      <c r="E610" s="32" t="s">
        <v>5430</v>
      </c>
      <c r="F610" s="32" t="s">
        <v>1225</v>
      </c>
      <c r="G610" s="32" t="s">
        <v>1225</v>
      </c>
      <c r="H610" s="32" t="s">
        <v>1225</v>
      </c>
      <c r="I610" s="32" t="s">
        <v>5431</v>
      </c>
      <c r="J610" s="32" t="s">
        <v>1225</v>
      </c>
      <c r="K610" s="32" t="s">
        <v>1225</v>
      </c>
      <c r="L610" s="32" t="s">
        <v>5432</v>
      </c>
      <c r="M610" s="32" t="s">
        <v>3440</v>
      </c>
      <c r="N610" s="32" t="s">
        <v>1225</v>
      </c>
      <c r="O610" s="32" t="s">
        <v>1225</v>
      </c>
      <c r="P610" s="32" t="s">
        <v>1225</v>
      </c>
      <c r="Q610" s="32" t="s">
        <v>1227</v>
      </c>
      <c r="R610" s="32" t="s">
        <v>1225</v>
      </c>
      <c r="S610" s="32" t="s">
        <v>1225</v>
      </c>
      <c r="T610" s="32" t="s">
        <v>1225</v>
      </c>
      <c r="U610" s="32" t="s">
        <v>1225</v>
      </c>
      <c r="V610" s="32" t="s">
        <v>1225</v>
      </c>
      <c r="W610" s="32" t="s">
        <v>5433</v>
      </c>
      <c r="X610" s="32" t="s">
        <v>5434</v>
      </c>
      <c r="Y610" s="32" t="s">
        <v>5435</v>
      </c>
      <c r="Z610" s="32" t="s">
        <v>1225</v>
      </c>
      <c r="AA610" s="32" t="s">
        <v>1225</v>
      </c>
      <c r="AB610" s="32" t="s">
        <v>1225</v>
      </c>
      <c r="AC610" s="32" t="s">
        <v>1225</v>
      </c>
      <c r="AD610" s="32" t="s">
        <v>1225</v>
      </c>
      <c r="AE610" s="32" t="s">
        <v>1225</v>
      </c>
      <c r="AF610" s="32" t="s">
        <v>1225</v>
      </c>
      <c r="AG610" s="32" t="s">
        <v>1225</v>
      </c>
      <c r="AH610" s="32" t="s">
        <v>1225</v>
      </c>
      <c r="AI610" s="32" t="s">
        <v>1225</v>
      </c>
      <c r="AJ610" s="32" t="s">
        <v>1225</v>
      </c>
      <c r="AK610" s="32" t="s">
        <v>1225</v>
      </c>
      <c r="AL610" s="32" t="s">
        <v>1225</v>
      </c>
      <c r="AM610" s="32" t="s">
        <v>1225</v>
      </c>
      <c r="AN610" s="32" t="s">
        <v>1225</v>
      </c>
      <c r="AO610" s="32" t="s">
        <v>1225</v>
      </c>
      <c r="AP610" s="32" t="s">
        <v>1225</v>
      </c>
      <c r="AQ610" s="32" t="s">
        <v>1225</v>
      </c>
      <c r="AR610" s="32" t="s">
        <v>1225</v>
      </c>
      <c r="AS610" s="32" t="s">
        <v>1225</v>
      </c>
      <c r="AT610" s="32" t="s">
        <v>1225</v>
      </c>
      <c r="AU610" s="32" t="s">
        <v>1225</v>
      </c>
      <c r="AV610" s="32" t="s">
        <v>1225</v>
      </c>
      <c r="AW610" s="32" t="s">
        <v>3444</v>
      </c>
      <c r="AX610" s="32">
        <v>2019</v>
      </c>
      <c r="AY610" s="32">
        <v>12</v>
      </c>
      <c r="AZ610" s="32">
        <v>13</v>
      </c>
      <c r="BA610" s="32" t="s">
        <v>1225</v>
      </c>
      <c r="BB610" s="32" t="s">
        <v>1225</v>
      </c>
      <c r="BC610" s="32" t="s">
        <v>1511</v>
      </c>
      <c r="BD610" s="32" t="s">
        <v>1225</v>
      </c>
      <c r="BE610" s="32">
        <v>3499</v>
      </c>
      <c r="BF610" s="32">
        <v>3509</v>
      </c>
      <c r="BG610" s="32" t="s">
        <v>1225</v>
      </c>
      <c r="BH610" s="32" t="s">
        <v>5436</v>
      </c>
      <c r="BI610" s="32" t="str">
        <f>HYPERLINK("http://dx.doi.org/10.1049/iet-pel.2019.0109","http://dx.doi.org/10.1049/iet-pel.2019.0109")</f>
        <v>http://dx.doi.org/10.1049/iet-pel.2019.0109</v>
      </c>
      <c r="BJ610" s="32" t="s">
        <v>1225</v>
      </c>
      <c r="BK610" s="32" t="s">
        <v>1225</v>
      </c>
      <c r="BL610" s="32" t="s">
        <v>1225</v>
      </c>
      <c r="BM610" s="32" t="s">
        <v>1225</v>
      </c>
      <c r="BN610" s="32" t="s">
        <v>1225</v>
      </c>
      <c r="BO610" s="32" t="s">
        <v>1225</v>
      </c>
      <c r="BP610" s="32" t="s">
        <v>1225</v>
      </c>
      <c r="BQ610" s="32" t="s">
        <v>1225</v>
      </c>
      <c r="BR610" s="32" t="s">
        <v>1225</v>
      </c>
      <c r="BS610" s="32" t="s">
        <v>1225</v>
      </c>
      <c r="BT610" s="32" t="s">
        <v>1225</v>
      </c>
      <c r="BU610" s="32" t="s">
        <v>1225</v>
      </c>
      <c r="BV610" s="32" t="s">
        <v>1225</v>
      </c>
      <c r="BW610" s="32" t="str">
        <f t="shared" si="18"/>
        <v>View Full Record in Web of Science</v>
      </c>
      <c r="BY610" s="41" t="str">
        <f>IF(Deletion!J610=TRUE,"Yes","No")</f>
        <v>Yes</v>
      </c>
    </row>
    <row r="611" spans="1:77" x14ac:dyDescent="0.15">
      <c r="A611" s="32">
        <f t="shared" si="19"/>
        <v>610</v>
      </c>
      <c r="D611" s="32" t="s">
        <v>1223</v>
      </c>
      <c r="E611" s="32" t="s">
        <v>5437</v>
      </c>
      <c r="F611" s="32" t="s">
        <v>1225</v>
      </c>
      <c r="G611" s="32" t="s">
        <v>1225</v>
      </c>
      <c r="H611" s="32" t="s">
        <v>1225</v>
      </c>
      <c r="I611" s="32" t="s">
        <v>5438</v>
      </c>
      <c r="J611" s="32" t="s">
        <v>1225</v>
      </c>
      <c r="K611" s="32" t="s">
        <v>1225</v>
      </c>
      <c r="L611" s="32" t="s">
        <v>5439</v>
      </c>
      <c r="M611" s="32" t="s">
        <v>1771</v>
      </c>
      <c r="N611" s="32" t="s">
        <v>1225</v>
      </c>
      <c r="O611" s="32" t="s">
        <v>1225</v>
      </c>
      <c r="P611" s="32" t="s">
        <v>1225</v>
      </c>
      <c r="Q611" s="32" t="s">
        <v>1227</v>
      </c>
      <c r="R611" s="32" t="s">
        <v>1225</v>
      </c>
      <c r="S611" s="32" t="s">
        <v>1225</v>
      </c>
      <c r="T611" s="32" t="s">
        <v>1225</v>
      </c>
      <c r="U611" s="32" t="s">
        <v>1225</v>
      </c>
      <c r="V611" s="32" t="s">
        <v>1225</v>
      </c>
      <c r="W611" s="32" t="s">
        <v>5440</v>
      </c>
      <c r="X611" s="32" t="s">
        <v>5441</v>
      </c>
      <c r="Y611" s="32" t="s">
        <v>5442</v>
      </c>
      <c r="Z611" s="32" t="s">
        <v>1225</v>
      </c>
      <c r="AA611" s="32" t="s">
        <v>1225</v>
      </c>
      <c r="AB611" s="32" t="s">
        <v>1225</v>
      </c>
      <c r="AC611" s="32" t="s">
        <v>1225</v>
      </c>
      <c r="AD611" s="32" t="s">
        <v>1225</v>
      </c>
      <c r="AE611" s="32" t="s">
        <v>1225</v>
      </c>
      <c r="AF611" s="32" t="s">
        <v>1225</v>
      </c>
      <c r="AG611" s="32" t="s">
        <v>1225</v>
      </c>
      <c r="AH611" s="32" t="s">
        <v>1225</v>
      </c>
      <c r="AI611" s="32" t="s">
        <v>1225</v>
      </c>
      <c r="AJ611" s="32" t="s">
        <v>1225</v>
      </c>
      <c r="AK611" s="32" t="s">
        <v>1225</v>
      </c>
      <c r="AL611" s="32" t="s">
        <v>1225</v>
      </c>
      <c r="AM611" s="32" t="s">
        <v>1225</v>
      </c>
      <c r="AN611" s="32" t="s">
        <v>1225</v>
      </c>
      <c r="AO611" s="32" t="s">
        <v>1225</v>
      </c>
      <c r="AP611" s="32" t="s">
        <v>1225</v>
      </c>
      <c r="AQ611" s="32" t="s">
        <v>1225</v>
      </c>
      <c r="AR611" s="32" t="s">
        <v>1225</v>
      </c>
      <c r="AS611" s="32" t="s">
        <v>1225</v>
      </c>
      <c r="AT611" s="32" t="s">
        <v>1225</v>
      </c>
      <c r="AU611" s="32" t="s">
        <v>1225</v>
      </c>
      <c r="AV611" s="32" t="s">
        <v>1225</v>
      </c>
      <c r="AW611" s="32" t="s">
        <v>1393</v>
      </c>
      <c r="AX611" s="32">
        <v>2022</v>
      </c>
      <c r="AY611" s="32">
        <v>30</v>
      </c>
      <c r="AZ611" s="32" t="s">
        <v>1225</v>
      </c>
      <c r="BA611" s="32" t="s">
        <v>1225</v>
      </c>
      <c r="BB611" s="32" t="s">
        <v>1225</v>
      </c>
      <c r="BC611" s="32" t="s">
        <v>1225</v>
      </c>
      <c r="BD611" s="32" t="s">
        <v>1225</v>
      </c>
      <c r="BE611" s="32" t="s">
        <v>1225</v>
      </c>
      <c r="BF611" s="32" t="s">
        <v>1225</v>
      </c>
      <c r="BG611" s="32">
        <v>100598</v>
      </c>
      <c r="BH611" s="32" t="s">
        <v>5443</v>
      </c>
      <c r="BI611" s="32" t="str">
        <f>HYPERLINK("http://dx.doi.org/10.1016/j.segan.2021.100598","http://dx.doi.org/10.1016/j.segan.2021.100598")</f>
        <v>http://dx.doi.org/10.1016/j.segan.2021.100598</v>
      </c>
      <c r="BJ611" s="32" t="s">
        <v>1225</v>
      </c>
      <c r="BK611" s="32" t="s">
        <v>1225</v>
      </c>
      <c r="BL611" s="32" t="s">
        <v>1225</v>
      </c>
      <c r="BM611" s="32" t="s">
        <v>1225</v>
      </c>
      <c r="BN611" s="32" t="s">
        <v>1225</v>
      </c>
      <c r="BO611" s="32" t="s">
        <v>1225</v>
      </c>
      <c r="BP611" s="32" t="s">
        <v>1225</v>
      </c>
      <c r="BQ611" s="32" t="s">
        <v>1225</v>
      </c>
      <c r="BR611" s="32" t="s">
        <v>1225</v>
      </c>
      <c r="BS611" s="32" t="s">
        <v>1225</v>
      </c>
      <c r="BT611" s="32" t="s">
        <v>1225</v>
      </c>
      <c r="BU611" s="32" t="s">
        <v>1225</v>
      </c>
      <c r="BV611" s="32" t="s">
        <v>1225</v>
      </c>
      <c r="BW611" s="32" t="str">
        <f t="shared" si="18"/>
        <v>View Full Record in Web of Science</v>
      </c>
      <c r="BY611" s="41" t="str">
        <f>IF(Deletion!J611=TRUE,"Yes","No")</f>
        <v>Yes</v>
      </c>
    </row>
    <row r="612" spans="1:77" x14ac:dyDescent="0.15">
      <c r="A612" s="32">
        <f t="shared" si="19"/>
        <v>611</v>
      </c>
      <c r="D612" s="32" t="s">
        <v>1223</v>
      </c>
      <c r="E612" s="32" t="s">
        <v>5444</v>
      </c>
      <c r="F612" s="32" t="s">
        <v>1225</v>
      </c>
      <c r="G612" s="32" t="s">
        <v>1225</v>
      </c>
      <c r="H612" s="32" t="s">
        <v>1225</v>
      </c>
      <c r="I612" s="32" t="s">
        <v>5445</v>
      </c>
      <c r="J612" s="32" t="s">
        <v>1225</v>
      </c>
      <c r="K612" s="32" t="s">
        <v>1225</v>
      </c>
      <c r="L612" s="32" t="s">
        <v>5446</v>
      </c>
      <c r="M612" s="32" t="s">
        <v>2051</v>
      </c>
      <c r="N612" s="32" t="s">
        <v>1225</v>
      </c>
      <c r="O612" s="32" t="s">
        <v>1225</v>
      </c>
      <c r="P612" s="32" t="s">
        <v>1225</v>
      </c>
      <c r="Q612" s="32" t="s">
        <v>1227</v>
      </c>
      <c r="R612" s="32" t="s">
        <v>1225</v>
      </c>
      <c r="S612" s="32" t="s">
        <v>1225</v>
      </c>
      <c r="T612" s="32" t="s">
        <v>1225</v>
      </c>
      <c r="U612" s="32" t="s">
        <v>1225</v>
      </c>
      <c r="V612" s="32" t="s">
        <v>1225</v>
      </c>
      <c r="W612" s="32" t="s">
        <v>5447</v>
      </c>
      <c r="X612" s="32" t="s">
        <v>5448</v>
      </c>
      <c r="Y612" s="32" t="s">
        <v>5449</v>
      </c>
      <c r="Z612" s="32" t="s">
        <v>1225</v>
      </c>
      <c r="AA612" s="32" t="s">
        <v>1225</v>
      </c>
      <c r="AB612" s="32" t="s">
        <v>1225</v>
      </c>
      <c r="AC612" s="32" t="s">
        <v>1225</v>
      </c>
      <c r="AD612" s="32" t="s">
        <v>1225</v>
      </c>
      <c r="AE612" s="32" t="s">
        <v>1225</v>
      </c>
      <c r="AF612" s="32" t="s">
        <v>1225</v>
      </c>
      <c r="AG612" s="32" t="s">
        <v>1225</v>
      </c>
      <c r="AH612" s="32" t="s">
        <v>1225</v>
      </c>
      <c r="AI612" s="32" t="s">
        <v>1225</v>
      </c>
      <c r="AJ612" s="32" t="s">
        <v>1225</v>
      </c>
      <c r="AK612" s="32" t="s">
        <v>1225</v>
      </c>
      <c r="AL612" s="32" t="s">
        <v>1225</v>
      </c>
      <c r="AM612" s="32" t="s">
        <v>1225</v>
      </c>
      <c r="AN612" s="32" t="s">
        <v>1225</v>
      </c>
      <c r="AO612" s="32" t="s">
        <v>1225</v>
      </c>
      <c r="AP612" s="32" t="s">
        <v>1225</v>
      </c>
      <c r="AQ612" s="32" t="s">
        <v>1225</v>
      </c>
      <c r="AR612" s="32" t="s">
        <v>1225</v>
      </c>
      <c r="AS612" s="32" t="s">
        <v>1225</v>
      </c>
      <c r="AT612" s="32" t="s">
        <v>1225</v>
      </c>
      <c r="AU612" s="32" t="s">
        <v>1225</v>
      </c>
      <c r="AV612" s="32" t="s">
        <v>1225</v>
      </c>
      <c r="AW612" s="32" t="s">
        <v>1317</v>
      </c>
      <c r="AX612" s="32">
        <v>2021</v>
      </c>
      <c r="AY612" s="32">
        <v>17</v>
      </c>
      <c r="AZ612" s="32">
        <v>1</v>
      </c>
      <c r="BA612" s="32" t="s">
        <v>1225</v>
      </c>
      <c r="BB612" s="32" t="s">
        <v>1225</v>
      </c>
      <c r="BC612" s="32" t="s">
        <v>1225</v>
      </c>
      <c r="BD612" s="32" t="s">
        <v>1225</v>
      </c>
      <c r="BE612" s="32">
        <v>430</v>
      </c>
      <c r="BF612" s="32">
        <v>440</v>
      </c>
      <c r="BG612" s="32" t="s">
        <v>1225</v>
      </c>
      <c r="BH612" s="32" t="s">
        <v>5450</v>
      </c>
      <c r="BI612" s="32" t="str">
        <f>HYPERLINK("http://dx.doi.org/10.1109/TII.2020.2971530","http://dx.doi.org/10.1109/TII.2020.2971530")</f>
        <v>http://dx.doi.org/10.1109/TII.2020.2971530</v>
      </c>
      <c r="BJ612" s="32" t="s">
        <v>1225</v>
      </c>
      <c r="BK612" s="32" t="s">
        <v>1225</v>
      </c>
      <c r="BL612" s="32" t="s">
        <v>1225</v>
      </c>
      <c r="BM612" s="32" t="s">
        <v>1225</v>
      </c>
      <c r="BN612" s="32" t="s">
        <v>1225</v>
      </c>
      <c r="BO612" s="32" t="s">
        <v>1225</v>
      </c>
      <c r="BP612" s="32" t="s">
        <v>1225</v>
      </c>
      <c r="BQ612" s="32" t="s">
        <v>1225</v>
      </c>
      <c r="BR612" s="32" t="s">
        <v>1225</v>
      </c>
      <c r="BS612" s="32" t="s">
        <v>1225</v>
      </c>
      <c r="BT612" s="32" t="s">
        <v>1225</v>
      </c>
      <c r="BU612" s="32" t="s">
        <v>1225</v>
      </c>
      <c r="BV612" s="32" t="s">
        <v>1225</v>
      </c>
      <c r="BW612" s="32" t="str">
        <f t="shared" si="18"/>
        <v>View Full Record in Web of Science</v>
      </c>
      <c r="BY612" s="41" t="str">
        <f>IF(Deletion!J612=TRUE,"Yes","No")</f>
        <v>Yes</v>
      </c>
    </row>
    <row r="613" spans="1:77" x14ac:dyDescent="0.15">
      <c r="A613" s="34">
        <f t="shared" si="19"/>
        <v>612</v>
      </c>
      <c r="B613" s="34" t="s">
        <v>4</v>
      </c>
      <c r="C613" s="34" t="s">
        <v>4</v>
      </c>
      <c r="D613" s="34" t="s">
        <v>1223</v>
      </c>
      <c r="E613" s="34" t="s">
        <v>5451</v>
      </c>
      <c r="F613" s="32" t="s">
        <v>1225</v>
      </c>
      <c r="G613" s="32" t="s">
        <v>1225</v>
      </c>
      <c r="H613" s="32" t="s">
        <v>1225</v>
      </c>
      <c r="I613" s="34" t="s">
        <v>5452</v>
      </c>
      <c r="J613" s="32" t="s">
        <v>1225</v>
      </c>
      <c r="K613" s="32" t="s">
        <v>1225</v>
      </c>
      <c r="L613" s="34" t="s">
        <v>5453</v>
      </c>
      <c r="M613" s="34" t="s">
        <v>5454</v>
      </c>
      <c r="N613" s="32" t="s">
        <v>1225</v>
      </c>
      <c r="O613" s="32" t="s">
        <v>1225</v>
      </c>
      <c r="P613" s="32" t="s">
        <v>1225</v>
      </c>
      <c r="Q613" s="34" t="s">
        <v>1227</v>
      </c>
      <c r="R613" s="32" t="s">
        <v>1225</v>
      </c>
      <c r="S613" s="32" t="s">
        <v>1225</v>
      </c>
      <c r="T613" s="32" t="s">
        <v>1225</v>
      </c>
      <c r="U613" s="32" t="s">
        <v>1225</v>
      </c>
      <c r="V613" s="32" t="s">
        <v>1225</v>
      </c>
      <c r="W613" s="34" t="s">
        <v>5455</v>
      </c>
      <c r="X613" s="34" t="s">
        <v>1225</v>
      </c>
      <c r="Y613" s="34" t="s">
        <v>5456</v>
      </c>
      <c r="Z613" s="32" t="s">
        <v>1225</v>
      </c>
      <c r="AA613" s="32" t="s">
        <v>1225</v>
      </c>
      <c r="AB613" s="32" t="s">
        <v>1225</v>
      </c>
      <c r="AC613" s="32" t="s">
        <v>1225</v>
      </c>
      <c r="AD613" s="32" t="s">
        <v>1225</v>
      </c>
      <c r="AE613" s="32" t="s">
        <v>1225</v>
      </c>
      <c r="AF613" s="32" t="s">
        <v>1225</v>
      </c>
      <c r="AG613" s="32" t="s">
        <v>1225</v>
      </c>
      <c r="AH613" s="32" t="s">
        <v>1225</v>
      </c>
      <c r="AI613" s="32" t="s">
        <v>1225</v>
      </c>
      <c r="AJ613" s="32" t="s">
        <v>1225</v>
      </c>
      <c r="AK613" s="32" t="s">
        <v>1225</v>
      </c>
      <c r="AL613" s="32" t="s">
        <v>1225</v>
      </c>
      <c r="AM613" s="32" t="s">
        <v>1225</v>
      </c>
      <c r="AN613" s="32" t="s">
        <v>1225</v>
      </c>
      <c r="AO613" s="32" t="s">
        <v>1225</v>
      </c>
      <c r="AP613" s="32" t="s">
        <v>1225</v>
      </c>
      <c r="AQ613" s="32" t="s">
        <v>1225</v>
      </c>
      <c r="AR613" s="32" t="s">
        <v>1225</v>
      </c>
      <c r="AS613" s="32" t="s">
        <v>1225</v>
      </c>
      <c r="AT613" s="32" t="s">
        <v>1225</v>
      </c>
      <c r="AU613" s="32" t="s">
        <v>1225</v>
      </c>
      <c r="AV613" s="32" t="s">
        <v>1225</v>
      </c>
      <c r="AW613" s="34" t="s">
        <v>1272</v>
      </c>
      <c r="AX613" s="34">
        <v>2019</v>
      </c>
      <c r="AY613" s="32">
        <v>13</v>
      </c>
      <c r="AZ613" s="32">
        <v>2</v>
      </c>
      <c r="BA613" s="32" t="s">
        <v>1225</v>
      </c>
      <c r="BB613" s="32" t="s">
        <v>1225</v>
      </c>
      <c r="BC613" s="32" t="s">
        <v>1225</v>
      </c>
      <c r="BD613" s="32" t="s">
        <v>1225</v>
      </c>
      <c r="BE613" s="32">
        <v>245</v>
      </c>
      <c r="BF613" s="32">
        <v>250</v>
      </c>
      <c r="BG613" s="32" t="s">
        <v>1225</v>
      </c>
      <c r="BH613" s="34" t="s">
        <v>5457</v>
      </c>
      <c r="BI613" s="34" t="str">
        <f>HYPERLINK("http://dx.doi.org/10.1049/iet-cds.2018.5406","http://dx.doi.org/10.1049/iet-cds.2018.5406")</f>
        <v>http://dx.doi.org/10.1049/iet-cds.2018.5406</v>
      </c>
      <c r="BJ613" s="32" t="s">
        <v>1225</v>
      </c>
      <c r="BK613" s="32" t="s">
        <v>1225</v>
      </c>
      <c r="BL613" s="32" t="s">
        <v>1225</v>
      </c>
      <c r="BM613" s="32" t="s">
        <v>1225</v>
      </c>
      <c r="BN613" s="32" t="s">
        <v>1225</v>
      </c>
      <c r="BO613" s="32" t="s">
        <v>1225</v>
      </c>
      <c r="BP613" s="32" t="s">
        <v>1225</v>
      </c>
      <c r="BQ613" s="32" t="s">
        <v>1225</v>
      </c>
      <c r="BR613" s="32" t="s">
        <v>1225</v>
      </c>
      <c r="BS613" s="32" t="s">
        <v>1225</v>
      </c>
      <c r="BT613" s="32" t="s">
        <v>1225</v>
      </c>
      <c r="BU613" s="32" t="s">
        <v>1225</v>
      </c>
      <c r="BV613" s="32" t="s">
        <v>1225</v>
      </c>
      <c r="BW613" s="32" t="str">
        <f t="shared" si="18"/>
        <v>View Full Record in Web of Science</v>
      </c>
      <c r="BY613" s="41" t="str">
        <f>IF(Deletion!J613=TRUE,"Yes","No")</f>
        <v>No</v>
      </c>
    </row>
    <row r="614" spans="1:77" x14ac:dyDescent="0.15">
      <c r="A614" s="32">
        <f t="shared" si="19"/>
        <v>613</v>
      </c>
      <c r="D614" s="32" t="s">
        <v>1223</v>
      </c>
      <c r="E614" s="32" t="s">
        <v>5458</v>
      </c>
      <c r="F614" s="32" t="s">
        <v>1225</v>
      </c>
      <c r="G614" s="32" t="s">
        <v>1225</v>
      </c>
      <c r="H614" s="32" t="s">
        <v>1225</v>
      </c>
      <c r="I614" s="32" t="s">
        <v>5459</v>
      </c>
      <c r="J614" s="32" t="s">
        <v>1225</v>
      </c>
      <c r="K614" s="32" t="s">
        <v>1225</v>
      </c>
      <c r="L614" s="32" t="s">
        <v>5460</v>
      </c>
      <c r="M614" s="32" t="s">
        <v>68</v>
      </c>
      <c r="N614" s="32" t="s">
        <v>1225</v>
      </c>
      <c r="O614" s="32" t="s">
        <v>1225</v>
      </c>
      <c r="P614" s="32" t="s">
        <v>1225</v>
      </c>
      <c r="Q614" s="32" t="s">
        <v>1227</v>
      </c>
      <c r="R614" s="32" t="s">
        <v>1225</v>
      </c>
      <c r="S614" s="32" t="s">
        <v>1225</v>
      </c>
      <c r="T614" s="32" t="s">
        <v>1225</v>
      </c>
      <c r="U614" s="32" t="s">
        <v>1225</v>
      </c>
      <c r="V614" s="32" t="s">
        <v>1225</v>
      </c>
      <c r="W614" s="32" t="s">
        <v>5461</v>
      </c>
      <c r="X614" s="32" t="s">
        <v>5462</v>
      </c>
      <c r="Y614" s="32" t="s">
        <v>5463</v>
      </c>
      <c r="Z614" s="32" t="s">
        <v>1225</v>
      </c>
      <c r="AA614" s="32" t="s">
        <v>1225</v>
      </c>
      <c r="AB614" s="32" t="s">
        <v>1225</v>
      </c>
      <c r="AC614" s="32" t="s">
        <v>1225</v>
      </c>
      <c r="AD614" s="32" t="s">
        <v>1225</v>
      </c>
      <c r="AE614" s="32" t="s">
        <v>1225</v>
      </c>
      <c r="AF614" s="32" t="s">
        <v>1225</v>
      </c>
      <c r="AG614" s="32" t="s">
        <v>1225</v>
      </c>
      <c r="AH614" s="32" t="s">
        <v>1225</v>
      </c>
      <c r="AI614" s="32" t="s">
        <v>1225</v>
      </c>
      <c r="AJ614" s="32" t="s">
        <v>1225</v>
      </c>
      <c r="AK614" s="32" t="s">
        <v>1225</v>
      </c>
      <c r="AL614" s="32" t="s">
        <v>1225</v>
      </c>
      <c r="AM614" s="32" t="s">
        <v>1225</v>
      </c>
      <c r="AN614" s="32" t="s">
        <v>1225</v>
      </c>
      <c r="AO614" s="32" t="s">
        <v>1225</v>
      </c>
      <c r="AP614" s="32" t="s">
        <v>1225</v>
      </c>
      <c r="AQ614" s="32" t="s">
        <v>1225</v>
      </c>
      <c r="AR614" s="32" t="s">
        <v>1225</v>
      </c>
      <c r="AS614" s="32" t="s">
        <v>1225</v>
      </c>
      <c r="AT614" s="32" t="s">
        <v>1225</v>
      </c>
      <c r="AU614" s="32" t="s">
        <v>1225</v>
      </c>
      <c r="AV614" s="32" t="s">
        <v>1225</v>
      </c>
      <c r="AW614" s="32" t="s">
        <v>1225</v>
      </c>
      <c r="AX614" s="32">
        <v>2021</v>
      </c>
      <c r="AY614" s="32">
        <v>9</v>
      </c>
      <c r="AZ614" s="32" t="s">
        <v>1225</v>
      </c>
      <c r="BA614" s="32" t="s">
        <v>1225</v>
      </c>
      <c r="BB614" s="32" t="s">
        <v>1225</v>
      </c>
      <c r="BC614" s="32" t="s">
        <v>1225</v>
      </c>
      <c r="BD614" s="32" t="s">
        <v>1225</v>
      </c>
      <c r="BE614" s="32">
        <v>157247</v>
      </c>
      <c r="BF614" s="32">
        <v>157258</v>
      </c>
      <c r="BG614" s="32" t="s">
        <v>1225</v>
      </c>
      <c r="BH614" s="32" t="s">
        <v>5464</v>
      </c>
      <c r="BI614" s="32" t="str">
        <f>HYPERLINK("http://dx.doi.org/10.1109/ACCESS.2021.3127802","http://dx.doi.org/10.1109/ACCESS.2021.3127802")</f>
        <v>http://dx.doi.org/10.1109/ACCESS.2021.3127802</v>
      </c>
      <c r="BJ614" s="32" t="s">
        <v>1225</v>
      </c>
      <c r="BK614" s="32" t="s">
        <v>1225</v>
      </c>
      <c r="BL614" s="32" t="s">
        <v>1225</v>
      </c>
      <c r="BM614" s="32" t="s">
        <v>1225</v>
      </c>
      <c r="BN614" s="32" t="s">
        <v>1225</v>
      </c>
      <c r="BO614" s="32" t="s">
        <v>1225</v>
      </c>
      <c r="BP614" s="32" t="s">
        <v>1225</v>
      </c>
      <c r="BQ614" s="32" t="s">
        <v>1225</v>
      </c>
      <c r="BR614" s="32" t="s">
        <v>1225</v>
      </c>
      <c r="BS614" s="32" t="s">
        <v>1225</v>
      </c>
      <c r="BT614" s="32" t="s">
        <v>1225</v>
      </c>
      <c r="BU614" s="32" t="s">
        <v>1225</v>
      </c>
      <c r="BV614" s="32" t="s">
        <v>1225</v>
      </c>
      <c r="BW614" s="32" t="str">
        <f t="shared" si="18"/>
        <v>View Full Record in Web of Science</v>
      </c>
      <c r="BY614" s="41" t="str">
        <f>IF(Deletion!J614=TRUE,"Yes","No")</f>
        <v>Yes</v>
      </c>
    </row>
    <row r="615" spans="1:77" x14ac:dyDescent="0.15">
      <c r="A615" s="32">
        <f t="shared" si="19"/>
        <v>614</v>
      </c>
      <c r="D615" s="32" t="s">
        <v>1223</v>
      </c>
      <c r="E615" s="32" t="s">
        <v>5465</v>
      </c>
      <c r="F615" s="32" t="s">
        <v>1225</v>
      </c>
      <c r="G615" s="32" t="s">
        <v>1225</v>
      </c>
      <c r="H615" s="32" t="s">
        <v>1225</v>
      </c>
      <c r="I615" s="32" t="s">
        <v>5466</v>
      </c>
      <c r="J615" s="32" t="s">
        <v>1225</v>
      </c>
      <c r="K615" s="32" t="s">
        <v>1225</v>
      </c>
      <c r="L615" s="32" t="s">
        <v>5467</v>
      </c>
      <c r="M615" s="32" t="s">
        <v>328</v>
      </c>
      <c r="N615" s="32" t="s">
        <v>1225</v>
      </c>
      <c r="O615" s="32" t="s">
        <v>1225</v>
      </c>
      <c r="P615" s="32" t="s">
        <v>1225</v>
      </c>
      <c r="Q615" s="32" t="s">
        <v>1227</v>
      </c>
      <c r="R615" s="32" t="s">
        <v>1225</v>
      </c>
      <c r="S615" s="32" t="s">
        <v>1225</v>
      </c>
      <c r="T615" s="32" t="s">
        <v>1225</v>
      </c>
      <c r="U615" s="32" t="s">
        <v>1225</v>
      </c>
      <c r="V615" s="32" t="s">
        <v>1225</v>
      </c>
      <c r="W615" s="32" t="s">
        <v>5468</v>
      </c>
      <c r="X615" s="32" t="s">
        <v>1225</v>
      </c>
      <c r="Y615" s="32" t="s">
        <v>5469</v>
      </c>
      <c r="Z615" s="32" t="s">
        <v>1225</v>
      </c>
      <c r="AA615" s="32" t="s">
        <v>1225</v>
      </c>
      <c r="AB615" s="32" t="s">
        <v>1225</v>
      </c>
      <c r="AC615" s="32" t="s">
        <v>1225</v>
      </c>
      <c r="AD615" s="32" t="s">
        <v>1225</v>
      </c>
      <c r="AE615" s="32" t="s">
        <v>1225</v>
      </c>
      <c r="AF615" s="32" t="s">
        <v>1225</v>
      </c>
      <c r="AG615" s="32" t="s">
        <v>1225</v>
      </c>
      <c r="AH615" s="32" t="s">
        <v>1225</v>
      </c>
      <c r="AI615" s="32" t="s">
        <v>1225</v>
      </c>
      <c r="AJ615" s="32" t="s">
        <v>1225</v>
      </c>
      <c r="AK615" s="32" t="s">
        <v>1225</v>
      </c>
      <c r="AL615" s="32" t="s">
        <v>1225</v>
      </c>
      <c r="AM615" s="32" t="s">
        <v>1225</v>
      </c>
      <c r="AN615" s="32" t="s">
        <v>1225</v>
      </c>
      <c r="AO615" s="32" t="s">
        <v>1225</v>
      </c>
      <c r="AP615" s="32" t="s">
        <v>1225</v>
      </c>
      <c r="AQ615" s="32" t="s">
        <v>1225</v>
      </c>
      <c r="AR615" s="32" t="s">
        <v>1225</v>
      </c>
      <c r="AS615" s="32" t="s">
        <v>1225</v>
      </c>
      <c r="AT615" s="32" t="s">
        <v>1225</v>
      </c>
      <c r="AU615" s="32" t="s">
        <v>1225</v>
      </c>
      <c r="AV615" s="32" t="s">
        <v>1225</v>
      </c>
      <c r="AW615" s="32" t="s">
        <v>1272</v>
      </c>
      <c r="AX615" s="32">
        <v>2019</v>
      </c>
      <c r="AY615" s="32" t="s">
        <v>1225</v>
      </c>
      <c r="AZ615" s="32">
        <v>16</v>
      </c>
      <c r="BA615" s="32" t="s">
        <v>1225</v>
      </c>
      <c r="BB615" s="32" t="s">
        <v>1225</v>
      </c>
      <c r="BC615" s="32" t="s">
        <v>1225</v>
      </c>
      <c r="BD615" s="32" t="s">
        <v>1225</v>
      </c>
      <c r="BE615" s="32">
        <v>3116</v>
      </c>
      <c r="BF615" s="32">
        <v>3119</v>
      </c>
      <c r="BG615" s="32" t="s">
        <v>1225</v>
      </c>
      <c r="BH615" s="32" t="s">
        <v>5470</v>
      </c>
      <c r="BI615" s="32" t="str">
        <f>HYPERLINK("http://dx.doi.org/10.1049/joe.2018.8771","http://dx.doi.org/10.1049/joe.2018.8771")</f>
        <v>http://dx.doi.org/10.1049/joe.2018.8771</v>
      </c>
      <c r="BJ615" s="32" t="s">
        <v>1225</v>
      </c>
      <c r="BK615" s="32" t="s">
        <v>1225</v>
      </c>
      <c r="BL615" s="32" t="s">
        <v>1225</v>
      </c>
      <c r="BM615" s="32" t="s">
        <v>1225</v>
      </c>
      <c r="BN615" s="32" t="s">
        <v>1225</v>
      </c>
      <c r="BO615" s="32" t="s">
        <v>1225</v>
      </c>
      <c r="BP615" s="32" t="s">
        <v>1225</v>
      </c>
      <c r="BQ615" s="32" t="s">
        <v>1225</v>
      </c>
      <c r="BR615" s="32" t="s">
        <v>1225</v>
      </c>
      <c r="BS615" s="32" t="s">
        <v>1225</v>
      </c>
      <c r="BT615" s="32" t="s">
        <v>1225</v>
      </c>
      <c r="BU615" s="32" t="s">
        <v>1225</v>
      </c>
      <c r="BV615" s="32" t="s">
        <v>1225</v>
      </c>
      <c r="BW615" s="32" t="str">
        <f t="shared" si="18"/>
        <v>View Full Record in Web of Science</v>
      </c>
      <c r="BY615" s="41" t="str">
        <f>IF(Deletion!J615=TRUE,"Yes","No")</f>
        <v>Yes</v>
      </c>
    </row>
    <row r="616" spans="1:77" x14ac:dyDescent="0.15">
      <c r="A616" s="34">
        <f t="shared" si="19"/>
        <v>615</v>
      </c>
      <c r="B616" s="34" t="s">
        <v>4</v>
      </c>
      <c r="C616" s="34" t="s">
        <v>4</v>
      </c>
      <c r="D616" s="34" t="s">
        <v>1223</v>
      </c>
      <c r="E616" s="34" t="s">
        <v>5471</v>
      </c>
      <c r="F616" s="32" t="s">
        <v>1225</v>
      </c>
      <c r="G616" s="32" t="s">
        <v>1225</v>
      </c>
      <c r="H616" s="32" t="s">
        <v>1225</v>
      </c>
      <c r="I616" s="34" t="s">
        <v>5472</v>
      </c>
      <c r="J616" s="32" t="s">
        <v>1225</v>
      </c>
      <c r="K616" s="32" t="s">
        <v>1225</v>
      </c>
      <c r="L616" s="34" t="s">
        <v>5473</v>
      </c>
      <c r="M616" s="34" t="s">
        <v>5208</v>
      </c>
      <c r="N616" s="32" t="s">
        <v>1225</v>
      </c>
      <c r="O616" s="32" t="s">
        <v>1225</v>
      </c>
      <c r="P616" s="32" t="s">
        <v>1225</v>
      </c>
      <c r="Q616" s="34" t="s">
        <v>1227</v>
      </c>
      <c r="R616" s="32" t="s">
        <v>1225</v>
      </c>
      <c r="S616" s="32" t="s">
        <v>1225</v>
      </c>
      <c r="T616" s="32" t="s">
        <v>1225</v>
      </c>
      <c r="U616" s="32" t="s">
        <v>1225</v>
      </c>
      <c r="V616" s="32" t="s">
        <v>1225</v>
      </c>
      <c r="W616" s="34" t="s">
        <v>5474</v>
      </c>
      <c r="X616" s="34" t="s">
        <v>1225</v>
      </c>
      <c r="Y616" s="34" t="s">
        <v>5475</v>
      </c>
      <c r="Z616" s="32" t="s">
        <v>1225</v>
      </c>
      <c r="AA616" s="32" t="s">
        <v>1225</v>
      </c>
      <c r="AB616" s="32" t="s">
        <v>1225</v>
      </c>
      <c r="AC616" s="32" t="s">
        <v>1225</v>
      </c>
      <c r="AD616" s="32" t="s">
        <v>1225</v>
      </c>
      <c r="AE616" s="32" t="s">
        <v>1225</v>
      </c>
      <c r="AF616" s="32" t="s">
        <v>1225</v>
      </c>
      <c r="AG616" s="32" t="s">
        <v>1225</v>
      </c>
      <c r="AH616" s="32" t="s">
        <v>1225</v>
      </c>
      <c r="AI616" s="32" t="s">
        <v>1225</v>
      </c>
      <c r="AJ616" s="32" t="s">
        <v>1225</v>
      </c>
      <c r="AK616" s="32" t="s">
        <v>1225</v>
      </c>
      <c r="AL616" s="32" t="s">
        <v>1225</v>
      </c>
      <c r="AM616" s="32" t="s">
        <v>1225</v>
      </c>
      <c r="AN616" s="32" t="s">
        <v>1225</v>
      </c>
      <c r="AO616" s="32" t="s">
        <v>1225</v>
      </c>
      <c r="AP616" s="32" t="s">
        <v>1225</v>
      </c>
      <c r="AQ616" s="32" t="s">
        <v>1225</v>
      </c>
      <c r="AR616" s="32" t="s">
        <v>1225</v>
      </c>
      <c r="AS616" s="32" t="s">
        <v>1225</v>
      </c>
      <c r="AT616" s="32" t="s">
        <v>1225</v>
      </c>
      <c r="AU616" s="32" t="s">
        <v>1225</v>
      </c>
      <c r="AV616" s="32" t="s">
        <v>1225</v>
      </c>
      <c r="AW616" s="34" t="s">
        <v>1726</v>
      </c>
      <c r="AX616" s="34">
        <v>2020</v>
      </c>
      <c r="AY616" s="32">
        <v>35</v>
      </c>
      <c r="AZ616" s="32">
        <v>4</v>
      </c>
      <c r="BA616" s="32" t="s">
        <v>1225</v>
      </c>
      <c r="BB616" s="32" t="s">
        <v>1225</v>
      </c>
      <c r="BC616" s="32" t="s">
        <v>1225</v>
      </c>
      <c r="BD616" s="32" t="s">
        <v>1225</v>
      </c>
      <c r="BE616" s="32">
        <v>3794</v>
      </c>
      <c r="BF616" s="32">
        <v>3806</v>
      </c>
      <c r="BG616" s="32" t="s">
        <v>1225</v>
      </c>
      <c r="BH616" s="34" t="s">
        <v>5476</v>
      </c>
      <c r="BI616" s="34" t="str">
        <f>HYPERLINK("http://dx.doi.org/10.1109/TPEL.2019.2939848","http://dx.doi.org/10.1109/TPEL.2019.2939848")</f>
        <v>http://dx.doi.org/10.1109/TPEL.2019.2939848</v>
      </c>
      <c r="BJ616" s="32" t="s">
        <v>1225</v>
      </c>
      <c r="BK616" s="32" t="s">
        <v>1225</v>
      </c>
      <c r="BL616" s="32" t="s">
        <v>1225</v>
      </c>
      <c r="BM616" s="32" t="s">
        <v>1225</v>
      </c>
      <c r="BN616" s="32" t="s">
        <v>1225</v>
      </c>
      <c r="BO616" s="32" t="s">
        <v>1225</v>
      </c>
      <c r="BP616" s="32" t="s">
        <v>1225</v>
      </c>
      <c r="BQ616" s="32" t="s">
        <v>1225</v>
      </c>
      <c r="BR616" s="32" t="s">
        <v>1225</v>
      </c>
      <c r="BS616" s="32" t="s">
        <v>1225</v>
      </c>
      <c r="BT616" s="32" t="s">
        <v>1225</v>
      </c>
      <c r="BU616" s="32" t="s">
        <v>1225</v>
      </c>
      <c r="BV616" s="32" t="s">
        <v>1225</v>
      </c>
      <c r="BW616" s="32" t="str">
        <f t="shared" si="18"/>
        <v>View Full Record in Web of Science</v>
      </c>
      <c r="BY616" s="41" t="str">
        <f>IF(Deletion!J616=TRUE,"Yes","No")</f>
        <v>No</v>
      </c>
    </row>
    <row r="617" spans="1:77" x14ac:dyDescent="0.15">
      <c r="A617" s="32">
        <f t="shared" si="19"/>
        <v>616</v>
      </c>
      <c r="D617" s="32" t="s">
        <v>1223</v>
      </c>
      <c r="E617" s="32" t="s">
        <v>5477</v>
      </c>
      <c r="F617" s="32" t="s">
        <v>1225</v>
      </c>
      <c r="G617" s="32" t="s">
        <v>1225</v>
      </c>
      <c r="H617" s="32" t="s">
        <v>1225</v>
      </c>
      <c r="I617" s="32" t="s">
        <v>5478</v>
      </c>
      <c r="J617" s="32" t="s">
        <v>1225</v>
      </c>
      <c r="K617" s="32" t="s">
        <v>1225</v>
      </c>
      <c r="L617" s="32" t="s">
        <v>5479</v>
      </c>
      <c r="M617" s="32" t="s">
        <v>5104</v>
      </c>
      <c r="N617" s="32" t="s">
        <v>1225</v>
      </c>
      <c r="O617" s="32" t="s">
        <v>1225</v>
      </c>
      <c r="P617" s="32" t="s">
        <v>1225</v>
      </c>
      <c r="Q617" s="32" t="s">
        <v>1227</v>
      </c>
      <c r="R617" s="32" t="s">
        <v>1225</v>
      </c>
      <c r="S617" s="32" t="s">
        <v>1225</v>
      </c>
      <c r="T617" s="32" t="s">
        <v>1225</v>
      </c>
      <c r="U617" s="32" t="s">
        <v>1225</v>
      </c>
      <c r="V617" s="32" t="s">
        <v>1225</v>
      </c>
      <c r="W617" s="32" t="s">
        <v>5480</v>
      </c>
      <c r="X617" s="32" t="s">
        <v>5481</v>
      </c>
      <c r="Y617" s="32" t="s">
        <v>5482</v>
      </c>
      <c r="Z617" s="32" t="s">
        <v>1225</v>
      </c>
      <c r="AA617" s="32" t="s">
        <v>1225</v>
      </c>
      <c r="AB617" s="32" t="s">
        <v>1225</v>
      </c>
      <c r="AC617" s="32" t="s">
        <v>1225</v>
      </c>
      <c r="AD617" s="32" t="s">
        <v>1225</v>
      </c>
      <c r="AE617" s="32" t="s">
        <v>1225</v>
      </c>
      <c r="AF617" s="32" t="s">
        <v>1225</v>
      </c>
      <c r="AG617" s="32" t="s">
        <v>1225</v>
      </c>
      <c r="AH617" s="32" t="s">
        <v>1225</v>
      </c>
      <c r="AI617" s="32" t="s">
        <v>1225</v>
      </c>
      <c r="AJ617" s="32" t="s">
        <v>1225</v>
      </c>
      <c r="AK617" s="32" t="s">
        <v>1225</v>
      </c>
      <c r="AL617" s="32" t="s">
        <v>1225</v>
      </c>
      <c r="AM617" s="32" t="s">
        <v>1225</v>
      </c>
      <c r="AN617" s="32" t="s">
        <v>1225</v>
      </c>
      <c r="AO617" s="32" t="s">
        <v>1225</v>
      </c>
      <c r="AP617" s="32" t="s">
        <v>1225</v>
      </c>
      <c r="AQ617" s="32" t="s">
        <v>1225</v>
      </c>
      <c r="AR617" s="32" t="s">
        <v>1225</v>
      </c>
      <c r="AS617" s="32" t="s">
        <v>1225</v>
      </c>
      <c r="AT617" s="32" t="s">
        <v>1225</v>
      </c>
      <c r="AU617" s="32" t="s">
        <v>1225</v>
      </c>
      <c r="AV617" s="32" t="s">
        <v>1225</v>
      </c>
      <c r="AW617" s="32" t="s">
        <v>1239</v>
      </c>
      <c r="AX617" s="32">
        <v>2022</v>
      </c>
      <c r="AY617" s="32">
        <v>30</v>
      </c>
      <c r="AZ617" s="32">
        <v>4</v>
      </c>
      <c r="BA617" s="32" t="s">
        <v>1225</v>
      </c>
      <c r="BB617" s="32" t="s">
        <v>1225</v>
      </c>
      <c r="BC617" s="32" t="s">
        <v>1225</v>
      </c>
      <c r="BD617" s="32" t="s">
        <v>1225</v>
      </c>
      <c r="BE617" s="32">
        <v>1578</v>
      </c>
      <c r="BF617" s="32">
        <v>1594</v>
      </c>
      <c r="BG617" s="32" t="s">
        <v>1225</v>
      </c>
      <c r="BH617" s="32" t="s">
        <v>5483</v>
      </c>
      <c r="BI617" s="32" t="str">
        <f>HYPERLINK("http://dx.doi.org/10.1109/TCST.2021.3120494","http://dx.doi.org/10.1109/TCST.2021.3120494")</f>
        <v>http://dx.doi.org/10.1109/TCST.2021.3120494</v>
      </c>
      <c r="BJ617" s="32" t="s">
        <v>1225</v>
      </c>
      <c r="BK617" s="32" t="s">
        <v>1776</v>
      </c>
      <c r="BL617" s="32" t="s">
        <v>1225</v>
      </c>
      <c r="BM617" s="32" t="s">
        <v>1225</v>
      </c>
      <c r="BN617" s="32" t="s">
        <v>1225</v>
      </c>
      <c r="BO617" s="32" t="s">
        <v>1225</v>
      </c>
      <c r="BP617" s="32" t="s">
        <v>1225</v>
      </c>
      <c r="BQ617" s="32" t="s">
        <v>1225</v>
      </c>
      <c r="BR617" s="32" t="s">
        <v>1225</v>
      </c>
      <c r="BS617" s="32" t="s">
        <v>1225</v>
      </c>
      <c r="BT617" s="32" t="s">
        <v>1225</v>
      </c>
      <c r="BU617" s="32" t="s">
        <v>1225</v>
      </c>
      <c r="BV617" s="32" t="s">
        <v>1225</v>
      </c>
      <c r="BW617" s="32" t="str">
        <f t="shared" si="18"/>
        <v>View Full Record in Web of Science</v>
      </c>
      <c r="BY617" s="41" t="str">
        <f>IF(Deletion!J617=TRUE,"Yes","No")</f>
        <v>Yes</v>
      </c>
    </row>
    <row r="618" spans="1:77" x14ac:dyDescent="0.15">
      <c r="A618" s="32">
        <f t="shared" si="19"/>
        <v>617</v>
      </c>
      <c r="D618" s="32" t="s">
        <v>1223</v>
      </c>
      <c r="E618" s="32" t="s">
        <v>5484</v>
      </c>
      <c r="F618" s="32" t="s">
        <v>1225</v>
      </c>
      <c r="G618" s="32" t="s">
        <v>1225</v>
      </c>
      <c r="H618" s="32" t="s">
        <v>1225</v>
      </c>
      <c r="I618" s="32" t="s">
        <v>5485</v>
      </c>
      <c r="J618" s="32" t="s">
        <v>1225</v>
      </c>
      <c r="K618" s="32" t="s">
        <v>1225</v>
      </c>
      <c r="L618" s="32" t="s">
        <v>5486</v>
      </c>
      <c r="M618" s="32" t="s">
        <v>5487</v>
      </c>
      <c r="N618" s="32" t="s">
        <v>1225</v>
      </c>
      <c r="O618" s="32" t="s">
        <v>1225</v>
      </c>
      <c r="P618" s="32" t="s">
        <v>1225</v>
      </c>
      <c r="Q618" s="32" t="s">
        <v>1227</v>
      </c>
      <c r="R618" s="32" t="s">
        <v>1225</v>
      </c>
      <c r="S618" s="32" t="s">
        <v>1225</v>
      </c>
      <c r="T618" s="32" t="s">
        <v>1225</v>
      </c>
      <c r="U618" s="32" t="s">
        <v>1225</v>
      </c>
      <c r="V618" s="32" t="s">
        <v>1225</v>
      </c>
      <c r="W618" s="32" t="s">
        <v>5488</v>
      </c>
      <c r="X618" s="32" t="s">
        <v>5489</v>
      </c>
      <c r="Y618" s="32" t="s">
        <v>5490</v>
      </c>
      <c r="Z618" s="32" t="s">
        <v>1225</v>
      </c>
      <c r="AA618" s="32" t="s">
        <v>1225</v>
      </c>
      <c r="AB618" s="32" t="s">
        <v>1225</v>
      </c>
      <c r="AC618" s="32" t="s">
        <v>1225</v>
      </c>
      <c r="AD618" s="32" t="s">
        <v>1225</v>
      </c>
      <c r="AE618" s="32" t="s">
        <v>1225</v>
      </c>
      <c r="AF618" s="32" t="s">
        <v>1225</v>
      </c>
      <c r="AG618" s="32" t="s">
        <v>1225</v>
      </c>
      <c r="AH618" s="32" t="s">
        <v>1225</v>
      </c>
      <c r="AI618" s="32" t="s">
        <v>1225</v>
      </c>
      <c r="AJ618" s="32" t="s">
        <v>1225</v>
      </c>
      <c r="AK618" s="32" t="s">
        <v>1225</v>
      </c>
      <c r="AL618" s="32" t="s">
        <v>1225</v>
      </c>
      <c r="AM618" s="32" t="s">
        <v>1225</v>
      </c>
      <c r="AN618" s="32" t="s">
        <v>1225</v>
      </c>
      <c r="AO618" s="32" t="s">
        <v>1225</v>
      </c>
      <c r="AP618" s="32" t="s">
        <v>1225</v>
      </c>
      <c r="AQ618" s="32" t="s">
        <v>1225</v>
      </c>
      <c r="AR618" s="32" t="s">
        <v>1225</v>
      </c>
      <c r="AS618" s="32" t="s">
        <v>1225</v>
      </c>
      <c r="AT618" s="32" t="s">
        <v>1225</v>
      </c>
      <c r="AU618" s="32" t="s">
        <v>1225</v>
      </c>
      <c r="AV618" s="32" t="s">
        <v>1225</v>
      </c>
      <c r="AW618" s="32" t="s">
        <v>5491</v>
      </c>
      <c r="AX618" s="32">
        <v>2019</v>
      </c>
      <c r="AY618" s="32">
        <v>13</v>
      </c>
      <c r="AZ618" s="32">
        <v>6</v>
      </c>
      <c r="BA618" s="32" t="s">
        <v>1225</v>
      </c>
      <c r="BB618" s="32" t="s">
        <v>1225</v>
      </c>
      <c r="BC618" s="32" t="s">
        <v>1511</v>
      </c>
      <c r="BD618" s="32" t="s">
        <v>1225</v>
      </c>
      <c r="BE618" s="32">
        <v>952</v>
      </c>
      <c r="BF618" s="32">
        <v>960</v>
      </c>
      <c r="BG618" s="32" t="s">
        <v>1225</v>
      </c>
      <c r="BH618" s="32" t="s">
        <v>5492</v>
      </c>
      <c r="BI618" s="32" t="str">
        <f>HYPERLINK("http://dx.doi.org/10.1049/iet-rpg.2018.6023","http://dx.doi.org/10.1049/iet-rpg.2018.6023")</f>
        <v>http://dx.doi.org/10.1049/iet-rpg.2018.6023</v>
      </c>
      <c r="BJ618" s="32" t="s">
        <v>1225</v>
      </c>
      <c r="BK618" s="32" t="s">
        <v>1225</v>
      </c>
      <c r="BL618" s="32" t="s">
        <v>1225</v>
      </c>
      <c r="BM618" s="32" t="s">
        <v>1225</v>
      </c>
      <c r="BN618" s="32" t="s">
        <v>1225</v>
      </c>
      <c r="BO618" s="32" t="s">
        <v>1225</v>
      </c>
      <c r="BP618" s="32" t="s">
        <v>1225</v>
      </c>
      <c r="BQ618" s="32" t="s">
        <v>1225</v>
      </c>
      <c r="BR618" s="32" t="s">
        <v>1225</v>
      </c>
      <c r="BS618" s="32" t="s">
        <v>1225</v>
      </c>
      <c r="BT618" s="32" t="s">
        <v>1225</v>
      </c>
      <c r="BU618" s="32" t="s">
        <v>1225</v>
      </c>
      <c r="BV618" s="32" t="s">
        <v>1225</v>
      </c>
      <c r="BW618" s="32" t="str">
        <f t="shared" si="18"/>
        <v>View Full Record in Web of Science</v>
      </c>
      <c r="BY618" s="41" t="str">
        <f>IF(Deletion!J618=TRUE,"Yes","No")</f>
        <v>Yes</v>
      </c>
    </row>
    <row r="619" spans="1:77" x14ac:dyDescent="0.15">
      <c r="A619" s="32">
        <f t="shared" si="19"/>
        <v>618</v>
      </c>
      <c r="D619" s="32" t="s">
        <v>1223</v>
      </c>
      <c r="E619" s="32" t="s">
        <v>5493</v>
      </c>
      <c r="F619" s="32" t="s">
        <v>1225</v>
      </c>
      <c r="G619" s="32" t="s">
        <v>1225</v>
      </c>
      <c r="H619" s="32" t="s">
        <v>1225</v>
      </c>
      <c r="I619" s="32" t="s">
        <v>5494</v>
      </c>
      <c r="J619" s="32" t="s">
        <v>1225</v>
      </c>
      <c r="K619" s="32" t="s">
        <v>1225</v>
      </c>
      <c r="L619" s="32" t="s">
        <v>5495</v>
      </c>
      <c r="M619" s="32" t="s">
        <v>3138</v>
      </c>
      <c r="N619" s="32" t="s">
        <v>1225</v>
      </c>
      <c r="O619" s="32" t="s">
        <v>1225</v>
      </c>
      <c r="P619" s="32" t="s">
        <v>1225</v>
      </c>
      <c r="Q619" s="32" t="s">
        <v>1227</v>
      </c>
      <c r="R619" s="32" t="s">
        <v>1225</v>
      </c>
      <c r="S619" s="32" t="s">
        <v>1225</v>
      </c>
      <c r="T619" s="32" t="s">
        <v>1225</v>
      </c>
      <c r="U619" s="32" t="s">
        <v>1225</v>
      </c>
      <c r="V619" s="32" t="s">
        <v>1225</v>
      </c>
      <c r="W619" s="32" t="s">
        <v>5496</v>
      </c>
      <c r="X619" s="32" t="s">
        <v>1259</v>
      </c>
      <c r="Y619" s="32" t="s">
        <v>5497</v>
      </c>
      <c r="Z619" s="32" t="s">
        <v>1225</v>
      </c>
      <c r="AA619" s="32" t="s">
        <v>1225</v>
      </c>
      <c r="AB619" s="32" t="s">
        <v>1225</v>
      </c>
      <c r="AC619" s="32" t="s">
        <v>1225</v>
      </c>
      <c r="AD619" s="32" t="s">
        <v>1225</v>
      </c>
      <c r="AE619" s="32" t="s">
        <v>1225</v>
      </c>
      <c r="AF619" s="32" t="s">
        <v>1225</v>
      </c>
      <c r="AG619" s="32" t="s">
        <v>1225</v>
      </c>
      <c r="AH619" s="32" t="s">
        <v>1225</v>
      </c>
      <c r="AI619" s="32" t="s">
        <v>1225</v>
      </c>
      <c r="AJ619" s="32" t="s">
        <v>1225</v>
      </c>
      <c r="AK619" s="32" t="s">
        <v>1225</v>
      </c>
      <c r="AL619" s="32" t="s">
        <v>1225</v>
      </c>
      <c r="AM619" s="32" t="s">
        <v>1225</v>
      </c>
      <c r="AN619" s="32" t="s">
        <v>1225</v>
      </c>
      <c r="AO619" s="32" t="s">
        <v>1225</v>
      </c>
      <c r="AP619" s="32" t="s">
        <v>1225</v>
      </c>
      <c r="AQ619" s="32" t="s">
        <v>1225</v>
      </c>
      <c r="AR619" s="32" t="s">
        <v>1225</v>
      </c>
      <c r="AS619" s="32" t="s">
        <v>1225</v>
      </c>
      <c r="AT619" s="32" t="s">
        <v>1225</v>
      </c>
      <c r="AU619" s="32" t="s">
        <v>1225</v>
      </c>
      <c r="AV619" s="32" t="s">
        <v>1225</v>
      </c>
      <c r="AW619" s="32" t="s">
        <v>1256</v>
      </c>
      <c r="AX619" s="32">
        <v>2019</v>
      </c>
      <c r="AY619" s="32">
        <v>9</v>
      </c>
      <c r="AZ619" s="32">
        <v>4</v>
      </c>
      <c r="BA619" s="32" t="s">
        <v>1225</v>
      </c>
      <c r="BB619" s="32" t="s">
        <v>1225</v>
      </c>
      <c r="BC619" s="32" t="s">
        <v>1225</v>
      </c>
      <c r="BD619" s="32" t="s">
        <v>1225</v>
      </c>
      <c r="BE619" s="32">
        <v>176</v>
      </c>
      <c r="BF619" s="32">
        <v>185</v>
      </c>
      <c r="BG619" s="32" t="s">
        <v>1225</v>
      </c>
      <c r="BH619" s="32" t="s">
        <v>5498</v>
      </c>
      <c r="BI619" s="32" t="str">
        <f>HYPERLINK("http://dx.doi.org/10.1049/iet-est.2019.0032","http://dx.doi.org/10.1049/iet-est.2019.0032")</f>
        <v>http://dx.doi.org/10.1049/iet-est.2019.0032</v>
      </c>
      <c r="BJ619" s="32" t="s">
        <v>1225</v>
      </c>
      <c r="BK619" s="32" t="s">
        <v>1225</v>
      </c>
      <c r="BL619" s="32" t="s">
        <v>1225</v>
      </c>
      <c r="BM619" s="32" t="s">
        <v>1225</v>
      </c>
      <c r="BN619" s="32" t="s">
        <v>1225</v>
      </c>
      <c r="BO619" s="32" t="s">
        <v>1225</v>
      </c>
      <c r="BP619" s="32" t="s">
        <v>1225</v>
      </c>
      <c r="BQ619" s="32" t="s">
        <v>1225</v>
      </c>
      <c r="BR619" s="32" t="s">
        <v>1225</v>
      </c>
      <c r="BS619" s="32" t="s">
        <v>1225</v>
      </c>
      <c r="BT619" s="32" t="s">
        <v>1225</v>
      </c>
      <c r="BU619" s="32" t="s">
        <v>1225</v>
      </c>
      <c r="BV619" s="32" t="s">
        <v>1225</v>
      </c>
      <c r="BW619" s="32" t="str">
        <f t="shared" si="18"/>
        <v>View Full Record in Web of Science</v>
      </c>
      <c r="BY619" s="41" t="str">
        <f>IF(Deletion!J619=TRUE,"Yes","No")</f>
        <v>Yes</v>
      </c>
    </row>
    <row r="620" spans="1:77" x14ac:dyDescent="0.15">
      <c r="A620" s="32">
        <f t="shared" si="19"/>
        <v>619</v>
      </c>
      <c r="D620" s="32" t="s">
        <v>1223</v>
      </c>
      <c r="E620" s="32" t="s">
        <v>5499</v>
      </c>
      <c r="F620" s="32" t="s">
        <v>1225</v>
      </c>
      <c r="G620" s="32" t="s">
        <v>1225</v>
      </c>
      <c r="H620" s="32" t="s">
        <v>1225</v>
      </c>
      <c r="I620" s="32" t="s">
        <v>5500</v>
      </c>
      <c r="J620" s="32" t="s">
        <v>1225</v>
      </c>
      <c r="K620" s="32" t="s">
        <v>1225</v>
      </c>
      <c r="L620" s="32" t="s">
        <v>5501</v>
      </c>
      <c r="M620" s="32" t="s">
        <v>2302</v>
      </c>
      <c r="N620" s="32" t="s">
        <v>1225</v>
      </c>
      <c r="O620" s="32" t="s">
        <v>1225</v>
      </c>
      <c r="P620" s="32" t="s">
        <v>1225</v>
      </c>
      <c r="Q620" s="32" t="s">
        <v>1227</v>
      </c>
      <c r="R620" s="32" t="s">
        <v>1225</v>
      </c>
      <c r="S620" s="32" t="s">
        <v>1225</v>
      </c>
      <c r="T620" s="32" t="s">
        <v>1225</v>
      </c>
      <c r="U620" s="32" t="s">
        <v>1225</v>
      </c>
      <c r="V620" s="32" t="s">
        <v>1225</v>
      </c>
      <c r="W620" s="32" t="s">
        <v>5502</v>
      </c>
      <c r="X620" s="32" t="s">
        <v>5503</v>
      </c>
      <c r="Y620" s="32" t="s">
        <v>5504</v>
      </c>
      <c r="Z620" s="32" t="s">
        <v>1225</v>
      </c>
      <c r="AA620" s="32" t="s">
        <v>1225</v>
      </c>
      <c r="AB620" s="32" t="s">
        <v>1225</v>
      </c>
      <c r="AC620" s="32" t="s">
        <v>1225</v>
      </c>
      <c r="AD620" s="32" t="s">
        <v>1225</v>
      </c>
      <c r="AE620" s="32" t="s">
        <v>1225</v>
      </c>
      <c r="AF620" s="32" t="s">
        <v>1225</v>
      </c>
      <c r="AG620" s="32" t="s">
        <v>1225</v>
      </c>
      <c r="AH620" s="32" t="s">
        <v>1225</v>
      </c>
      <c r="AI620" s="32" t="s">
        <v>1225</v>
      </c>
      <c r="AJ620" s="32" t="s">
        <v>1225</v>
      </c>
      <c r="AK620" s="32" t="s">
        <v>1225</v>
      </c>
      <c r="AL620" s="32" t="s">
        <v>1225</v>
      </c>
      <c r="AM620" s="32" t="s">
        <v>1225</v>
      </c>
      <c r="AN620" s="32" t="s">
        <v>1225</v>
      </c>
      <c r="AO620" s="32" t="s">
        <v>1225</v>
      </c>
      <c r="AP620" s="32" t="s">
        <v>1225</v>
      </c>
      <c r="AQ620" s="32" t="s">
        <v>1225</v>
      </c>
      <c r="AR620" s="32" t="s">
        <v>1225</v>
      </c>
      <c r="AS620" s="32" t="s">
        <v>1225</v>
      </c>
      <c r="AT620" s="32" t="s">
        <v>1225</v>
      </c>
      <c r="AU620" s="32" t="s">
        <v>1225</v>
      </c>
      <c r="AV620" s="32" t="s">
        <v>1225</v>
      </c>
      <c r="AW620" s="32" t="s">
        <v>1393</v>
      </c>
      <c r="AX620" s="32">
        <v>2020</v>
      </c>
      <c r="AY620" s="32">
        <v>3</v>
      </c>
      <c r="AZ620" s="32">
        <v>3</v>
      </c>
      <c r="BA620" s="32" t="s">
        <v>1225</v>
      </c>
      <c r="BB620" s="32" t="s">
        <v>1225</v>
      </c>
      <c r="BC620" s="32" t="s">
        <v>1225</v>
      </c>
      <c r="BD620" s="32" t="s">
        <v>1225</v>
      </c>
      <c r="BE620" s="32">
        <v>367</v>
      </c>
      <c r="BF620" s="32">
        <v>375</v>
      </c>
      <c r="BG620" s="32" t="s">
        <v>1225</v>
      </c>
      <c r="BH620" s="32" t="s">
        <v>5505</v>
      </c>
      <c r="BI620" s="32" t="str">
        <f>HYPERLINK("http://dx.doi.org/10.1049/iet-stg.2019.0282","http://dx.doi.org/10.1049/iet-stg.2019.0282")</f>
        <v>http://dx.doi.org/10.1049/iet-stg.2019.0282</v>
      </c>
      <c r="BJ620" s="32" t="s">
        <v>1225</v>
      </c>
      <c r="BK620" s="32" t="s">
        <v>1225</v>
      </c>
      <c r="BL620" s="32" t="s">
        <v>1225</v>
      </c>
      <c r="BM620" s="32" t="s">
        <v>1225</v>
      </c>
      <c r="BN620" s="32" t="s">
        <v>1225</v>
      </c>
      <c r="BO620" s="32" t="s">
        <v>1225</v>
      </c>
      <c r="BP620" s="32" t="s">
        <v>1225</v>
      </c>
      <c r="BQ620" s="32" t="s">
        <v>1225</v>
      </c>
      <c r="BR620" s="32" t="s">
        <v>1225</v>
      </c>
      <c r="BS620" s="32" t="s">
        <v>1225</v>
      </c>
      <c r="BT620" s="32" t="s">
        <v>1225</v>
      </c>
      <c r="BU620" s="32" t="s">
        <v>1225</v>
      </c>
      <c r="BV620" s="32" t="s">
        <v>1225</v>
      </c>
      <c r="BW620" s="32" t="str">
        <f t="shared" si="18"/>
        <v>View Full Record in Web of Science</v>
      </c>
      <c r="BY620" s="41" t="str">
        <f>IF(Deletion!J620=TRUE,"Yes","No")</f>
        <v>Yes</v>
      </c>
    </row>
    <row r="621" spans="1:77" x14ac:dyDescent="0.15">
      <c r="A621" s="32">
        <f t="shared" si="19"/>
        <v>620</v>
      </c>
      <c r="D621" s="32" t="s">
        <v>1223</v>
      </c>
      <c r="E621" s="32" t="s">
        <v>5506</v>
      </c>
      <c r="F621" s="32" t="s">
        <v>1225</v>
      </c>
      <c r="G621" s="32" t="s">
        <v>1225</v>
      </c>
      <c r="H621" s="32" t="s">
        <v>1225</v>
      </c>
      <c r="I621" s="32" t="s">
        <v>5507</v>
      </c>
      <c r="J621" s="32" t="s">
        <v>1225</v>
      </c>
      <c r="K621" s="32" t="s">
        <v>1225</v>
      </c>
      <c r="L621" s="32" t="s">
        <v>5508</v>
      </c>
      <c r="M621" s="32" t="s">
        <v>328</v>
      </c>
      <c r="N621" s="32" t="s">
        <v>1225</v>
      </c>
      <c r="O621" s="32" t="s">
        <v>1225</v>
      </c>
      <c r="P621" s="32" t="s">
        <v>1225</v>
      </c>
      <c r="Q621" s="32" t="s">
        <v>1227</v>
      </c>
      <c r="R621" s="32" t="s">
        <v>1225</v>
      </c>
      <c r="S621" s="32" t="s">
        <v>1225</v>
      </c>
      <c r="T621" s="32" t="s">
        <v>1225</v>
      </c>
      <c r="U621" s="32" t="s">
        <v>1225</v>
      </c>
      <c r="V621" s="32" t="s">
        <v>1225</v>
      </c>
      <c r="W621" s="32" t="s">
        <v>5509</v>
      </c>
      <c r="X621" s="32" t="s">
        <v>5510</v>
      </c>
      <c r="Y621" s="32" t="s">
        <v>5511</v>
      </c>
      <c r="Z621" s="32" t="s">
        <v>1225</v>
      </c>
      <c r="AA621" s="32" t="s">
        <v>1225</v>
      </c>
      <c r="AB621" s="32" t="s">
        <v>1225</v>
      </c>
      <c r="AC621" s="32" t="s">
        <v>1225</v>
      </c>
      <c r="AD621" s="32" t="s">
        <v>1225</v>
      </c>
      <c r="AE621" s="32" t="s">
        <v>1225</v>
      </c>
      <c r="AF621" s="32" t="s">
        <v>1225</v>
      </c>
      <c r="AG621" s="32" t="s">
        <v>1225</v>
      </c>
      <c r="AH621" s="32" t="s">
        <v>1225</v>
      </c>
      <c r="AI621" s="32" t="s">
        <v>1225</v>
      </c>
      <c r="AJ621" s="32" t="s">
        <v>1225</v>
      </c>
      <c r="AK621" s="32" t="s">
        <v>1225</v>
      </c>
      <c r="AL621" s="32" t="s">
        <v>1225</v>
      </c>
      <c r="AM621" s="32" t="s">
        <v>1225</v>
      </c>
      <c r="AN621" s="32" t="s">
        <v>1225</v>
      </c>
      <c r="AO621" s="32" t="s">
        <v>1225</v>
      </c>
      <c r="AP621" s="32" t="s">
        <v>1225</v>
      </c>
      <c r="AQ621" s="32" t="s">
        <v>1225</v>
      </c>
      <c r="AR621" s="32" t="s">
        <v>1225</v>
      </c>
      <c r="AS621" s="32" t="s">
        <v>1225</v>
      </c>
      <c r="AT621" s="32" t="s">
        <v>1225</v>
      </c>
      <c r="AU621" s="32" t="s">
        <v>1225</v>
      </c>
      <c r="AV621" s="32" t="s">
        <v>1225</v>
      </c>
      <c r="AW621" s="32" t="s">
        <v>1256</v>
      </c>
      <c r="AX621" s="32">
        <v>2019</v>
      </c>
      <c r="AY621" s="32">
        <v>2019</v>
      </c>
      <c r="AZ621" s="32">
        <v>12</v>
      </c>
      <c r="BA621" s="32" t="s">
        <v>1225</v>
      </c>
      <c r="BB621" s="32" t="s">
        <v>1225</v>
      </c>
      <c r="BC621" s="32" t="s">
        <v>1225</v>
      </c>
      <c r="BD621" s="32" t="s">
        <v>1225</v>
      </c>
      <c r="BE621" s="32">
        <v>8439</v>
      </c>
      <c r="BF621" s="32">
        <v>8447</v>
      </c>
      <c r="BG621" s="32" t="s">
        <v>1225</v>
      </c>
      <c r="BH621" s="32" t="s">
        <v>5512</v>
      </c>
      <c r="BI621" s="32" t="str">
        <f>HYPERLINK("http://dx.doi.org/10.1049/joe.2018.5279","http://dx.doi.org/10.1049/joe.2018.5279")</f>
        <v>http://dx.doi.org/10.1049/joe.2018.5279</v>
      </c>
      <c r="BJ621" s="32" t="s">
        <v>1225</v>
      </c>
      <c r="BK621" s="32" t="s">
        <v>1225</v>
      </c>
      <c r="BL621" s="32" t="s">
        <v>1225</v>
      </c>
      <c r="BM621" s="32" t="s">
        <v>1225</v>
      </c>
      <c r="BN621" s="32" t="s">
        <v>1225</v>
      </c>
      <c r="BO621" s="32" t="s">
        <v>1225</v>
      </c>
      <c r="BP621" s="32" t="s">
        <v>1225</v>
      </c>
      <c r="BQ621" s="32" t="s">
        <v>1225</v>
      </c>
      <c r="BR621" s="32" t="s">
        <v>1225</v>
      </c>
      <c r="BS621" s="32" t="s">
        <v>1225</v>
      </c>
      <c r="BT621" s="32" t="s">
        <v>1225</v>
      </c>
      <c r="BU621" s="32" t="s">
        <v>1225</v>
      </c>
      <c r="BV621" s="32" t="s">
        <v>1225</v>
      </c>
      <c r="BW621" s="32" t="str">
        <f t="shared" si="18"/>
        <v>View Full Record in Web of Science</v>
      </c>
      <c r="BY621" s="41" t="str">
        <f>IF(Deletion!J621=TRUE,"Yes","No")</f>
        <v>Yes</v>
      </c>
    </row>
    <row r="622" spans="1:77" x14ac:dyDescent="0.15">
      <c r="A622" s="32">
        <f t="shared" si="19"/>
        <v>621</v>
      </c>
      <c r="D622" s="32" t="s">
        <v>1223</v>
      </c>
      <c r="E622" s="32" t="s">
        <v>5513</v>
      </c>
      <c r="F622" s="32" t="s">
        <v>1225</v>
      </c>
      <c r="G622" s="32" t="s">
        <v>1225</v>
      </c>
      <c r="H622" s="32" t="s">
        <v>1225</v>
      </c>
      <c r="I622" s="32" t="s">
        <v>5514</v>
      </c>
      <c r="J622" s="32" t="s">
        <v>1225</v>
      </c>
      <c r="K622" s="32" t="s">
        <v>1225</v>
      </c>
      <c r="L622" s="32" t="s">
        <v>5515</v>
      </c>
      <c r="M622" s="32" t="s">
        <v>5487</v>
      </c>
      <c r="N622" s="32" t="s">
        <v>1225</v>
      </c>
      <c r="O622" s="32" t="s">
        <v>1225</v>
      </c>
      <c r="P622" s="32" t="s">
        <v>1225</v>
      </c>
      <c r="Q622" s="32" t="s">
        <v>1227</v>
      </c>
      <c r="R622" s="32" t="s">
        <v>1225</v>
      </c>
      <c r="S622" s="32" t="s">
        <v>1225</v>
      </c>
      <c r="T622" s="32" t="s">
        <v>1225</v>
      </c>
      <c r="U622" s="32" t="s">
        <v>1225</v>
      </c>
      <c r="V622" s="32" t="s">
        <v>1225</v>
      </c>
      <c r="W622" s="32" t="s">
        <v>5516</v>
      </c>
      <c r="X622" s="32" t="s">
        <v>5517</v>
      </c>
      <c r="Y622" s="32" t="s">
        <v>5518</v>
      </c>
      <c r="Z622" s="32" t="s">
        <v>1225</v>
      </c>
      <c r="AA622" s="32" t="s">
        <v>1225</v>
      </c>
      <c r="AB622" s="32" t="s">
        <v>1225</v>
      </c>
      <c r="AC622" s="32" t="s">
        <v>1225</v>
      </c>
      <c r="AD622" s="32" t="s">
        <v>1225</v>
      </c>
      <c r="AE622" s="32" t="s">
        <v>1225</v>
      </c>
      <c r="AF622" s="32" t="s">
        <v>1225</v>
      </c>
      <c r="AG622" s="32" t="s">
        <v>1225</v>
      </c>
      <c r="AH622" s="32" t="s">
        <v>1225</v>
      </c>
      <c r="AI622" s="32" t="s">
        <v>1225</v>
      </c>
      <c r="AJ622" s="32" t="s">
        <v>1225</v>
      </c>
      <c r="AK622" s="32" t="s">
        <v>1225</v>
      </c>
      <c r="AL622" s="32" t="s">
        <v>1225</v>
      </c>
      <c r="AM622" s="32" t="s">
        <v>1225</v>
      </c>
      <c r="AN622" s="32" t="s">
        <v>1225</v>
      </c>
      <c r="AO622" s="32" t="s">
        <v>1225</v>
      </c>
      <c r="AP622" s="32" t="s">
        <v>1225</v>
      </c>
      <c r="AQ622" s="32" t="s">
        <v>1225</v>
      </c>
      <c r="AR622" s="32" t="s">
        <v>1225</v>
      </c>
      <c r="AS622" s="32" t="s">
        <v>1225</v>
      </c>
      <c r="AT622" s="32" t="s">
        <v>1225</v>
      </c>
      <c r="AU622" s="32" t="s">
        <v>1225</v>
      </c>
      <c r="AV622" s="32" t="s">
        <v>1225</v>
      </c>
      <c r="AW622" s="32" t="s">
        <v>5519</v>
      </c>
      <c r="AX622" s="32">
        <v>2020</v>
      </c>
      <c r="AY622" s="32">
        <v>14</v>
      </c>
      <c r="AZ622" s="32">
        <v>3</v>
      </c>
      <c r="BA622" s="32" t="s">
        <v>1225</v>
      </c>
      <c r="BB622" s="32" t="s">
        <v>1225</v>
      </c>
      <c r="BC622" s="32" t="s">
        <v>1511</v>
      </c>
      <c r="BD622" s="32" t="s">
        <v>1225</v>
      </c>
      <c r="BE622" s="32">
        <v>445</v>
      </c>
      <c r="BF622" s="32">
        <v>453</v>
      </c>
      <c r="BG622" s="32" t="s">
        <v>1225</v>
      </c>
      <c r="BH622" s="32" t="s">
        <v>5520</v>
      </c>
      <c r="BI622" s="32" t="str">
        <f>HYPERLINK("http://dx.doi.org/10.1049/iet-rpg.2019.0173","http://dx.doi.org/10.1049/iet-rpg.2019.0173")</f>
        <v>http://dx.doi.org/10.1049/iet-rpg.2019.0173</v>
      </c>
      <c r="BJ622" s="32" t="s">
        <v>1225</v>
      </c>
      <c r="BK622" s="32" t="s">
        <v>1225</v>
      </c>
      <c r="BL622" s="32" t="s">
        <v>1225</v>
      </c>
      <c r="BM622" s="32" t="s">
        <v>1225</v>
      </c>
      <c r="BN622" s="32" t="s">
        <v>1225</v>
      </c>
      <c r="BO622" s="32" t="s">
        <v>1225</v>
      </c>
      <c r="BP622" s="32" t="s">
        <v>1225</v>
      </c>
      <c r="BQ622" s="32" t="s">
        <v>1225</v>
      </c>
      <c r="BR622" s="32" t="s">
        <v>1225</v>
      </c>
      <c r="BS622" s="32" t="s">
        <v>1225</v>
      </c>
      <c r="BT622" s="32" t="s">
        <v>1225</v>
      </c>
      <c r="BU622" s="32" t="s">
        <v>1225</v>
      </c>
      <c r="BV622" s="32" t="s">
        <v>1225</v>
      </c>
      <c r="BW622" s="32" t="str">
        <f t="shared" si="18"/>
        <v>View Full Record in Web of Science</v>
      </c>
      <c r="BY622" s="41" t="str">
        <f>IF(Deletion!J622=TRUE,"Yes","No")</f>
        <v>Yes</v>
      </c>
    </row>
    <row r="623" spans="1:77" x14ac:dyDescent="0.15">
      <c r="A623" s="32">
        <f t="shared" si="19"/>
        <v>622</v>
      </c>
      <c r="D623" s="32" t="s">
        <v>1223</v>
      </c>
      <c r="E623" s="32" t="s">
        <v>5521</v>
      </c>
      <c r="F623" s="32" t="s">
        <v>1225</v>
      </c>
      <c r="G623" s="32" t="s">
        <v>1225</v>
      </c>
      <c r="H623" s="32" t="s">
        <v>1225</v>
      </c>
      <c r="I623" s="32" t="s">
        <v>5522</v>
      </c>
      <c r="J623" s="32" t="s">
        <v>1225</v>
      </c>
      <c r="K623" s="32" t="s">
        <v>1225</v>
      </c>
      <c r="L623" s="32" t="s">
        <v>5523</v>
      </c>
      <c r="M623" s="32" t="s">
        <v>572</v>
      </c>
      <c r="N623" s="32" t="s">
        <v>1225</v>
      </c>
      <c r="O623" s="32" t="s">
        <v>1225</v>
      </c>
      <c r="P623" s="32" t="s">
        <v>1225</v>
      </c>
      <c r="Q623" s="32" t="s">
        <v>1227</v>
      </c>
      <c r="R623" s="32" t="s">
        <v>1225</v>
      </c>
      <c r="S623" s="32" t="s">
        <v>1225</v>
      </c>
      <c r="T623" s="32" t="s">
        <v>1225</v>
      </c>
      <c r="U623" s="32" t="s">
        <v>1225</v>
      </c>
      <c r="V623" s="32" t="s">
        <v>1225</v>
      </c>
      <c r="W623" s="32" t="s">
        <v>5524</v>
      </c>
      <c r="X623" s="32" t="s">
        <v>5525</v>
      </c>
      <c r="Y623" s="32" t="s">
        <v>5526</v>
      </c>
      <c r="Z623" s="32" t="s">
        <v>1225</v>
      </c>
      <c r="AA623" s="32" t="s">
        <v>1225</v>
      </c>
      <c r="AB623" s="32" t="s">
        <v>1225</v>
      </c>
      <c r="AC623" s="32" t="s">
        <v>1225</v>
      </c>
      <c r="AD623" s="32" t="s">
        <v>1225</v>
      </c>
      <c r="AE623" s="32" t="s">
        <v>1225</v>
      </c>
      <c r="AF623" s="32" t="s">
        <v>1225</v>
      </c>
      <c r="AG623" s="32" t="s">
        <v>1225</v>
      </c>
      <c r="AH623" s="32" t="s">
        <v>1225</v>
      </c>
      <c r="AI623" s="32" t="s">
        <v>1225</v>
      </c>
      <c r="AJ623" s="32" t="s">
        <v>1225</v>
      </c>
      <c r="AK623" s="32" t="s">
        <v>1225</v>
      </c>
      <c r="AL623" s="32" t="s">
        <v>1225</v>
      </c>
      <c r="AM623" s="32" t="s">
        <v>1225</v>
      </c>
      <c r="AN623" s="32" t="s">
        <v>1225</v>
      </c>
      <c r="AO623" s="32" t="s">
        <v>1225</v>
      </c>
      <c r="AP623" s="32" t="s">
        <v>1225</v>
      </c>
      <c r="AQ623" s="32" t="s">
        <v>1225</v>
      </c>
      <c r="AR623" s="32" t="s">
        <v>1225</v>
      </c>
      <c r="AS623" s="32" t="s">
        <v>1225</v>
      </c>
      <c r="AT623" s="32" t="s">
        <v>1225</v>
      </c>
      <c r="AU623" s="32" t="s">
        <v>1225</v>
      </c>
      <c r="AV623" s="32" t="s">
        <v>1225</v>
      </c>
      <c r="AW623" s="32" t="s">
        <v>1298</v>
      </c>
      <c r="AX623" s="32">
        <v>2022</v>
      </c>
      <c r="AY623" s="32">
        <v>69</v>
      </c>
      <c r="AZ623" s="32">
        <v>9</v>
      </c>
      <c r="BA623" s="32" t="s">
        <v>1225</v>
      </c>
      <c r="BB623" s="32" t="s">
        <v>1225</v>
      </c>
      <c r="BC623" s="32" t="s">
        <v>1225</v>
      </c>
      <c r="BD623" s="32" t="s">
        <v>1225</v>
      </c>
      <c r="BE623" s="32">
        <v>9535</v>
      </c>
      <c r="BF623" s="32">
        <v>9546</v>
      </c>
      <c r="BG623" s="32" t="s">
        <v>1225</v>
      </c>
      <c r="BH623" s="32" t="s">
        <v>5527</v>
      </c>
      <c r="BI623" s="32" t="str">
        <f>HYPERLINK("http://dx.doi.org/10.1109/TIE.2021.3112980","http://dx.doi.org/10.1109/TIE.2021.3112980")</f>
        <v>http://dx.doi.org/10.1109/TIE.2021.3112980</v>
      </c>
      <c r="BJ623" s="32" t="s">
        <v>1225</v>
      </c>
      <c r="BK623" s="32" t="s">
        <v>1225</v>
      </c>
      <c r="BL623" s="32" t="s">
        <v>1225</v>
      </c>
      <c r="BM623" s="32" t="s">
        <v>1225</v>
      </c>
      <c r="BN623" s="32" t="s">
        <v>1225</v>
      </c>
      <c r="BO623" s="32" t="s">
        <v>1225</v>
      </c>
      <c r="BP623" s="32" t="s">
        <v>1225</v>
      </c>
      <c r="BQ623" s="32" t="s">
        <v>1225</v>
      </c>
      <c r="BR623" s="32" t="s">
        <v>1225</v>
      </c>
      <c r="BS623" s="32" t="s">
        <v>1225</v>
      </c>
      <c r="BT623" s="32" t="s">
        <v>1225</v>
      </c>
      <c r="BU623" s="32" t="s">
        <v>1225</v>
      </c>
      <c r="BV623" s="32" t="s">
        <v>1225</v>
      </c>
      <c r="BW623" s="32" t="str">
        <f t="shared" si="18"/>
        <v>View Full Record in Web of Science</v>
      </c>
      <c r="BY623" s="41" t="str">
        <f>IF(Deletion!J623=TRUE,"Yes","No")</f>
        <v>Yes</v>
      </c>
    </row>
    <row r="624" spans="1:77" x14ac:dyDescent="0.15">
      <c r="A624" s="32">
        <f t="shared" si="19"/>
        <v>623</v>
      </c>
      <c r="D624" s="32" t="s">
        <v>1223</v>
      </c>
      <c r="E624" s="32" t="s">
        <v>5528</v>
      </c>
      <c r="F624" s="32" t="s">
        <v>1225</v>
      </c>
      <c r="G624" s="32" t="s">
        <v>1225</v>
      </c>
      <c r="H624" s="32" t="s">
        <v>1225</v>
      </c>
      <c r="I624" s="32" t="s">
        <v>5529</v>
      </c>
      <c r="J624" s="32" t="s">
        <v>1225</v>
      </c>
      <c r="K624" s="32" t="s">
        <v>1225</v>
      </c>
      <c r="L624" s="32" t="s">
        <v>5530</v>
      </c>
      <c r="M624" s="32" t="s">
        <v>3360</v>
      </c>
      <c r="N624" s="32" t="s">
        <v>1225</v>
      </c>
      <c r="O624" s="32" t="s">
        <v>1225</v>
      </c>
      <c r="P624" s="32" t="s">
        <v>1225</v>
      </c>
      <c r="Q624" s="32" t="s">
        <v>1227</v>
      </c>
      <c r="R624" s="32" t="s">
        <v>1225</v>
      </c>
      <c r="S624" s="32" t="s">
        <v>1225</v>
      </c>
      <c r="T624" s="32" t="s">
        <v>1225</v>
      </c>
      <c r="U624" s="32" t="s">
        <v>1225</v>
      </c>
      <c r="V624" s="32" t="s">
        <v>1225</v>
      </c>
      <c r="W624" s="32" t="s">
        <v>5531</v>
      </c>
      <c r="X624" s="32" t="s">
        <v>5532</v>
      </c>
      <c r="Y624" s="32" t="s">
        <v>5533</v>
      </c>
      <c r="Z624" s="32" t="s">
        <v>1225</v>
      </c>
      <c r="AA624" s="32" t="s">
        <v>1225</v>
      </c>
      <c r="AB624" s="32" t="s">
        <v>1225</v>
      </c>
      <c r="AC624" s="32" t="s">
        <v>1225</v>
      </c>
      <c r="AD624" s="32" t="s">
        <v>1225</v>
      </c>
      <c r="AE624" s="32" t="s">
        <v>1225</v>
      </c>
      <c r="AF624" s="32" t="s">
        <v>1225</v>
      </c>
      <c r="AG624" s="32" t="s">
        <v>1225</v>
      </c>
      <c r="AH624" s="32" t="s">
        <v>1225</v>
      </c>
      <c r="AI624" s="32" t="s">
        <v>1225</v>
      </c>
      <c r="AJ624" s="32" t="s">
        <v>1225</v>
      </c>
      <c r="AK624" s="32" t="s">
        <v>1225</v>
      </c>
      <c r="AL624" s="32" t="s">
        <v>1225</v>
      </c>
      <c r="AM624" s="32" t="s">
        <v>1225</v>
      </c>
      <c r="AN624" s="32" t="s">
        <v>1225</v>
      </c>
      <c r="AO624" s="32" t="s">
        <v>1225</v>
      </c>
      <c r="AP624" s="32" t="s">
        <v>1225</v>
      </c>
      <c r="AQ624" s="32" t="s">
        <v>1225</v>
      </c>
      <c r="AR624" s="32" t="s">
        <v>1225</v>
      </c>
      <c r="AS624" s="32" t="s">
        <v>1225</v>
      </c>
      <c r="AT624" s="32" t="s">
        <v>1225</v>
      </c>
      <c r="AU624" s="32" t="s">
        <v>1225</v>
      </c>
      <c r="AV624" s="32" t="s">
        <v>1225</v>
      </c>
      <c r="AW624" s="32" t="s">
        <v>3364</v>
      </c>
      <c r="AX624" s="32">
        <v>2020</v>
      </c>
      <c r="AY624" s="32">
        <v>14</v>
      </c>
      <c r="AZ624" s="32">
        <v>3</v>
      </c>
      <c r="BA624" s="32" t="s">
        <v>1225</v>
      </c>
      <c r="BB624" s="32" t="s">
        <v>1225</v>
      </c>
      <c r="BC624" s="32" t="s">
        <v>1225</v>
      </c>
      <c r="BD624" s="32" t="s">
        <v>1225</v>
      </c>
      <c r="BE624" s="32">
        <v>3665</v>
      </c>
      <c r="BF624" s="32">
        <v>3675</v>
      </c>
      <c r="BG624" s="32" t="s">
        <v>1225</v>
      </c>
      <c r="BH624" s="32" t="s">
        <v>5534</v>
      </c>
      <c r="BI624" s="32" t="str">
        <f>HYPERLINK("http://dx.doi.org/10.1109/JSYST.2019.2958967","http://dx.doi.org/10.1109/JSYST.2019.2958967")</f>
        <v>http://dx.doi.org/10.1109/JSYST.2019.2958967</v>
      </c>
      <c r="BJ624" s="32" t="s">
        <v>1225</v>
      </c>
      <c r="BK624" s="32" t="s">
        <v>1225</v>
      </c>
      <c r="BL624" s="32" t="s">
        <v>1225</v>
      </c>
      <c r="BM624" s="32" t="s">
        <v>1225</v>
      </c>
      <c r="BN624" s="32" t="s">
        <v>1225</v>
      </c>
      <c r="BO624" s="32" t="s">
        <v>1225</v>
      </c>
      <c r="BP624" s="32" t="s">
        <v>1225</v>
      </c>
      <c r="BQ624" s="32" t="s">
        <v>1225</v>
      </c>
      <c r="BR624" s="32" t="s">
        <v>1225</v>
      </c>
      <c r="BS624" s="32" t="s">
        <v>1225</v>
      </c>
      <c r="BT624" s="32" t="s">
        <v>1225</v>
      </c>
      <c r="BU624" s="32" t="s">
        <v>1225</v>
      </c>
      <c r="BV624" s="32" t="s">
        <v>1225</v>
      </c>
      <c r="BW624" s="32" t="str">
        <f t="shared" si="18"/>
        <v>View Full Record in Web of Science</v>
      </c>
      <c r="BY624" s="41" t="str">
        <f>IF(Deletion!J624=TRUE,"Yes","No")</f>
        <v>Yes</v>
      </c>
    </row>
    <row r="625" spans="1:77" x14ac:dyDescent="0.15">
      <c r="A625" s="32">
        <f t="shared" si="19"/>
        <v>624</v>
      </c>
      <c r="D625" s="32" t="s">
        <v>1223</v>
      </c>
      <c r="E625" s="32" t="s">
        <v>5535</v>
      </c>
      <c r="F625" s="32" t="s">
        <v>1225</v>
      </c>
      <c r="G625" s="32" t="s">
        <v>1225</v>
      </c>
      <c r="H625" s="32" t="s">
        <v>1225</v>
      </c>
      <c r="I625" s="32" t="s">
        <v>5536</v>
      </c>
      <c r="J625" s="32" t="s">
        <v>1225</v>
      </c>
      <c r="K625" s="32" t="s">
        <v>1225</v>
      </c>
      <c r="L625" s="32" t="s">
        <v>5537</v>
      </c>
      <c r="M625" s="32" t="s">
        <v>5487</v>
      </c>
      <c r="N625" s="32" t="s">
        <v>1225</v>
      </c>
      <c r="O625" s="32" t="s">
        <v>1225</v>
      </c>
      <c r="P625" s="32" t="s">
        <v>1225</v>
      </c>
      <c r="Q625" s="32" t="s">
        <v>1227</v>
      </c>
      <c r="R625" s="32" t="s">
        <v>1225</v>
      </c>
      <c r="S625" s="32" t="s">
        <v>1225</v>
      </c>
      <c r="T625" s="32" t="s">
        <v>1225</v>
      </c>
      <c r="U625" s="32" t="s">
        <v>1225</v>
      </c>
      <c r="V625" s="32" t="s">
        <v>1225</v>
      </c>
      <c r="W625" s="32" t="s">
        <v>5538</v>
      </c>
      <c r="X625" s="32" t="s">
        <v>5539</v>
      </c>
      <c r="Y625" s="32" t="s">
        <v>5540</v>
      </c>
      <c r="Z625" s="32" t="s">
        <v>1225</v>
      </c>
      <c r="AA625" s="32" t="s">
        <v>1225</v>
      </c>
      <c r="AB625" s="32" t="s">
        <v>1225</v>
      </c>
      <c r="AC625" s="32" t="s">
        <v>1225</v>
      </c>
      <c r="AD625" s="32" t="s">
        <v>1225</v>
      </c>
      <c r="AE625" s="32" t="s">
        <v>1225</v>
      </c>
      <c r="AF625" s="32" t="s">
        <v>1225</v>
      </c>
      <c r="AG625" s="32" t="s">
        <v>1225</v>
      </c>
      <c r="AH625" s="32" t="s">
        <v>1225</v>
      </c>
      <c r="AI625" s="32" t="s">
        <v>1225</v>
      </c>
      <c r="AJ625" s="32" t="s">
        <v>1225</v>
      </c>
      <c r="AK625" s="32" t="s">
        <v>1225</v>
      </c>
      <c r="AL625" s="32" t="s">
        <v>1225</v>
      </c>
      <c r="AM625" s="32" t="s">
        <v>1225</v>
      </c>
      <c r="AN625" s="32" t="s">
        <v>1225</v>
      </c>
      <c r="AO625" s="32" t="s">
        <v>1225</v>
      </c>
      <c r="AP625" s="32" t="s">
        <v>1225</v>
      </c>
      <c r="AQ625" s="32" t="s">
        <v>1225</v>
      </c>
      <c r="AR625" s="32" t="s">
        <v>1225</v>
      </c>
      <c r="AS625" s="32" t="s">
        <v>1225</v>
      </c>
      <c r="AT625" s="32" t="s">
        <v>1225</v>
      </c>
      <c r="AU625" s="32" t="s">
        <v>1225</v>
      </c>
      <c r="AV625" s="32" t="s">
        <v>1225</v>
      </c>
      <c r="AW625" s="32" t="s">
        <v>4363</v>
      </c>
      <c r="AX625" s="32">
        <v>2020</v>
      </c>
      <c r="AY625" s="32">
        <v>14</v>
      </c>
      <c r="AZ625" s="32">
        <v>18</v>
      </c>
      <c r="BA625" s="32" t="s">
        <v>1225</v>
      </c>
      <c r="BB625" s="32" t="s">
        <v>1225</v>
      </c>
      <c r="BC625" s="32" t="s">
        <v>1225</v>
      </c>
      <c r="BD625" s="32" t="s">
        <v>1225</v>
      </c>
      <c r="BE625" s="32">
        <v>3843</v>
      </c>
      <c r="BF625" s="32">
        <v>3852</v>
      </c>
      <c r="BG625" s="32" t="s">
        <v>1225</v>
      </c>
      <c r="BH625" s="32" t="s">
        <v>5541</v>
      </c>
      <c r="BI625" s="32" t="str">
        <f>HYPERLINK("http://dx.doi.org/10.1049/iet-rpg.2020.0399","http://dx.doi.org/10.1049/iet-rpg.2020.0399")</f>
        <v>http://dx.doi.org/10.1049/iet-rpg.2020.0399</v>
      </c>
      <c r="BJ625" s="32" t="s">
        <v>1225</v>
      </c>
      <c r="BK625" s="32" t="s">
        <v>1225</v>
      </c>
      <c r="BL625" s="32" t="s">
        <v>1225</v>
      </c>
      <c r="BM625" s="32" t="s">
        <v>1225</v>
      </c>
      <c r="BN625" s="32" t="s">
        <v>1225</v>
      </c>
      <c r="BO625" s="32" t="s">
        <v>1225</v>
      </c>
      <c r="BP625" s="32" t="s">
        <v>1225</v>
      </c>
      <c r="BQ625" s="32" t="s">
        <v>1225</v>
      </c>
      <c r="BR625" s="32" t="s">
        <v>1225</v>
      </c>
      <c r="BS625" s="32" t="s">
        <v>1225</v>
      </c>
      <c r="BT625" s="32" t="s">
        <v>1225</v>
      </c>
      <c r="BU625" s="32" t="s">
        <v>1225</v>
      </c>
      <c r="BV625" s="32" t="s">
        <v>1225</v>
      </c>
      <c r="BW625" s="32" t="str">
        <f t="shared" si="18"/>
        <v>View Full Record in Web of Science</v>
      </c>
      <c r="BY625" s="41" t="str">
        <f>IF(Deletion!J625=TRUE,"Yes","No")</f>
        <v>Yes</v>
      </c>
    </row>
    <row r="626" spans="1:77" x14ac:dyDescent="0.15">
      <c r="A626" s="32">
        <f t="shared" si="19"/>
        <v>625</v>
      </c>
      <c r="D626" s="32" t="s">
        <v>1223</v>
      </c>
      <c r="E626" s="32" t="s">
        <v>5542</v>
      </c>
      <c r="F626" s="32" t="s">
        <v>1225</v>
      </c>
      <c r="G626" s="32" t="s">
        <v>1225</v>
      </c>
      <c r="H626" s="32" t="s">
        <v>1225</v>
      </c>
      <c r="I626" s="32" t="s">
        <v>5543</v>
      </c>
      <c r="J626" s="32" t="s">
        <v>1225</v>
      </c>
      <c r="K626" s="32" t="s">
        <v>1225</v>
      </c>
      <c r="L626" s="32" t="s">
        <v>5544</v>
      </c>
      <c r="M626" s="32" t="s">
        <v>4099</v>
      </c>
      <c r="N626" s="32" t="s">
        <v>1225</v>
      </c>
      <c r="O626" s="32" t="s">
        <v>1225</v>
      </c>
      <c r="P626" s="32" t="s">
        <v>1225</v>
      </c>
      <c r="Q626" s="32" t="s">
        <v>1227</v>
      </c>
      <c r="R626" s="32" t="s">
        <v>1225</v>
      </c>
      <c r="S626" s="32" t="s">
        <v>1225</v>
      </c>
      <c r="T626" s="32" t="s">
        <v>1225</v>
      </c>
      <c r="U626" s="32" t="s">
        <v>1225</v>
      </c>
      <c r="V626" s="32" t="s">
        <v>1225</v>
      </c>
      <c r="W626" s="32" t="s">
        <v>5545</v>
      </c>
      <c r="X626" s="32" t="s">
        <v>5546</v>
      </c>
      <c r="Y626" s="32" t="s">
        <v>5547</v>
      </c>
      <c r="Z626" s="32" t="s">
        <v>1225</v>
      </c>
      <c r="AA626" s="32" t="s">
        <v>1225</v>
      </c>
      <c r="AB626" s="32" t="s">
        <v>1225</v>
      </c>
      <c r="AC626" s="32" t="s">
        <v>1225</v>
      </c>
      <c r="AD626" s="32" t="s">
        <v>1225</v>
      </c>
      <c r="AE626" s="32" t="s">
        <v>1225</v>
      </c>
      <c r="AF626" s="32" t="s">
        <v>1225</v>
      </c>
      <c r="AG626" s="32" t="s">
        <v>1225</v>
      </c>
      <c r="AH626" s="32" t="s">
        <v>1225</v>
      </c>
      <c r="AI626" s="32" t="s">
        <v>1225</v>
      </c>
      <c r="AJ626" s="32" t="s">
        <v>1225</v>
      </c>
      <c r="AK626" s="32" t="s">
        <v>1225</v>
      </c>
      <c r="AL626" s="32" t="s">
        <v>1225</v>
      </c>
      <c r="AM626" s="32" t="s">
        <v>1225</v>
      </c>
      <c r="AN626" s="32" t="s">
        <v>1225</v>
      </c>
      <c r="AO626" s="32" t="s">
        <v>1225</v>
      </c>
      <c r="AP626" s="32" t="s">
        <v>1225</v>
      </c>
      <c r="AQ626" s="32" t="s">
        <v>1225</v>
      </c>
      <c r="AR626" s="32" t="s">
        <v>1225</v>
      </c>
      <c r="AS626" s="32" t="s">
        <v>1225</v>
      </c>
      <c r="AT626" s="32" t="s">
        <v>1225</v>
      </c>
      <c r="AU626" s="32" t="s">
        <v>1225</v>
      </c>
      <c r="AV626" s="32" t="s">
        <v>1225</v>
      </c>
      <c r="AW626" s="32" t="s">
        <v>4103</v>
      </c>
      <c r="AX626" s="32">
        <v>2014</v>
      </c>
      <c r="AY626" s="32">
        <v>42</v>
      </c>
      <c r="AZ626" s="32" t="s">
        <v>4104</v>
      </c>
      <c r="BA626" s="32" t="s">
        <v>1225</v>
      </c>
      <c r="BB626" s="32" t="s">
        <v>1225</v>
      </c>
      <c r="BC626" s="32" t="s">
        <v>1511</v>
      </c>
      <c r="BD626" s="32" t="s">
        <v>1225</v>
      </c>
      <c r="BE626" s="32">
        <v>239</v>
      </c>
      <c r="BF626" s="32">
        <v>250</v>
      </c>
      <c r="BG626" s="32" t="s">
        <v>1225</v>
      </c>
      <c r="BH626" s="32" t="s">
        <v>5548</v>
      </c>
      <c r="BI626" s="32" t="str">
        <f>HYPERLINK("http://dx.doi.org/10.1080/15325008.2013.868558","http://dx.doi.org/10.1080/15325008.2013.868558")</f>
        <v>http://dx.doi.org/10.1080/15325008.2013.868558</v>
      </c>
      <c r="BJ626" s="32" t="s">
        <v>1225</v>
      </c>
      <c r="BK626" s="32" t="s">
        <v>1225</v>
      </c>
      <c r="BL626" s="32" t="s">
        <v>1225</v>
      </c>
      <c r="BM626" s="32" t="s">
        <v>1225</v>
      </c>
      <c r="BN626" s="32" t="s">
        <v>1225</v>
      </c>
      <c r="BO626" s="32" t="s">
        <v>1225</v>
      </c>
      <c r="BP626" s="32" t="s">
        <v>1225</v>
      </c>
      <c r="BQ626" s="32" t="s">
        <v>1225</v>
      </c>
      <c r="BR626" s="32" t="s">
        <v>1225</v>
      </c>
      <c r="BS626" s="32" t="s">
        <v>1225</v>
      </c>
      <c r="BT626" s="32" t="s">
        <v>1225</v>
      </c>
      <c r="BU626" s="32" t="s">
        <v>1225</v>
      </c>
      <c r="BV626" s="32" t="s">
        <v>1225</v>
      </c>
      <c r="BW626" s="32" t="str">
        <f t="shared" si="18"/>
        <v>View Full Record in Web of Science</v>
      </c>
      <c r="BY626" s="41" t="str">
        <f>IF(Deletion!J626=TRUE,"Yes","No")</f>
        <v>Yes</v>
      </c>
    </row>
    <row r="627" spans="1:77" x14ac:dyDescent="0.15">
      <c r="A627" s="34">
        <f t="shared" si="19"/>
        <v>626</v>
      </c>
      <c r="B627" s="34" t="s">
        <v>4</v>
      </c>
      <c r="C627" s="34" t="s">
        <v>4</v>
      </c>
      <c r="D627" s="34" t="s">
        <v>1223</v>
      </c>
      <c r="E627" s="34" t="s">
        <v>5549</v>
      </c>
      <c r="F627" s="32" t="s">
        <v>1225</v>
      </c>
      <c r="G627" s="32" t="s">
        <v>1225</v>
      </c>
      <c r="H627" s="32" t="s">
        <v>1225</v>
      </c>
      <c r="I627" s="34" t="s">
        <v>5550</v>
      </c>
      <c r="J627" s="32" t="s">
        <v>1225</v>
      </c>
      <c r="K627" s="32" t="s">
        <v>1225</v>
      </c>
      <c r="L627" s="34" t="s">
        <v>5551</v>
      </c>
      <c r="M627" s="34" t="s">
        <v>5552</v>
      </c>
      <c r="N627" s="32" t="s">
        <v>1225</v>
      </c>
      <c r="O627" s="32" t="s">
        <v>1225</v>
      </c>
      <c r="P627" s="32" t="s">
        <v>1225</v>
      </c>
      <c r="Q627" s="34" t="s">
        <v>1227</v>
      </c>
      <c r="R627" s="32" t="s">
        <v>1225</v>
      </c>
      <c r="S627" s="32" t="s">
        <v>1225</v>
      </c>
      <c r="T627" s="32" t="s">
        <v>1225</v>
      </c>
      <c r="U627" s="32" t="s">
        <v>1225</v>
      </c>
      <c r="V627" s="32" t="s">
        <v>1225</v>
      </c>
      <c r="W627" s="34" t="s">
        <v>5553</v>
      </c>
      <c r="X627" s="34" t="s">
        <v>5554</v>
      </c>
      <c r="Y627" s="34" t="s">
        <v>5555</v>
      </c>
      <c r="Z627" s="32" t="s">
        <v>1225</v>
      </c>
      <c r="AA627" s="32" t="s">
        <v>1225</v>
      </c>
      <c r="AB627" s="32" t="s">
        <v>1225</v>
      </c>
      <c r="AC627" s="32" t="s">
        <v>1225</v>
      </c>
      <c r="AD627" s="32" t="s">
        <v>1225</v>
      </c>
      <c r="AE627" s="32" t="s">
        <v>1225</v>
      </c>
      <c r="AF627" s="32" t="s">
        <v>1225</v>
      </c>
      <c r="AG627" s="32" t="s">
        <v>1225</v>
      </c>
      <c r="AH627" s="32" t="s">
        <v>1225</v>
      </c>
      <c r="AI627" s="32" t="s">
        <v>1225</v>
      </c>
      <c r="AJ627" s="32" t="s">
        <v>1225</v>
      </c>
      <c r="AK627" s="32" t="s">
        <v>1225</v>
      </c>
      <c r="AL627" s="32" t="s">
        <v>1225</v>
      </c>
      <c r="AM627" s="32" t="s">
        <v>1225</v>
      </c>
      <c r="AN627" s="32" t="s">
        <v>1225</v>
      </c>
      <c r="AO627" s="32" t="s">
        <v>1225</v>
      </c>
      <c r="AP627" s="32" t="s">
        <v>1225</v>
      </c>
      <c r="AQ627" s="32" t="s">
        <v>1225</v>
      </c>
      <c r="AR627" s="32" t="s">
        <v>1225</v>
      </c>
      <c r="AS627" s="32" t="s">
        <v>1225</v>
      </c>
      <c r="AT627" s="32" t="s">
        <v>1225</v>
      </c>
      <c r="AU627" s="32" t="s">
        <v>1225</v>
      </c>
      <c r="AV627" s="32" t="s">
        <v>1225</v>
      </c>
      <c r="AW627" s="34" t="s">
        <v>5556</v>
      </c>
      <c r="AX627" s="34">
        <v>2020</v>
      </c>
      <c r="AY627" s="32">
        <v>14</v>
      </c>
      <c r="AZ627" s="32">
        <v>13</v>
      </c>
      <c r="BA627" s="32" t="s">
        <v>1225</v>
      </c>
      <c r="BB627" s="32" t="s">
        <v>1225</v>
      </c>
      <c r="BC627" s="32" t="s">
        <v>1225</v>
      </c>
      <c r="BD627" s="32" t="s">
        <v>1225</v>
      </c>
      <c r="BE627" s="32">
        <v>2616</v>
      </c>
      <c r="BF627" s="32">
        <v>2623</v>
      </c>
      <c r="BG627" s="32" t="s">
        <v>1225</v>
      </c>
      <c r="BH627" s="34" t="s">
        <v>5557</v>
      </c>
      <c r="BI627" s="34" t="str">
        <f>HYPERLINK("http://dx.doi.org/10.1049/iet-epa.2020.0380","http://dx.doi.org/10.1049/iet-epa.2020.0380")</f>
        <v>http://dx.doi.org/10.1049/iet-epa.2020.0380</v>
      </c>
      <c r="BJ627" s="32" t="s">
        <v>1225</v>
      </c>
      <c r="BK627" s="32" t="s">
        <v>1225</v>
      </c>
      <c r="BL627" s="32" t="s">
        <v>1225</v>
      </c>
      <c r="BM627" s="32" t="s">
        <v>1225</v>
      </c>
      <c r="BN627" s="32" t="s">
        <v>1225</v>
      </c>
      <c r="BO627" s="32" t="s">
        <v>1225</v>
      </c>
      <c r="BP627" s="32" t="s">
        <v>1225</v>
      </c>
      <c r="BQ627" s="32" t="s">
        <v>1225</v>
      </c>
      <c r="BR627" s="32" t="s">
        <v>1225</v>
      </c>
      <c r="BS627" s="32" t="s">
        <v>1225</v>
      </c>
      <c r="BT627" s="32" t="s">
        <v>1225</v>
      </c>
      <c r="BU627" s="32" t="s">
        <v>1225</v>
      </c>
      <c r="BV627" s="32" t="s">
        <v>1225</v>
      </c>
      <c r="BW627" s="32" t="str">
        <f t="shared" si="18"/>
        <v>View Full Record in Web of Science</v>
      </c>
      <c r="BY627" s="41" t="str">
        <f>IF(Deletion!J627=TRUE,"Yes","No")</f>
        <v>No</v>
      </c>
    </row>
  </sheetData>
  <autoFilter ref="A1:BY627" xr:uid="{1747AF70-ACAF-F243-99C1-B4094A3D2A00}"/>
  <conditionalFormatting sqref="BY2:BY627">
    <cfRule type="cellIs" dxfId="1" priority="1" operator="equal">
      <formula>"No"</formula>
    </cfRule>
    <cfRule type="cellIs" dxfId="0" priority="2" operator="equal">
      <formula>"Yes"</formula>
    </cfRule>
  </conditionalFormatting>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E756-5471-414B-904E-6DFD749C239A}">
  <dimension ref="A1:E45"/>
  <sheetViews>
    <sheetView workbookViewId="0"/>
  </sheetViews>
  <sheetFormatPr baseColWidth="10" defaultRowHeight="16" x14ac:dyDescent="0.2"/>
  <cols>
    <col min="1" max="1" width="21.1640625" bestFit="1" customWidth="1"/>
    <col min="2" max="2" width="21.6640625" bestFit="1" customWidth="1"/>
    <col min="3" max="3" width="26.83203125" bestFit="1" customWidth="1"/>
  </cols>
  <sheetData>
    <row r="1" spans="1:5" x14ac:dyDescent="0.2">
      <c r="A1" t="s">
        <v>891</v>
      </c>
      <c r="B1" t="s">
        <v>1045</v>
      </c>
      <c r="C1" t="s">
        <v>1046</v>
      </c>
      <c r="E1" t="s">
        <v>1068</v>
      </c>
    </row>
    <row r="2" spans="1:5" x14ac:dyDescent="0.2">
      <c r="A2" t="s">
        <v>893</v>
      </c>
      <c r="E2" t="str">
        <f>_xlfn.CONCAT(A2," - ",B2," - ",C2)</f>
        <v xml:space="preserve">Introduction -  - </v>
      </c>
    </row>
    <row r="3" spans="1:5" x14ac:dyDescent="0.2">
      <c r="A3" t="s">
        <v>893</v>
      </c>
      <c r="B3" s="1" t="s">
        <v>1094</v>
      </c>
      <c r="C3" s="1"/>
      <c r="E3" t="str">
        <f>_xlfn.CONCAT(A3," - ",B3," - ",C3)</f>
        <v xml:space="preserve">Introduction - Current infrastructure - </v>
      </c>
    </row>
    <row r="4" spans="1:5" x14ac:dyDescent="0.2">
      <c r="A4" t="s">
        <v>893</v>
      </c>
      <c r="B4" t="s">
        <v>1075</v>
      </c>
      <c r="E4" t="str">
        <f>_xlfn.CONCAT(A4," - ",B4," - ",C4)</f>
        <v xml:space="preserve">Introduction - Renewable energies - </v>
      </c>
    </row>
    <row r="5" spans="1:5" x14ac:dyDescent="0.2">
      <c r="A5" t="s">
        <v>1047</v>
      </c>
      <c r="E5" t="str">
        <f t="shared" ref="E5:E45" si="0">_xlfn.CONCAT(A5," - ",B5," - ",C5)</f>
        <v xml:space="preserve">Preliminaries -  - </v>
      </c>
    </row>
    <row r="6" spans="1:5" x14ac:dyDescent="0.2">
      <c r="A6" t="s">
        <v>1047</v>
      </c>
      <c r="B6" t="s">
        <v>1099</v>
      </c>
      <c r="E6" t="str">
        <f>_xlfn.CONCAT(A6," - ",B6," - ",C6)</f>
        <v xml:space="preserve">Preliminaries - Dictionary - </v>
      </c>
    </row>
    <row r="7" spans="1:5" x14ac:dyDescent="0.2">
      <c r="A7" t="s">
        <v>1047</v>
      </c>
      <c r="B7" t="s">
        <v>1098</v>
      </c>
      <c r="E7" t="str">
        <f t="shared" si="0"/>
        <v xml:space="preserve">Preliminaries - Energy supply - </v>
      </c>
    </row>
    <row r="8" spans="1:5" x14ac:dyDescent="0.2">
      <c r="A8" t="s">
        <v>1047</v>
      </c>
      <c r="B8" t="s">
        <v>157</v>
      </c>
      <c r="E8" t="str">
        <f>_xlfn.CONCAT(A8," - ",B8," - ",C8)</f>
        <v xml:space="preserve">Preliminaries - Pricing - </v>
      </c>
    </row>
    <row r="9" spans="1:5" x14ac:dyDescent="0.2">
      <c r="A9" t="s">
        <v>1048</v>
      </c>
      <c r="E9" t="str">
        <f t="shared" si="0"/>
        <v xml:space="preserve">Formulation approaches -  - </v>
      </c>
    </row>
    <row r="10" spans="1:5" x14ac:dyDescent="0.2">
      <c r="A10" t="s">
        <v>1048</v>
      </c>
      <c r="B10" t="s">
        <v>1049</v>
      </c>
      <c r="E10" t="str">
        <f t="shared" si="0"/>
        <v xml:space="preserve">Formulation approaches - TCC and PCC - </v>
      </c>
    </row>
    <row r="11" spans="1:5" x14ac:dyDescent="0.2">
      <c r="A11" t="s">
        <v>1048</v>
      </c>
      <c r="B11" t="s">
        <v>1049</v>
      </c>
      <c r="C11" t="s">
        <v>656</v>
      </c>
      <c r="E11" t="str">
        <f t="shared" si="0"/>
        <v>Formulation approaches - TCC and PCC - Preemptive charging</v>
      </c>
    </row>
    <row r="12" spans="1:5" x14ac:dyDescent="0.2">
      <c r="A12" t="s">
        <v>1048</v>
      </c>
      <c r="B12" t="s">
        <v>1049</v>
      </c>
      <c r="C12" t="s">
        <v>657</v>
      </c>
      <c r="E12" t="str">
        <f t="shared" si="0"/>
        <v>Formulation approaches - TCC and PCC - Non-preemptive charging</v>
      </c>
    </row>
    <row r="13" spans="1:5" x14ac:dyDescent="0.2">
      <c r="A13" t="s">
        <v>1048</v>
      </c>
      <c r="B13" t="s">
        <v>1084</v>
      </c>
      <c r="E13" t="str">
        <f t="shared" si="0"/>
        <v xml:space="preserve">Formulation approaches - Battery related issues - </v>
      </c>
    </row>
    <row r="14" spans="1:5" x14ac:dyDescent="0.2">
      <c r="A14" t="s">
        <v>1048</v>
      </c>
      <c r="B14" t="s">
        <v>896</v>
      </c>
      <c r="E14" t="str">
        <f t="shared" si="0"/>
        <v xml:space="preserve">Formulation approaches - Driver behavior - </v>
      </c>
    </row>
    <row r="15" spans="1:5" x14ac:dyDescent="0.2">
      <c r="A15" t="s">
        <v>1048</v>
      </c>
      <c r="B15" t="s">
        <v>1050</v>
      </c>
      <c r="E15" t="str">
        <f t="shared" si="0"/>
        <v xml:space="preserve">Formulation approaches - Modelling point of views - </v>
      </c>
    </row>
    <row r="16" spans="1:5" x14ac:dyDescent="0.2">
      <c r="A16" t="s">
        <v>1048</v>
      </c>
      <c r="B16" t="s">
        <v>1050</v>
      </c>
      <c r="C16" t="s">
        <v>1051</v>
      </c>
      <c r="E16" t="str">
        <f t="shared" si="0"/>
        <v>Formulation approaches - Modelling point of views - Centralized modelling</v>
      </c>
    </row>
    <row r="17" spans="1:5" x14ac:dyDescent="0.2">
      <c r="A17" t="s">
        <v>1048</v>
      </c>
      <c r="B17" t="s">
        <v>1050</v>
      </c>
      <c r="C17" t="s">
        <v>1052</v>
      </c>
      <c r="E17" t="str">
        <f t="shared" si="0"/>
        <v>Formulation approaches - Modelling point of views - Decentralized modelling</v>
      </c>
    </row>
    <row r="18" spans="1:5" x14ac:dyDescent="0.2">
      <c r="A18" t="s">
        <v>1048</v>
      </c>
      <c r="B18" t="s">
        <v>1050</v>
      </c>
      <c r="C18" t="s">
        <v>1053</v>
      </c>
      <c r="E18" t="str">
        <f t="shared" si="0"/>
        <v>Formulation approaches - Modelling point of views - Aggregator-assisted modelling</v>
      </c>
    </row>
    <row r="19" spans="1:5" x14ac:dyDescent="0.2">
      <c r="A19" t="s">
        <v>1048</v>
      </c>
      <c r="B19" t="s">
        <v>273</v>
      </c>
      <c r="E19" t="str">
        <f t="shared" si="0"/>
        <v xml:space="preserve">Formulation approaches - MPC - </v>
      </c>
    </row>
    <row r="20" spans="1:5" x14ac:dyDescent="0.2">
      <c r="A20" t="s">
        <v>1054</v>
      </c>
      <c r="E20" t="str">
        <f t="shared" si="0"/>
        <v xml:space="preserve">Problem classifications -  - </v>
      </c>
    </row>
    <row r="21" spans="1:5" x14ac:dyDescent="0.2">
      <c r="A21" t="s">
        <v>1054</v>
      </c>
      <c r="B21" t="s">
        <v>1055</v>
      </c>
      <c r="E21" t="str">
        <f t="shared" si="0"/>
        <v xml:space="preserve">Problem classifications - Single station - </v>
      </c>
    </row>
    <row r="22" spans="1:5" x14ac:dyDescent="0.2">
      <c r="A22" t="s">
        <v>1054</v>
      </c>
      <c r="B22" t="s">
        <v>1055</v>
      </c>
      <c r="C22" t="s">
        <v>1056</v>
      </c>
      <c r="E22" t="str">
        <f t="shared" si="0"/>
        <v>Problem classifications - Single station - Problem statement</v>
      </c>
    </row>
    <row r="23" spans="1:5" x14ac:dyDescent="0.2">
      <c r="A23" t="s">
        <v>1054</v>
      </c>
      <c r="B23" t="s">
        <v>1055</v>
      </c>
      <c r="C23" t="s">
        <v>1057</v>
      </c>
      <c r="E23" t="str">
        <f t="shared" si="0"/>
        <v>Problem classifications - Single station - Objective function</v>
      </c>
    </row>
    <row r="24" spans="1:5" x14ac:dyDescent="0.2">
      <c r="A24" t="s">
        <v>1054</v>
      </c>
      <c r="B24" t="s">
        <v>1055</v>
      </c>
      <c r="C24" t="s">
        <v>1058</v>
      </c>
      <c r="E24" t="str">
        <f t="shared" si="0"/>
        <v>Problem classifications - Single station - Main constraints</v>
      </c>
    </row>
    <row r="25" spans="1:5" x14ac:dyDescent="0.2">
      <c r="A25" t="s">
        <v>1054</v>
      </c>
      <c r="B25" t="s">
        <v>1055</v>
      </c>
      <c r="C25" t="s">
        <v>1059</v>
      </c>
      <c r="E25" t="str">
        <f t="shared" si="0"/>
        <v>Problem classifications - Single station - Related algorithms</v>
      </c>
    </row>
    <row r="26" spans="1:5" x14ac:dyDescent="0.2">
      <c r="A26" t="s">
        <v>1054</v>
      </c>
      <c r="B26" t="s">
        <v>1055</v>
      </c>
      <c r="C26" t="s">
        <v>1060</v>
      </c>
      <c r="E26" t="str">
        <f t="shared" si="0"/>
        <v>Problem classifications - Single station - Bibliometric analysis</v>
      </c>
    </row>
    <row r="27" spans="1:5" x14ac:dyDescent="0.2">
      <c r="A27" t="s">
        <v>1054</v>
      </c>
      <c r="B27" t="s">
        <v>1061</v>
      </c>
      <c r="E27" t="str">
        <f t="shared" si="0"/>
        <v xml:space="preserve">Problem classifications - Multi-station - </v>
      </c>
    </row>
    <row r="28" spans="1:5" x14ac:dyDescent="0.2">
      <c r="A28" t="s">
        <v>1054</v>
      </c>
      <c r="B28" t="s">
        <v>1061</v>
      </c>
      <c r="C28" t="s">
        <v>1056</v>
      </c>
      <c r="E28" t="str">
        <f t="shared" si="0"/>
        <v>Problem classifications - Multi-station - Problem statement</v>
      </c>
    </row>
    <row r="29" spans="1:5" x14ac:dyDescent="0.2">
      <c r="A29" t="s">
        <v>1054</v>
      </c>
      <c r="B29" t="s">
        <v>1061</v>
      </c>
      <c r="C29" t="s">
        <v>1057</v>
      </c>
      <c r="E29" t="str">
        <f t="shared" si="0"/>
        <v>Problem classifications - Multi-station - Objective function</v>
      </c>
    </row>
    <row r="30" spans="1:5" x14ac:dyDescent="0.2">
      <c r="A30" t="s">
        <v>1054</v>
      </c>
      <c r="B30" t="s">
        <v>1061</v>
      </c>
      <c r="C30" t="s">
        <v>1058</v>
      </c>
      <c r="E30" t="str">
        <f t="shared" si="0"/>
        <v>Problem classifications - Multi-station - Main constraints</v>
      </c>
    </row>
    <row r="31" spans="1:5" x14ac:dyDescent="0.2">
      <c r="A31" t="s">
        <v>1054</v>
      </c>
      <c r="B31" t="s">
        <v>1061</v>
      </c>
      <c r="C31" t="s">
        <v>1059</v>
      </c>
      <c r="E31" t="str">
        <f t="shared" si="0"/>
        <v>Problem classifications - Multi-station - Related algorithms</v>
      </c>
    </row>
    <row r="32" spans="1:5" x14ac:dyDescent="0.2">
      <c r="A32" t="s">
        <v>1054</v>
      </c>
      <c r="B32" t="s">
        <v>1061</v>
      </c>
      <c r="C32" t="s">
        <v>1060</v>
      </c>
      <c r="E32" t="str">
        <f t="shared" si="0"/>
        <v>Problem classifications - Multi-station - Bibliometric analysis</v>
      </c>
    </row>
    <row r="33" spans="1:5" x14ac:dyDescent="0.2">
      <c r="A33" t="s">
        <v>1054</v>
      </c>
      <c r="B33" t="s">
        <v>1062</v>
      </c>
      <c r="E33" t="str">
        <f t="shared" si="0"/>
        <v xml:space="preserve">Problem classifications - Power grid - </v>
      </c>
    </row>
    <row r="34" spans="1:5" x14ac:dyDescent="0.2">
      <c r="A34" t="s">
        <v>1054</v>
      </c>
      <c r="B34" t="s">
        <v>1062</v>
      </c>
      <c r="C34" s="1" t="s">
        <v>1056</v>
      </c>
      <c r="E34" t="str">
        <f t="shared" si="0"/>
        <v>Problem classifications - Power grid - Problem statement</v>
      </c>
    </row>
    <row r="35" spans="1:5" x14ac:dyDescent="0.2">
      <c r="A35" t="s">
        <v>1054</v>
      </c>
      <c r="B35" t="s">
        <v>1062</v>
      </c>
      <c r="C35" s="1" t="s">
        <v>1057</v>
      </c>
      <c r="E35" t="str">
        <f t="shared" si="0"/>
        <v>Problem classifications - Power grid - Objective function</v>
      </c>
    </row>
    <row r="36" spans="1:5" x14ac:dyDescent="0.2">
      <c r="A36" t="s">
        <v>1054</v>
      </c>
      <c r="B36" t="s">
        <v>1062</v>
      </c>
      <c r="C36" s="1" t="s">
        <v>1058</v>
      </c>
      <c r="E36" t="str">
        <f t="shared" si="0"/>
        <v>Problem classifications - Power grid - Main constraints</v>
      </c>
    </row>
    <row r="37" spans="1:5" x14ac:dyDescent="0.2">
      <c r="A37" t="s">
        <v>1054</v>
      </c>
      <c r="B37" t="s">
        <v>1062</v>
      </c>
      <c r="C37" s="1" t="s">
        <v>1059</v>
      </c>
      <c r="E37" t="str">
        <f t="shared" si="0"/>
        <v>Problem classifications - Power grid - Related algorithms</v>
      </c>
    </row>
    <row r="38" spans="1:5" x14ac:dyDescent="0.2">
      <c r="A38" t="s">
        <v>1054</v>
      </c>
      <c r="B38" t="s">
        <v>1062</v>
      </c>
      <c r="C38" s="1" t="s">
        <v>1060</v>
      </c>
      <c r="E38" t="str">
        <f t="shared" si="0"/>
        <v>Problem classifications - Power grid - Bibliometric analysis</v>
      </c>
    </row>
    <row r="39" spans="1:5" x14ac:dyDescent="0.2">
      <c r="A39" t="s">
        <v>1063</v>
      </c>
      <c r="C39" s="1"/>
      <c r="E39" t="str">
        <f t="shared" si="0"/>
        <v xml:space="preserve">Resources -  - </v>
      </c>
    </row>
    <row r="40" spans="1:5" x14ac:dyDescent="0.2">
      <c r="A40" t="s">
        <v>1063</v>
      </c>
      <c r="B40" s="1" t="s">
        <v>1064</v>
      </c>
      <c r="C40" s="1"/>
      <c r="E40" t="str">
        <f t="shared" si="0"/>
        <v xml:space="preserve">Resources - Data - </v>
      </c>
    </row>
    <row r="41" spans="1:5" x14ac:dyDescent="0.2">
      <c r="A41" t="s">
        <v>1063</v>
      </c>
      <c r="B41" t="s">
        <v>921</v>
      </c>
      <c r="C41" s="1"/>
      <c r="E41" t="str">
        <f t="shared" si="0"/>
        <v xml:space="preserve">Resources - Driving pattern - </v>
      </c>
    </row>
    <row r="42" spans="1:5" x14ac:dyDescent="0.2">
      <c r="A42" t="s">
        <v>1063</v>
      </c>
      <c r="B42" t="s">
        <v>921</v>
      </c>
      <c r="C42" s="1" t="s">
        <v>1065</v>
      </c>
      <c r="E42" t="str">
        <f t="shared" si="0"/>
        <v>Resources - Driving pattern - Arrival and departure times</v>
      </c>
    </row>
    <row r="43" spans="1:5" x14ac:dyDescent="0.2">
      <c r="A43" t="s">
        <v>1063</v>
      </c>
      <c r="B43" t="s">
        <v>921</v>
      </c>
      <c r="C43" s="1" t="s">
        <v>1066</v>
      </c>
      <c r="E43" t="str">
        <f t="shared" si="0"/>
        <v>Resources - Driving pattern - Initial and desired SoC</v>
      </c>
    </row>
    <row r="44" spans="1:5" x14ac:dyDescent="0.2">
      <c r="A44" t="s">
        <v>1063</v>
      </c>
      <c r="E44" t="str">
        <f t="shared" si="0"/>
        <v xml:space="preserve">Resources -  - </v>
      </c>
    </row>
    <row r="45" spans="1:5" x14ac:dyDescent="0.2">
      <c r="A45" t="s">
        <v>1063</v>
      </c>
      <c r="B45" t="s">
        <v>1067</v>
      </c>
      <c r="E45" t="str">
        <f t="shared" si="0"/>
        <v xml:space="preserve">Resources - Algorithms - </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EE29-D0D2-E24F-A182-677609F2639C}">
  <dimension ref="B2:O38"/>
  <sheetViews>
    <sheetView zoomScale="166" workbookViewId="0"/>
  </sheetViews>
  <sheetFormatPr baseColWidth="10" defaultRowHeight="13" x14ac:dyDescent="0.15"/>
  <cols>
    <col min="1" max="3" width="10.83203125" style="43"/>
    <col min="4" max="4" width="12.5" style="43" bestFit="1" customWidth="1"/>
    <col min="5" max="5" width="12.5" style="43" customWidth="1"/>
    <col min="6" max="6" width="14.6640625" style="43" bestFit="1" customWidth="1"/>
    <col min="7" max="7" width="12.5" style="43" bestFit="1" customWidth="1"/>
    <col min="8" max="8" width="1.83203125" style="43" customWidth="1"/>
    <col min="9" max="9" width="13" style="43" bestFit="1" customWidth="1"/>
    <col min="10" max="259" width="10.83203125" style="43"/>
    <col min="260" max="260" width="12.5" style="43" bestFit="1" customWidth="1"/>
    <col min="261" max="261" width="12.5" style="43" customWidth="1"/>
    <col min="262" max="262" width="14.6640625" style="43" bestFit="1" customWidth="1"/>
    <col min="263" max="263" width="12.5" style="43" bestFit="1" customWidth="1"/>
    <col min="264" max="264" width="1.83203125" style="43" customWidth="1"/>
    <col min="265" max="265" width="13" style="43" bestFit="1" customWidth="1"/>
    <col min="266" max="515" width="10.83203125" style="43"/>
    <col min="516" max="516" width="12.5" style="43" bestFit="1" customWidth="1"/>
    <col min="517" max="517" width="12.5" style="43" customWidth="1"/>
    <col min="518" max="518" width="14.6640625" style="43" bestFit="1" customWidth="1"/>
    <col min="519" max="519" width="12.5" style="43" bestFit="1" customWidth="1"/>
    <col min="520" max="520" width="1.83203125" style="43" customWidth="1"/>
    <col min="521" max="521" width="13" style="43" bestFit="1" customWidth="1"/>
    <col min="522" max="771" width="10.83203125" style="43"/>
    <col min="772" max="772" width="12.5" style="43" bestFit="1" customWidth="1"/>
    <col min="773" max="773" width="12.5" style="43" customWidth="1"/>
    <col min="774" max="774" width="14.6640625" style="43" bestFit="1" customWidth="1"/>
    <col min="775" max="775" width="12.5" style="43" bestFit="1" customWidth="1"/>
    <col min="776" max="776" width="1.83203125" style="43" customWidth="1"/>
    <col min="777" max="777" width="13" style="43" bestFit="1" customWidth="1"/>
    <col min="778" max="1027" width="10.83203125" style="43"/>
    <col min="1028" max="1028" width="12.5" style="43" bestFit="1" customWidth="1"/>
    <col min="1029" max="1029" width="12.5" style="43" customWidth="1"/>
    <col min="1030" max="1030" width="14.6640625" style="43" bestFit="1" customWidth="1"/>
    <col min="1031" max="1031" width="12.5" style="43" bestFit="1" customWidth="1"/>
    <col min="1032" max="1032" width="1.83203125" style="43" customWidth="1"/>
    <col min="1033" max="1033" width="13" style="43" bestFit="1" customWidth="1"/>
    <col min="1034" max="1283" width="10.83203125" style="43"/>
    <col min="1284" max="1284" width="12.5" style="43" bestFit="1" customWidth="1"/>
    <col min="1285" max="1285" width="12.5" style="43" customWidth="1"/>
    <col min="1286" max="1286" width="14.6640625" style="43" bestFit="1" customWidth="1"/>
    <col min="1287" max="1287" width="12.5" style="43" bestFit="1" customWidth="1"/>
    <col min="1288" max="1288" width="1.83203125" style="43" customWidth="1"/>
    <col min="1289" max="1289" width="13" style="43" bestFit="1" customWidth="1"/>
    <col min="1290" max="1539" width="10.83203125" style="43"/>
    <col min="1540" max="1540" width="12.5" style="43" bestFit="1" customWidth="1"/>
    <col min="1541" max="1541" width="12.5" style="43" customWidth="1"/>
    <col min="1542" max="1542" width="14.6640625" style="43" bestFit="1" customWidth="1"/>
    <col min="1543" max="1543" width="12.5" style="43" bestFit="1" customWidth="1"/>
    <col min="1544" max="1544" width="1.83203125" style="43" customWidth="1"/>
    <col min="1545" max="1545" width="13" style="43" bestFit="1" customWidth="1"/>
    <col min="1546" max="1795" width="10.83203125" style="43"/>
    <col min="1796" max="1796" width="12.5" style="43" bestFit="1" customWidth="1"/>
    <col min="1797" max="1797" width="12.5" style="43" customWidth="1"/>
    <col min="1798" max="1798" width="14.6640625" style="43" bestFit="1" customWidth="1"/>
    <col min="1799" max="1799" width="12.5" style="43" bestFit="1" customWidth="1"/>
    <col min="1800" max="1800" width="1.83203125" style="43" customWidth="1"/>
    <col min="1801" max="1801" width="13" style="43" bestFit="1" customWidth="1"/>
    <col min="1802" max="2051" width="10.83203125" style="43"/>
    <col min="2052" max="2052" width="12.5" style="43" bestFit="1" customWidth="1"/>
    <col min="2053" max="2053" width="12.5" style="43" customWidth="1"/>
    <col min="2054" max="2054" width="14.6640625" style="43" bestFit="1" customWidth="1"/>
    <col min="2055" max="2055" width="12.5" style="43" bestFit="1" customWidth="1"/>
    <col min="2056" max="2056" width="1.83203125" style="43" customWidth="1"/>
    <col min="2057" max="2057" width="13" style="43" bestFit="1" customWidth="1"/>
    <col min="2058" max="2307" width="10.83203125" style="43"/>
    <col min="2308" max="2308" width="12.5" style="43" bestFit="1" customWidth="1"/>
    <col min="2309" max="2309" width="12.5" style="43" customWidth="1"/>
    <col min="2310" max="2310" width="14.6640625" style="43" bestFit="1" customWidth="1"/>
    <col min="2311" max="2311" width="12.5" style="43" bestFit="1" customWidth="1"/>
    <col min="2312" max="2312" width="1.83203125" style="43" customWidth="1"/>
    <col min="2313" max="2313" width="13" style="43" bestFit="1" customWidth="1"/>
    <col min="2314" max="2563" width="10.83203125" style="43"/>
    <col min="2564" max="2564" width="12.5" style="43" bestFit="1" customWidth="1"/>
    <col min="2565" max="2565" width="12.5" style="43" customWidth="1"/>
    <col min="2566" max="2566" width="14.6640625" style="43" bestFit="1" customWidth="1"/>
    <col min="2567" max="2567" width="12.5" style="43" bestFit="1" customWidth="1"/>
    <col min="2568" max="2568" width="1.83203125" style="43" customWidth="1"/>
    <col min="2569" max="2569" width="13" style="43" bestFit="1" customWidth="1"/>
    <col min="2570" max="2819" width="10.83203125" style="43"/>
    <col min="2820" max="2820" width="12.5" style="43" bestFit="1" customWidth="1"/>
    <col min="2821" max="2821" width="12.5" style="43" customWidth="1"/>
    <col min="2822" max="2822" width="14.6640625" style="43" bestFit="1" customWidth="1"/>
    <col min="2823" max="2823" width="12.5" style="43" bestFit="1" customWidth="1"/>
    <col min="2824" max="2824" width="1.83203125" style="43" customWidth="1"/>
    <col min="2825" max="2825" width="13" style="43" bestFit="1" customWidth="1"/>
    <col min="2826" max="3075" width="10.83203125" style="43"/>
    <col min="3076" max="3076" width="12.5" style="43" bestFit="1" customWidth="1"/>
    <col min="3077" max="3077" width="12.5" style="43" customWidth="1"/>
    <col min="3078" max="3078" width="14.6640625" style="43" bestFit="1" customWidth="1"/>
    <col min="3079" max="3079" width="12.5" style="43" bestFit="1" customWidth="1"/>
    <col min="3080" max="3080" width="1.83203125" style="43" customWidth="1"/>
    <col min="3081" max="3081" width="13" style="43" bestFit="1" customWidth="1"/>
    <col min="3082" max="3331" width="10.83203125" style="43"/>
    <col min="3332" max="3332" width="12.5" style="43" bestFit="1" customWidth="1"/>
    <col min="3333" max="3333" width="12.5" style="43" customWidth="1"/>
    <col min="3334" max="3334" width="14.6640625" style="43" bestFit="1" customWidth="1"/>
    <col min="3335" max="3335" width="12.5" style="43" bestFit="1" customWidth="1"/>
    <col min="3336" max="3336" width="1.83203125" style="43" customWidth="1"/>
    <col min="3337" max="3337" width="13" style="43" bestFit="1" customWidth="1"/>
    <col min="3338" max="3587" width="10.83203125" style="43"/>
    <col min="3588" max="3588" width="12.5" style="43" bestFit="1" customWidth="1"/>
    <col min="3589" max="3589" width="12.5" style="43" customWidth="1"/>
    <col min="3590" max="3590" width="14.6640625" style="43" bestFit="1" customWidth="1"/>
    <col min="3591" max="3591" width="12.5" style="43" bestFit="1" customWidth="1"/>
    <col min="3592" max="3592" width="1.83203125" style="43" customWidth="1"/>
    <col min="3593" max="3593" width="13" style="43" bestFit="1" customWidth="1"/>
    <col min="3594" max="3843" width="10.83203125" style="43"/>
    <col min="3844" max="3844" width="12.5" style="43" bestFit="1" customWidth="1"/>
    <col min="3845" max="3845" width="12.5" style="43" customWidth="1"/>
    <col min="3846" max="3846" width="14.6640625" style="43" bestFit="1" customWidth="1"/>
    <col min="3847" max="3847" width="12.5" style="43" bestFit="1" customWidth="1"/>
    <col min="3848" max="3848" width="1.83203125" style="43" customWidth="1"/>
    <col min="3849" max="3849" width="13" style="43" bestFit="1" customWidth="1"/>
    <col min="3850" max="4099" width="10.83203125" style="43"/>
    <col min="4100" max="4100" width="12.5" style="43" bestFit="1" customWidth="1"/>
    <col min="4101" max="4101" width="12.5" style="43" customWidth="1"/>
    <col min="4102" max="4102" width="14.6640625" style="43" bestFit="1" customWidth="1"/>
    <col min="4103" max="4103" width="12.5" style="43" bestFit="1" customWidth="1"/>
    <col min="4104" max="4104" width="1.83203125" style="43" customWidth="1"/>
    <col min="4105" max="4105" width="13" style="43" bestFit="1" customWidth="1"/>
    <col min="4106" max="4355" width="10.83203125" style="43"/>
    <col min="4356" max="4356" width="12.5" style="43" bestFit="1" customWidth="1"/>
    <col min="4357" max="4357" width="12.5" style="43" customWidth="1"/>
    <col min="4358" max="4358" width="14.6640625" style="43" bestFit="1" customWidth="1"/>
    <col min="4359" max="4359" width="12.5" style="43" bestFit="1" customWidth="1"/>
    <col min="4360" max="4360" width="1.83203125" style="43" customWidth="1"/>
    <col min="4361" max="4361" width="13" style="43" bestFit="1" customWidth="1"/>
    <col min="4362" max="4611" width="10.83203125" style="43"/>
    <col min="4612" max="4612" width="12.5" style="43" bestFit="1" customWidth="1"/>
    <col min="4613" max="4613" width="12.5" style="43" customWidth="1"/>
    <col min="4614" max="4614" width="14.6640625" style="43" bestFit="1" customWidth="1"/>
    <col min="4615" max="4615" width="12.5" style="43" bestFit="1" customWidth="1"/>
    <col min="4616" max="4616" width="1.83203125" style="43" customWidth="1"/>
    <col min="4617" max="4617" width="13" style="43" bestFit="1" customWidth="1"/>
    <col min="4618" max="4867" width="10.83203125" style="43"/>
    <col min="4868" max="4868" width="12.5" style="43" bestFit="1" customWidth="1"/>
    <col min="4869" max="4869" width="12.5" style="43" customWidth="1"/>
    <col min="4870" max="4870" width="14.6640625" style="43" bestFit="1" customWidth="1"/>
    <col min="4871" max="4871" width="12.5" style="43" bestFit="1" customWidth="1"/>
    <col min="4872" max="4872" width="1.83203125" style="43" customWidth="1"/>
    <col min="4873" max="4873" width="13" style="43" bestFit="1" customWidth="1"/>
    <col min="4874" max="5123" width="10.83203125" style="43"/>
    <col min="5124" max="5124" width="12.5" style="43" bestFit="1" customWidth="1"/>
    <col min="5125" max="5125" width="12.5" style="43" customWidth="1"/>
    <col min="5126" max="5126" width="14.6640625" style="43" bestFit="1" customWidth="1"/>
    <col min="5127" max="5127" width="12.5" style="43" bestFit="1" customWidth="1"/>
    <col min="5128" max="5128" width="1.83203125" style="43" customWidth="1"/>
    <col min="5129" max="5129" width="13" style="43" bestFit="1" customWidth="1"/>
    <col min="5130" max="5379" width="10.83203125" style="43"/>
    <col min="5380" max="5380" width="12.5" style="43" bestFit="1" customWidth="1"/>
    <col min="5381" max="5381" width="12.5" style="43" customWidth="1"/>
    <col min="5382" max="5382" width="14.6640625" style="43" bestFit="1" customWidth="1"/>
    <col min="5383" max="5383" width="12.5" style="43" bestFit="1" customWidth="1"/>
    <col min="5384" max="5384" width="1.83203125" style="43" customWidth="1"/>
    <col min="5385" max="5385" width="13" style="43" bestFit="1" customWidth="1"/>
    <col min="5386" max="5635" width="10.83203125" style="43"/>
    <col min="5636" max="5636" width="12.5" style="43" bestFit="1" customWidth="1"/>
    <col min="5637" max="5637" width="12.5" style="43" customWidth="1"/>
    <col min="5638" max="5638" width="14.6640625" style="43" bestFit="1" customWidth="1"/>
    <col min="5639" max="5639" width="12.5" style="43" bestFit="1" customWidth="1"/>
    <col min="5640" max="5640" width="1.83203125" style="43" customWidth="1"/>
    <col min="5641" max="5641" width="13" style="43" bestFit="1" customWidth="1"/>
    <col min="5642" max="5891" width="10.83203125" style="43"/>
    <col min="5892" max="5892" width="12.5" style="43" bestFit="1" customWidth="1"/>
    <col min="5893" max="5893" width="12.5" style="43" customWidth="1"/>
    <col min="5894" max="5894" width="14.6640625" style="43" bestFit="1" customWidth="1"/>
    <col min="5895" max="5895" width="12.5" style="43" bestFit="1" customWidth="1"/>
    <col min="5896" max="5896" width="1.83203125" style="43" customWidth="1"/>
    <col min="5897" max="5897" width="13" style="43" bestFit="1" customWidth="1"/>
    <col min="5898" max="6147" width="10.83203125" style="43"/>
    <col min="6148" max="6148" width="12.5" style="43" bestFit="1" customWidth="1"/>
    <col min="6149" max="6149" width="12.5" style="43" customWidth="1"/>
    <col min="6150" max="6150" width="14.6640625" style="43" bestFit="1" customWidth="1"/>
    <col min="6151" max="6151" width="12.5" style="43" bestFit="1" customWidth="1"/>
    <col min="6152" max="6152" width="1.83203125" style="43" customWidth="1"/>
    <col min="6153" max="6153" width="13" style="43" bestFit="1" customWidth="1"/>
    <col min="6154" max="6403" width="10.83203125" style="43"/>
    <col min="6404" max="6404" width="12.5" style="43" bestFit="1" customWidth="1"/>
    <col min="6405" max="6405" width="12.5" style="43" customWidth="1"/>
    <col min="6406" max="6406" width="14.6640625" style="43" bestFit="1" customWidth="1"/>
    <col min="6407" max="6407" width="12.5" style="43" bestFit="1" customWidth="1"/>
    <col min="6408" max="6408" width="1.83203125" style="43" customWidth="1"/>
    <col min="6409" max="6409" width="13" style="43" bestFit="1" customWidth="1"/>
    <col min="6410" max="6659" width="10.83203125" style="43"/>
    <col min="6660" max="6660" width="12.5" style="43" bestFit="1" customWidth="1"/>
    <col min="6661" max="6661" width="12.5" style="43" customWidth="1"/>
    <col min="6662" max="6662" width="14.6640625" style="43" bestFit="1" customWidth="1"/>
    <col min="6663" max="6663" width="12.5" style="43" bestFit="1" customWidth="1"/>
    <col min="6664" max="6664" width="1.83203125" style="43" customWidth="1"/>
    <col min="6665" max="6665" width="13" style="43" bestFit="1" customWidth="1"/>
    <col min="6666" max="6915" width="10.83203125" style="43"/>
    <col min="6916" max="6916" width="12.5" style="43" bestFit="1" customWidth="1"/>
    <col min="6917" max="6917" width="12.5" style="43" customWidth="1"/>
    <col min="6918" max="6918" width="14.6640625" style="43" bestFit="1" customWidth="1"/>
    <col min="6919" max="6919" width="12.5" style="43" bestFit="1" customWidth="1"/>
    <col min="6920" max="6920" width="1.83203125" style="43" customWidth="1"/>
    <col min="6921" max="6921" width="13" style="43" bestFit="1" customWidth="1"/>
    <col min="6922" max="7171" width="10.83203125" style="43"/>
    <col min="7172" max="7172" width="12.5" style="43" bestFit="1" customWidth="1"/>
    <col min="7173" max="7173" width="12.5" style="43" customWidth="1"/>
    <col min="7174" max="7174" width="14.6640625" style="43" bestFit="1" customWidth="1"/>
    <col min="7175" max="7175" width="12.5" style="43" bestFit="1" customWidth="1"/>
    <col min="7176" max="7176" width="1.83203125" style="43" customWidth="1"/>
    <col min="7177" max="7177" width="13" style="43" bestFit="1" customWidth="1"/>
    <col min="7178" max="7427" width="10.83203125" style="43"/>
    <col min="7428" max="7428" width="12.5" style="43" bestFit="1" customWidth="1"/>
    <col min="7429" max="7429" width="12.5" style="43" customWidth="1"/>
    <col min="7430" max="7430" width="14.6640625" style="43" bestFit="1" customWidth="1"/>
    <col min="7431" max="7431" width="12.5" style="43" bestFit="1" customWidth="1"/>
    <col min="7432" max="7432" width="1.83203125" style="43" customWidth="1"/>
    <col min="7433" max="7433" width="13" style="43" bestFit="1" customWidth="1"/>
    <col min="7434" max="7683" width="10.83203125" style="43"/>
    <col min="7684" max="7684" width="12.5" style="43" bestFit="1" customWidth="1"/>
    <col min="7685" max="7685" width="12.5" style="43" customWidth="1"/>
    <col min="7686" max="7686" width="14.6640625" style="43" bestFit="1" customWidth="1"/>
    <col min="7687" max="7687" width="12.5" style="43" bestFit="1" customWidth="1"/>
    <col min="7688" max="7688" width="1.83203125" style="43" customWidth="1"/>
    <col min="7689" max="7689" width="13" style="43" bestFit="1" customWidth="1"/>
    <col min="7690" max="7939" width="10.83203125" style="43"/>
    <col min="7940" max="7940" width="12.5" style="43" bestFit="1" customWidth="1"/>
    <col min="7941" max="7941" width="12.5" style="43" customWidth="1"/>
    <col min="7942" max="7942" width="14.6640625" style="43" bestFit="1" customWidth="1"/>
    <col min="7943" max="7943" width="12.5" style="43" bestFit="1" customWidth="1"/>
    <col min="7944" max="7944" width="1.83203125" style="43" customWidth="1"/>
    <col min="7945" max="7945" width="13" style="43" bestFit="1" customWidth="1"/>
    <col min="7946" max="8195" width="10.83203125" style="43"/>
    <col min="8196" max="8196" width="12.5" style="43" bestFit="1" customWidth="1"/>
    <col min="8197" max="8197" width="12.5" style="43" customWidth="1"/>
    <col min="8198" max="8198" width="14.6640625" style="43" bestFit="1" customWidth="1"/>
    <col min="8199" max="8199" width="12.5" style="43" bestFit="1" customWidth="1"/>
    <col min="8200" max="8200" width="1.83203125" style="43" customWidth="1"/>
    <col min="8201" max="8201" width="13" style="43" bestFit="1" customWidth="1"/>
    <col min="8202" max="8451" width="10.83203125" style="43"/>
    <col min="8452" max="8452" width="12.5" style="43" bestFit="1" customWidth="1"/>
    <col min="8453" max="8453" width="12.5" style="43" customWidth="1"/>
    <col min="8454" max="8454" width="14.6640625" style="43" bestFit="1" customWidth="1"/>
    <col min="8455" max="8455" width="12.5" style="43" bestFit="1" customWidth="1"/>
    <col min="8456" max="8456" width="1.83203125" style="43" customWidth="1"/>
    <col min="8457" max="8457" width="13" style="43" bestFit="1" customWidth="1"/>
    <col min="8458" max="8707" width="10.83203125" style="43"/>
    <col min="8708" max="8708" width="12.5" style="43" bestFit="1" customWidth="1"/>
    <col min="8709" max="8709" width="12.5" style="43" customWidth="1"/>
    <col min="8710" max="8710" width="14.6640625" style="43" bestFit="1" customWidth="1"/>
    <col min="8711" max="8711" width="12.5" style="43" bestFit="1" customWidth="1"/>
    <col min="8712" max="8712" width="1.83203125" style="43" customWidth="1"/>
    <col min="8713" max="8713" width="13" style="43" bestFit="1" customWidth="1"/>
    <col min="8714" max="8963" width="10.83203125" style="43"/>
    <col min="8964" max="8964" width="12.5" style="43" bestFit="1" customWidth="1"/>
    <col min="8965" max="8965" width="12.5" style="43" customWidth="1"/>
    <col min="8966" max="8966" width="14.6640625" style="43" bestFit="1" customWidth="1"/>
    <col min="8967" max="8967" width="12.5" style="43" bestFit="1" customWidth="1"/>
    <col min="8968" max="8968" width="1.83203125" style="43" customWidth="1"/>
    <col min="8969" max="8969" width="13" style="43" bestFit="1" customWidth="1"/>
    <col min="8970" max="9219" width="10.83203125" style="43"/>
    <col min="9220" max="9220" width="12.5" style="43" bestFit="1" customWidth="1"/>
    <col min="9221" max="9221" width="12.5" style="43" customWidth="1"/>
    <col min="9222" max="9222" width="14.6640625" style="43" bestFit="1" customWidth="1"/>
    <col min="9223" max="9223" width="12.5" style="43" bestFit="1" customWidth="1"/>
    <col min="9224" max="9224" width="1.83203125" style="43" customWidth="1"/>
    <col min="9225" max="9225" width="13" style="43" bestFit="1" customWidth="1"/>
    <col min="9226" max="9475" width="10.83203125" style="43"/>
    <col min="9476" max="9476" width="12.5" style="43" bestFit="1" customWidth="1"/>
    <col min="9477" max="9477" width="12.5" style="43" customWidth="1"/>
    <col min="9478" max="9478" width="14.6640625" style="43" bestFit="1" customWidth="1"/>
    <col min="9479" max="9479" width="12.5" style="43" bestFit="1" customWidth="1"/>
    <col min="9480" max="9480" width="1.83203125" style="43" customWidth="1"/>
    <col min="9481" max="9481" width="13" style="43" bestFit="1" customWidth="1"/>
    <col min="9482" max="9731" width="10.83203125" style="43"/>
    <col min="9732" max="9732" width="12.5" style="43" bestFit="1" customWidth="1"/>
    <col min="9733" max="9733" width="12.5" style="43" customWidth="1"/>
    <col min="9734" max="9734" width="14.6640625" style="43" bestFit="1" customWidth="1"/>
    <col min="9735" max="9735" width="12.5" style="43" bestFit="1" customWidth="1"/>
    <col min="9736" max="9736" width="1.83203125" style="43" customWidth="1"/>
    <col min="9737" max="9737" width="13" style="43" bestFit="1" customWidth="1"/>
    <col min="9738" max="9987" width="10.83203125" style="43"/>
    <col min="9988" max="9988" width="12.5" style="43" bestFit="1" customWidth="1"/>
    <col min="9989" max="9989" width="12.5" style="43" customWidth="1"/>
    <col min="9990" max="9990" width="14.6640625" style="43" bestFit="1" customWidth="1"/>
    <col min="9991" max="9991" width="12.5" style="43" bestFit="1" customWidth="1"/>
    <col min="9992" max="9992" width="1.83203125" style="43" customWidth="1"/>
    <col min="9993" max="9993" width="13" style="43" bestFit="1" customWidth="1"/>
    <col min="9994" max="10243" width="10.83203125" style="43"/>
    <col min="10244" max="10244" width="12.5" style="43" bestFit="1" customWidth="1"/>
    <col min="10245" max="10245" width="12.5" style="43" customWidth="1"/>
    <col min="10246" max="10246" width="14.6640625" style="43" bestFit="1" customWidth="1"/>
    <col min="10247" max="10247" width="12.5" style="43" bestFit="1" customWidth="1"/>
    <col min="10248" max="10248" width="1.83203125" style="43" customWidth="1"/>
    <col min="10249" max="10249" width="13" style="43" bestFit="1" customWidth="1"/>
    <col min="10250" max="10499" width="10.83203125" style="43"/>
    <col min="10500" max="10500" width="12.5" style="43" bestFit="1" customWidth="1"/>
    <col min="10501" max="10501" width="12.5" style="43" customWidth="1"/>
    <col min="10502" max="10502" width="14.6640625" style="43" bestFit="1" customWidth="1"/>
    <col min="10503" max="10503" width="12.5" style="43" bestFit="1" customWidth="1"/>
    <col min="10504" max="10504" width="1.83203125" style="43" customWidth="1"/>
    <col min="10505" max="10505" width="13" style="43" bestFit="1" customWidth="1"/>
    <col min="10506" max="10755" width="10.83203125" style="43"/>
    <col min="10756" max="10756" width="12.5" style="43" bestFit="1" customWidth="1"/>
    <col min="10757" max="10757" width="12.5" style="43" customWidth="1"/>
    <col min="10758" max="10758" width="14.6640625" style="43" bestFit="1" customWidth="1"/>
    <col min="10759" max="10759" width="12.5" style="43" bestFit="1" customWidth="1"/>
    <col min="10760" max="10760" width="1.83203125" style="43" customWidth="1"/>
    <col min="10761" max="10761" width="13" style="43" bestFit="1" customWidth="1"/>
    <col min="10762" max="11011" width="10.83203125" style="43"/>
    <col min="11012" max="11012" width="12.5" style="43" bestFit="1" customWidth="1"/>
    <col min="11013" max="11013" width="12.5" style="43" customWidth="1"/>
    <col min="11014" max="11014" width="14.6640625" style="43" bestFit="1" customWidth="1"/>
    <col min="11015" max="11015" width="12.5" style="43" bestFit="1" customWidth="1"/>
    <col min="11016" max="11016" width="1.83203125" style="43" customWidth="1"/>
    <col min="11017" max="11017" width="13" style="43" bestFit="1" customWidth="1"/>
    <col min="11018" max="11267" width="10.83203125" style="43"/>
    <col min="11268" max="11268" width="12.5" style="43" bestFit="1" customWidth="1"/>
    <col min="11269" max="11269" width="12.5" style="43" customWidth="1"/>
    <col min="11270" max="11270" width="14.6640625" style="43" bestFit="1" customWidth="1"/>
    <col min="11271" max="11271" width="12.5" style="43" bestFit="1" customWidth="1"/>
    <col min="11272" max="11272" width="1.83203125" style="43" customWidth="1"/>
    <col min="11273" max="11273" width="13" style="43" bestFit="1" customWidth="1"/>
    <col min="11274" max="11523" width="10.83203125" style="43"/>
    <col min="11524" max="11524" width="12.5" style="43" bestFit="1" customWidth="1"/>
    <col min="11525" max="11525" width="12.5" style="43" customWidth="1"/>
    <col min="11526" max="11526" width="14.6640625" style="43" bestFit="1" customWidth="1"/>
    <col min="11527" max="11527" width="12.5" style="43" bestFit="1" customWidth="1"/>
    <col min="11528" max="11528" width="1.83203125" style="43" customWidth="1"/>
    <col min="11529" max="11529" width="13" style="43" bestFit="1" customWidth="1"/>
    <col min="11530" max="11779" width="10.83203125" style="43"/>
    <col min="11780" max="11780" width="12.5" style="43" bestFit="1" customWidth="1"/>
    <col min="11781" max="11781" width="12.5" style="43" customWidth="1"/>
    <col min="11782" max="11782" width="14.6640625" style="43" bestFit="1" customWidth="1"/>
    <col min="11783" max="11783" width="12.5" style="43" bestFit="1" customWidth="1"/>
    <col min="11784" max="11784" width="1.83203125" style="43" customWidth="1"/>
    <col min="11785" max="11785" width="13" style="43" bestFit="1" customWidth="1"/>
    <col min="11786" max="12035" width="10.83203125" style="43"/>
    <col min="12036" max="12036" width="12.5" style="43" bestFit="1" customWidth="1"/>
    <col min="12037" max="12037" width="12.5" style="43" customWidth="1"/>
    <col min="12038" max="12038" width="14.6640625" style="43" bestFit="1" customWidth="1"/>
    <col min="12039" max="12039" width="12.5" style="43" bestFit="1" customWidth="1"/>
    <col min="12040" max="12040" width="1.83203125" style="43" customWidth="1"/>
    <col min="12041" max="12041" width="13" style="43" bestFit="1" customWidth="1"/>
    <col min="12042" max="12291" width="10.83203125" style="43"/>
    <col min="12292" max="12292" width="12.5" style="43" bestFit="1" customWidth="1"/>
    <col min="12293" max="12293" width="12.5" style="43" customWidth="1"/>
    <col min="12294" max="12294" width="14.6640625" style="43" bestFit="1" customWidth="1"/>
    <col min="12295" max="12295" width="12.5" style="43" bestFit="1" customWidth="1"/>
    <col min="12296" max="12296" width="1.83203125" style="43" customWidth="1"/>
    <col min="12297" max="12297" width="13" style="43" bestFit="1" customWidth="1"/>
    <col min="12298" max="12547" width="10.83203125" style="43"/>
    <col min="12548" max="12548" width="12.5" style="43" bestFit="1" customWidth="1"/>
    <col min="12549" max="12549" width="12.5" style="43" customWidth="1"/>
    <col min="12550" max="12550" width="14.6640625" style="43" bestFit="1" customWidth="1"/>
    <col min="12551" max="12551" width="12.5" style="43" bestFit="1" customWidth="1"/>
    <col min="12552" max="12552" width="1.83203125" style="43" customWidth="1"/>
    <col min="12553" max="12553" width="13" style="43" bestFit="1" customWidth="1"/>
    <col min="12554" max="12803" width="10.83203125" style="43"/>
    <col min="12804" max="12804" width="12.5" style="43" bestFit="1" customWidth="1"/>
    <col min="12805" max="12805" width="12.5" style="43" customWidth="1"/>
    <col min="12806" max="12806" width="14.6640625" style="43" bestFit="1" customWidth="1"/>
    <col min="12807" max="12807" width="12.5" style="43" bestFit="1" customWidth="1"/>
    <col min="12808" max="12808" width="1.83203125" style="43" customWidth="1"/>
    <col min="12809" max="12809" width="13" style="43" bestFit="1" customWidth="1"/>
    <col min="12810" max="13059" width="10.83203125" style="43"/>
    <col min="13060" max="13060" width="12.5" style="43" bestFit="1" customWidth="1"/>
    <col min="13061" max="13061" width="12.5" style="43" customWidth="1"/>
    <col min="13062" max="13062" width="14.6640625" style="43" bestFit="1" customWidth="1"/>
    <col min="13063" max="13063" width="12.5" style="43" bestFit="1" customWidth="1"/>
    <col min="13064" max="13064" width="1.83203125" style="43" customWidth="1"/>
    <col min="13065" max="13065" width="13" style="43" bestFit="1" customWidth="1"/>
    <col min="13066" max="13315" width="10.83203125" style="43"/>
    <col min="13316" max="13316" width="12.5" style="43" bestFit="1" customWidth="1"/>
    <col min="13317" max="13317" width="12.5" style="43" customWidth="1"/>
    <col min="13318" max="13318" width="14.6640625" style="43" bestFit="1" customWidth="1"/>
    <col min="13319" max="13319" width="12.5" style="43" bestFit="1" customWidth="1"/>
    <col min="13320" max="13320" width="1.83203125" style="43" customWidth="1"/>
    <col min="13321" max="13321" width="13" style="43" bestFit="1" customWidth="1"/>
    <col min="13322" max="13571" width="10.83203125" style="43"/>
    <col min="13572" max="13572" width="12.5" style="43" bestFit="1" customWidth="1"/>
    <col min="13573" max="13573" width="12.5" style="43" customWidth="1"/>
    <col min="13574" max="13574" width="14.6640625" style="43" bestFit="1" customWidth="1"/>
    <col min="13575" max="13575" width="12.5" style="43" bestFit="1" customWidth="1"/>
    <col min="13576" max="13576" width="1.83203125" style="43" customWidth="1"/>
    <col min="13577" max="13577" width="13" style="43" bestFit="1" customWidth="1"/>
    <col min="13578" max="13827" width="10.83203125" style="43"/>
    <col min="13828" max="13828" width="12.5" style="43" bestFit="1" customWidth="1"/>
    <col min="13829" max="13829" width="12.5" style="43" customWidth="1"/>
    <col min="13830" max="13830" width="14.6640625" style="43" bestFit="1" customWidth="1"/>
    <col min="13831" max="13831" width="12.5" style="43" bestFit="1" customWidth="1"/>
    <col min="13832" max="13832" width="1.83203125" style="43" customWidth="1"/>
    <col min="13833" max="13833" width="13" style="43" bestFit="1" customWidth="1"/>
    <col min="13834" max="14083" width="10.83203125" style="43"/>
    <col min="14084" max="14084" width="12.5" style="43" bestFit="1" customWidth="1"/>
    <col min="14085" max="14085" width="12.5" style="43" customWidth="1"/>
    <col min="14086" max="14086" width="14.6640625" style="43" bestFit="1" customWidth="1"/>
    <col min="14087" max="14087" width="12.5" style="43" bestFit="1" customWidth="1"/>
    <col min="14088" max="14088" width="1.83203125" style="43" customWidth="1"/>
    <col min="14089" max="14089" width="13" style="43" bestFit="1" customWidth="1"/>
    <col min="14090" max="14339" width="10.83203125" style="43"/>
    <col min="14340" max="14340" width="12.5" style="43" bestFit="1" customWidth="1"/>
    <col min="14341" max="14341" width="12.5" style="43" customWidth="1"/>
    <col min="14342" max="14342" width="14.6640625" style="43" bestFit="1" customWidth="1"/>
    <col min="14343" max="14343" width="12.5" style="43" bestFit="1" customWidth="1"/>
    <col min="14344" max="14344" width="1.83203125" style="43" customWidth="1"/>
    <col min="14345" max="14345" width="13" style="43" bestFit="1" customWidth="1"/>
    <col min="14346" max="14595" width="10.83203125" style="43"/>
    <col min="14596" max="14596" width="12.5" style="43" bestFit="1" customWidth="1"/>
    <col min="14597" max="14597" width="12.5" style="43" customWidth="1"/>
    <col min="14598" max="14598" width="14.6640625" style="43" bestFit="1" customWidth="1"/>
    <col min="14599" max="14599" width="12.5" style="43" bestFit="1" customWidth="1"/>
    <col min="14600" max="14600" width="1.83203125" style="43" customWidth="1"/>
    <col min="14601" max="14601" width="13" style="43" bestFit="1" customWidth="1"/>
    <col min="14602" max="14851" width="10.83203125" style="43"/>
    <col min="14852" max="14852" width="12.5" style="43" bestFit="1" customWidth="1"/>
    <col min="14853" max="14853" width="12.5" style="43" customWidth="1"/>
    <col min="14854" max="14854" width="14.6640625" style="43" bestFit="1" customWidth="1"/>
    <col min="14855" max="14855" width="12.5" style="43" bestFit="1" customWidth="1"/>
    <col min="14856" max="14856" width="1.83203125" style="43" customWidth="1"/>
    <col min="14857" max="14857" width="13" style="43" bestFit="1" customWidth="1"/>
    <col min="14858" max="15107" width="10.83203125" style="43"/>
    <col min="15108" max="15108" width="12.5" style="43" bestFit="1" customWidth="1"/>
    <col min="15109" max="15109" width="12.5" style="43" customWidth="1"/>
    <col min="15110" max="15110" width="14.6640625" style="43" bestFit="1" customWidth="1"/>
    <col min="15111" max="15111" width="12.5" style="43" bestFit="1" customWidth="1"/>
    <col min="15112" max="15112" width="1.83203125" style="43" customWidth="1"/>
    <col min="15113" max="15113" width="13" style="43" bestFit="1" customWidth="1"/>
    <col min="15114" max="15363" width="10.83203125" style="43"/>
    <col min="15364" max="15364" width="12.5" style="43" bestFit="1" customWidth="1"/>
    <col min="15365" max="15365" width="12.5" style="43" customWidth="1"/>
    <col min="15366" max="15366" width="14.6640625" style="43" bestFit="1" customWidth="1"/>
    <col min="15367" max="15367" width="12.5" style="43" bestFit="1" customWidth="1"/>
    <col min="15368" max="15368" width="1.83203125" style="43" customWidth="1"/>
    <col min="15369" max="15369" width="13" style="43" bestFit="1" customWidth="1"/>
    <col min="15370" max="15619" width="10.83203125" style="43"/>
    <col min="15620" max="15620" width="12.5" style="43" bestFit="1" customWidth="1"/>
    <col min="15621" max="15621" width="12.5" style="43" customWidth="1"/>
    <col min="15622" max="15622" width="14.6640625" style="43" bestFit="1" customWidth="1"/>
    <col min="15623" max="15623" width="12.5" style="43" bestFit="1" customWidth="1"/>
    <col min="15624" max="15624" width="1.83203125" style="43" customWidth="1"/>
    <col min="15625" max="15625" width="13" style="43" bestFit="1" customWidth="1"/>
    <col min="15626" max="15875" width="10.83203125" style="43"/>
    <col min="15876" max="15876" width="12.5" style="43" bestFit="1" customWidth="1"/>
    <col min="15877" max="15877" width="12.5" style="43" customWidth="1"/>
    <col min="15878" max="15878" width="14.6640625" style="43" bestFit="1" customWidth="1"/>
    <col min="15879" max="15879" width="12.5" style="43" bestFit="1" customWidth="1"/>
    <col min="15880" max="15880" width="1.83203125" style="43" customWidth="1"/>
    <col min="15881" max="15881" width="13" style="43" bestFit="1" customWidth="1"/>
    <col min="15882" max="16131" width="10.83203125" style="43"/>
    <col min="16132" max="16132" width="12.5" style="43" bestFit="1" customWidth="1"/>
    <col min="16133" max="16133" width="12.5" style="43" customWidth="1"/>
    <col min="16134" max="16134" width="14.6640625" style="43" bestFit="1" customWidth="1"/>
    <col min="16135" max="16135" width="12.5" style="43" bestFit="1" customWidth="1"/>
    <col min="16136" max="16136" width="1.83203125" style="43" customWidth="1"/>
    <col min="16137" max="16137" width="13" style="43" bestFit="1" customWidth="1"/>
    <col min="16138" max="16384" width="10.83203125" style="43"/>
  </cols>
  <sheetData>
    <row r="2" spans="2:15" x14ac:dyDescent="0.15">
      <c r="C2" s="47" t="s">
        <v>5558</v>
      </c>
      <c r="D2" s="47" t="s">
        <v>5559</v>
      </c>
      <c r="E2" s="47" t="s">
        <v>1241</v>
      </c>
      <c r="F2" s="47" t="s">
        <v>5560</v>
      </c>
      <c r="G2" s="47" t="s">
        <v>1683</v>
      </c>
      <c r="K2" s="59" t="s">
        <v>6203</v>
      </c>
      <c r="L2" s="59"/>
    </row>
    <row r="3" spans="2:15" x14ac:dyDescent="0.15">
      <c r="B3" s="47" t="s">
        <v>5561</v>
      </c>
      <c r="C3" s="47">
        <f>COUNTIF(ReadingList!C3:C627,"OK")</f>
        <v>40</v>
      </c>
      <c r="D3" s="47">
        <f>COUNTIF(ReadingList!C3:C627,"Abstract") + COUNTIF(ReadingList!C3:C627,"Body")</f>
        <v>149</v>
      </c>
      <c r="E3" s="47">
        <f>COUNTIF(ReadingList!C3:C627,"Stand-by")</f>
        <v>5</v>
      </c>
      <c r="F3" s="47">
        <f>COUNTIF(ReadingList!C3:C627,"Literature review")</f>
        <v>28</v>
      </c>
      <c r="G3" s="47">
        <f>COUNTIF(ReadingList!C3:C627,"No access")</f>
        <v>1</v>
      </c>
      <c r="K3" s="44" t="s">
        <v>5563</v>
      </c>
      <c r="L3" s="44" t="s">
        <v>6206</v>
      </c>
      <c r="N3" s="43" t="s">
        <v>6204</v>
      </c>
      <c r="O3" s="45">
        <f>K4/SUM(K4:L4)</f>
        <v>0.84615384615384615</v>
      </c>
    </row>
    <row r="4" spans="2:15" x14ac:dyDescent="0.15">
      <c r="J4" s="43" t="s">
        <v>6207</v>
      </c>
      <c r="K4" s="43">
        <f>COUNTIFS(ReadingList!C2:C102,"OK",ReadingList!BY2:BY102,"Yes")</f>
        <v>33</v>
      </c>
      <c r="L4" s="43">
        <f>COUNTIFS(ReadingList!C2:C102,"OK",ReadingList!BY2:BY102,"No")</f>
        <v>6</v>
      </c>
      <c r="N4" s="45" t="s">
        <v>6205</v>
      </c>
      <c r="O4" s="45">
        <f>L5/SUM(K5:L5)</f>
        <v>0.20967741935483872</v>
      </c>
    </row>
    <row r="5" spans="2:15" x14ac:dyDescent="0.15">
      <c r="B5" s="47" t="s">
        <v>5562</v>
      </c>
      <c r="C5" s="58" t="s">
        <v>5563</v>
      </c>
      <c r="D5" s="58"/>
      <c r="E5" s="47" t="s">
        <v>5564</v>
      </c>
      <c r="F5" s="47" t="s">
        <v>5565</v>
      </c>
      <c r="J5" s="43" t="s">
        <v>6208</v>
      </c>
      <c r="K5" s="43">
        <f>COUNTIFS(ReadingList!C2:C102,"&lt;&gt;OK",ReadingList!BY2:BY102,"Yes")</f>
        <v>49</v>
      </c>
      <c r="L5" s="43">
        <f>COUNTIFS(ReadingList!C2:C102,"&lt;&gt;OK",ReadingList!BY2:BY102,"No")</f>
        <v>13</v>
      </c>
    </row>
    <row r="6" spans="2:15" x14ac:dyDescent="0.15">
      <c r="B6" s="47">
        <f>ReadingList!A627</f>
        <v>626</v>
      </c>
      <c r="C6" s="47">
        <f>SUM(C3:F3)</f>
        <v>222</v>
      </c>
      <c r="D6" s="46">
        <f>SUM(C3:F3)/(B6-G3)</f>
        <v>0.35520000000000002</v>
      </c>
      <c r="E6" s="46">
        <f>C3/C6</f>
        <v>0.18018018018018017</v>
      </c>
      <c r="F6" s="47">
        <f>ROUNDUP(E6*B6,0)</f>
        <v>113</v>
      </c>
    </row>
    <row r="8" spans="2:15" x14ac:dyDescent="0.15">
      <c r="B8" s="47" t="s">
        <v>5566</v>
      </c>
      <c r="C8" s="47" t="s">
        <v>5563</v>
      </c>
      <c r="D8" s="47" t="s">
        <v>5558</v>
      </c>
      <c r="E8" s="47" t="s">
        <v>5567</v>
      </c>
      <c r="F8" s="47" t="s">
        <v>5564</v>
      </c>
      <c r="G8" s="47" t="s">
        <v>5565</v>
      </c>
      <c r="K8" s="44"/>
      <c r="L8" s="44"/>
    </row>
    <row r="9" spans="2:15" x14ac:dyDescent="0.15">
      <c r="B9" s="48">
        <v>44722</v>
      </c>
      <c r="C9" s="47">
        <v>10</v>
      </c>
      <c r="D9" s="47">
        <v>3</v>
      </c>
      <c r="E9" s="47">
        <f>C9</f>
        <v>10</v>
      </c>
      <c r="F9" s="46">
        <f t="shared" ref="F9:F22" si="0">D9/C9</f>
        <v>0.3</v>
      </c>
      <c r="G9" s="47">
        <f>ROUNDUP(F9*$B$6,0)</f>
        <v>188</v>
      </c>
      <c r="I9" s="49"/>
      <c r="K9" s="50"/>
      <c r="L9" s="50"/>
    </row>
    <row r="10" spans="2:15" x14ac:dyDescent="0.15">
      <c r="B10" s="48">
        <f>B9+7</f>
        <v>44729</v>
      </c>
      <c r="C10" s="47">
        <v>15</v>
      </c>
      <c r="D10" s="47">
        <v>5</v>
      </c>
      <c r="E10" s="47">
        <f>C10-C9</f>
        <v>5</v>
      </c>
      <c r="F10" s="46">
        <f t="shared" si="0"/>
        <v>0.33333333333333331</v>
      </c>
      <c r="G10" s="47">
        <f t="shared" ref="G10:G23" si="1">ROUNDUP(F10*$B$6,0)</f>
        <v>209</v>
      </c>
    </row>
    <row r="11" spans="2:15" x14ac:dyDescent="0.15">
      <c r="B11" s="48">
        <f t="shared" ref="B11:B33" si="2">B10+7</f>
        <v>44736</v>
      </c>
      <c r="C11" s="47">
        <v>30</v>
      </c>
      <c r="D11" s="47">
        <v>15</v>
      </c>
      <c r="E11" s="47">
        <f t="shared" ref="E11:E23" si="3">C11-C10</f>
        <v>15</v>
      </c>
      <c r="F11" s="46">
        <f t="shared" si="0"/>
        <v>0.5</v>
      </c>
      <c r="G11" s="47">
        <f t="shared" si="1"/>
        <v>313</v>
      </c>
    </row>
    <row r="12" spans="2:15" x14ac:dyDescent="0.15">
      <c r="B12" s="48">
        <f t="shared" si="2"/>
        <v>44743</v>
      </c>
      <c r="C12" s="47">
        <v>45</v>
      </c>
      <c r="D12" s="47">
        <v>21</v>
      </c>
      <c r="E12" s="47">
        <f t="shared" si="3"/>
        <v>15</v>
      </c>
      <c r="F12" s="46">
        <f t="shared" si="0"/>
        <v>0.46666666666666667</v>
      </c>
      <c r="G12" s="47">
        <f t="shared" si="1"/>
        <v>293</v>
      </c>
    </row>
    <row r="13" spans="2:15" x14ac:dyDescent="0.15">
      <c r="B13" s="48">
        <f t="shared" si="2"/>
        <v>44750</v>
      </c>
      <c r="C13" s="47">
        <v>70</v>
      </c>
      <c r="D13" s="47">
        <v>26</v>
      </c>
      <c r="E13" s="47">
        <f t="shared" si="3"/>
        <v>25</v>
      </c>
      <c r="F13" s="46">
        <f t="shared" si="0"/>
        <v>0.37142857142857144</v>
      </c>
      <c r="G13" s="47">
        <f t="shared" si="1"/>
        <v>233</v>
      </c>
    </row>
    <row r="14" spans="2:15" x14ac:dyDescent="0.15">
      <c r="B14" s="48">
        <f t="shared" si="2"/>
        <v>44757</v>
      </c>
      <c r="C14" s="47">
        <v>100</v>
      </c>
      <c r="D14" s="47">
        <v>27</v>
      </c>
      <c r="E14" s="47">
        <f t="shared" si="3"/>
        <v>30</v>
      </c>
      <c r="F14" s="46">
        <f t="shared" si="0"/>
        <v>0.27</v>
      </c>
      <c r="G14" s="47">
        <f t="shared" si="1"/>
        <v>170</v>
      </c>
    </row>
    <row r="15" spans="2:15" x14ac:dyDescent="0.15">
      <c r="B15" s="48">
        <f t="shared" si="2"/>
        <v>44764</v>
      </c>
      <c r="C15" s="47">
        <v>140</v>
      </c>
      <c r="D15" s="47">
        <v>35</v>
      </c>
      <c r="E15" s="47">
        <f t="shared" si="3"/>
        <v>40</v>
      </c>
      <c r="F15" s="46">
        <f t="shared" si="0"/>
        <v>0.25</v>
      </c>
      <c r="G15" s="47">
        <f t="shared" si="1"/>
        <v>157</v>
      </c>
    </row>
    <row r="16" spans="2:15" x14ac:dyDescent="0.15">
      <c r="B16" s="48">
        <f t="shared" si="2"/>
        <v>44771</v>
      </c>
      <c r="C16" s="47">
        <v>180</v>
      </c>
      <c r="D16" s="47">
        <v>38</v>
      </c>
      <c r="E16" s="47">
        <f t="shared" si="3"/>
        <v>40</v>
      </c>
      <c r="F16" s="46">
        <f t="shared" si="0"/>
        <v>0.21111111111111111</v>
      </c>
      <c r="G16" s="47">
        <f t="shared" si="1"/>
        <v>133</v>
      </c>
    </row>
    <row r="17" spans="2:7" x14ac:dyDescent="0.15">
      <c r="B17" s="48">
        <f t="shared" si="2"/>
        <v>44778</v>
      </c>
      <c r="C17" s="47">
        <v>206</v>
      </c>
      <c r="D17" s="47">
        <v>39</v>
      </c>
      <c r="E17" s="47">
        <f t="shared" si="3"/>
        <v>26</v>
      </c>
      <c r="F17" s="46">
        <f t="shared" si="0"/>
        <v>0.18932038834951456</v>
      </c>
      <c r="G17" s="47">
        <f t="shared" si="1"/>
        <v>119</v>
      </c>
    </row>
    <row r="18" spans="2:7" x14ac:dyDescent="0.15">
      <c r="B18" s="48">
        <f t="shared" si="2"/>
        <v>44785</v>
      </c>
      <c r="C18" s="47">
        <v>210</v>
      </c>
      <c r="D18" s="47">
        <v>35</v>
      </c>
      <c r="E18" s="47">
        <f t="shared" si="3"/>
        <v>4</v>
      </c>
      <c r="F18" s="46">
        <f t="shared" si="0"/>
        <v>0.16666666666666666</v>
      </c>
      <c r="G18" s="47">
        <f t="shared" si="1"/>
        <v>105</v>
      </c>
    </row>
    <row r="19" spans="2:7" x14ac:dyDescent="0.15">
      <c r="B19" s="48">
        <f t="shared" si="2"/>
        <v>44792</v>
      </c>
      <c r="C19" s="47">
        <v>215</v>
      </c>
      <c r="D19" s="47">
        <v>37</v>
      </c>
      <c r="E19" s="47">
        <f t="shared" si="3"/>
        <v>5</v>
      </c>
      <c r="F19" s="46">
        <f t="shared" si="0"/>
        <v>0.17209302325581396</v>
      </c>
      <c r="G19" s="47">
        <f t="shared" si="1"/>
        <v>108</v>
      </c>
    </row>
    <row r="20" spans="2:7" x14ac:dyDescent="0.15">
      <c r="B20" s="48">
        <f t="shared" si="2"/>
        <v>44799</v>
      </c>
      <c r="C20" s="47">
        <v>215</v>
      </c>
      <c r="D20" s="47">
        <v>37</v>
      </c>
      <c r="E20" s="47">
        <f t="shared" si="3"/>
        <v>0</v>
      </c>
      <c r="F20" s="46">
        <f t="shared" si="0"/>
        <v>0.17209302325581396</v>
      </c>
      <c r="G20" s="47">
        <f t="shared" si="1"/>
        <v>108</v>
      </c>
    </row>
    <row r="21" spans="2:7" x14ac:dyDescent="0.15">
      <c r="B21" s="48">
        <f t="shared" si="2"/>
        <v>44806</v>
      </c>
      <c r="C21" s="47">
        <v>218</v>
      </c>
      <c r="D21" s="47">
        <v>40</v>
      </c>
      <c r="E21" s="47">
        <f t="shared" si="3"/>
        <v>3</v>
      </c>
      <c r="F21" s="46">
        <f t="shared" si="0"/>
        <v>0.1834862385321101</v>
      </c>
      <c r="G21" s="47">
        <f t="shared" si="1"/>
        <v>115</v>
      </c>
    </row>
    <row r="22" spans="2:7" x14ac:dyDescent="0.15">
      <c r="B22" s="48">
        <f t="shared" si="2"/>
        <v>44813</v>
      </c>
      <c r="C22" s="47">
        <v>220</v>
      </c>
      <c r="D22" s="47">
        <v>41</v>
      </c>
      <c r="E22" s="47">
        <f t="shared" si="3"/>
        <v>2</v>
      </c>
      <c r="F22" s="46">
        <f t="shared" si="0"/>
        <v>0.18636363636363637</v>
      </c>
      <c r="G22" s="47">
        <f t="shared" si="1"/>
        <v>117</v>
      </c>
    </row>
    <row r="23" spans="2:7" x14ac:dyDescent="0.15">
      <c r="B23" s="48">
        <f t="shared" si="2"/>
        <v>44820</v>
      </c>
      <c r="C23" s="47">
        <v>223</v>
      </c>
      <c r="D23" s="47">
        <v>41</v>
      </c>
      <c r="E23" s="47">
        <f t="shared" si="3"/>
        <v>3</v>
      </c>
      <c r="F23" s="51">
        <v>0.18390000000000001</v>
      </c>
      <c r="G23" s="47">
        <f t="shared" si="1"/>
        <v>116</v>
      </c>
    </row>
    <row r="24" spans="2:7" x14ac:dyDescent="0.15">
      <c r="B24" s="48">
        <f t="shared" si="2"/>
        <v>44827</v>
      </c>
      <c r="C24" s="52"/>
      <c r="D24" s="47"/>
      <c r="E24" s="53"/>
      <c r="F24" s="47"/>
      <c r="G24" s="47"/>
    </row>
    <row r="25" spans="2:7" x14ac:dyDescent="0.15">
      <c r="B25" s="48">
        <f t="shared" si="2"/>
        <v>44834</v>
      </c>
      <c r="C25" s="52"/>
      <c r="D25" s="47"/>
      <c r="E25" s="53"/>
      <c r="F25" s="47"/>
      <c r="G25" s="47"/>
    </row>
    <row r="26" spans="2:7" x14ac:dyDescent="0.15">
      <c r="B26" s="48">
        <f t="shared" si="2"/>
        <v>44841</v>
      </c>
      <c r="C26" s="52"/>
      <c r="D26" s="47"/>
      <c r="E26" s="53"/>
      <c r="F26" s="47"/>
      <c r="G26" s="47"/>
    </row>
    <row r="27" spans="2:7" x14ac:dyDescent="0.15">
      <c r="B27" s="48">
        <f t="shared" si="2"/>
        <v>44848</v>
      </c>
      <c r="C27" s="52"/>
      <c r="D27" s="47"/>
      <c r="E27" s="53"/>
      <c r="F27" s="47"/>
      <c r="G27" s="47"/>
    </row>
    <row r="28" spans="2:7" x14ac:dyDescent="0.15">
      <c r="B28" s="48">
        <f t="shared" si="2"/>
        <v>44855</v>
      </c>
      <c r="C28" s="52"/>
      <c r="D28" s="47"/>
      <c r="E28" s="53"/>
      <c r="F28" s="47"/>
      <c r="G28" s="47"/>
    </row>
    <row r="29" spans="2:7" x14ac:dyDescent="0.15">
      <c r="B29" s="48">
        <f t="shared" si="2"/>
        <v>44862</v>
      </c>
      <c r="C29" s="52"/>
      <c r="D29" s="47"/>
      <c r="E29" s="53"/>
      <c r="F29" s="47"/>
      <c r="G29" s="47"/>
    </row>
    <row r="30" spans="2:7" x14ac:dyDescent="0.15">
      <c r="B30" s="48">
        <f t="shared" si="2"/>
        <v>44869</v>
      </c>
      <c r="C30" s="52"/>
      <c r="D30" s="47"/>
      <c r="E30" s="53"/>
      <c r="F30" s="47"/>
      <c r="G30" s="47"/>
    </row>
    <row r="31" spans="2:7" x14ac:dyDescent="0.15">
      <c r="B31" s="48">
        <f t="shared" si="2"/>
        <v>44876</v>
      </c>
      <c r="C31" s="52"/>
      <c r="D31" s="47"/>
      <c r="E31" s="53"/>
      <c r="F31" s="47"/>
      <c r="G31" s="47"/>
    </row>
    <row r="32" spans="2:7" x14ac:dyDescent="0.15">
      <c r="B32" s="48">
        <f t="shared" si="2"/>
        <v>44883</v>
      </c>
      <c r="C32" s="52"/>
      <c r="D32" s="47"/>
      <c r="E32" s="53"/>
      <c r="F32" s="47"/>
      <c r="G32" s="47"/>
    </row>
    <row r="33" spans="2:9" x14ac:dyDescent="0.15">
      <c r="B33" s="54">
        <f t="shared" si="2"/>
        <v>44890</v>
      </c>
      <c r="C33" s="47"/>
      <c r="D33" s="47"/>
      <c r="E33" s="53"/>
      <c r="F33" s="47"/>
      <c r="G33" s="47"/>
    </row>
    <row r="34" spans="2:9" x14ac:dyDescent="0.15">
      <c r="B34" s="55"/>
    </row>
    <row r="35" spans="2:9" x14ac:dyDescent="0.15">
      <c r="B35" s="55"/>
      <c r="E35" s="47" t="s">
        <v>5568</v>
      </c>
      <c r="F35" s="47" t="s">
        <v>5569</v>
      </c>
      <c r="G35" s="47" t="s">
        <v>5570</v>
      </c>
      <c r="I35" s="47" t="s">
        <v>5571</v>
      </c>
    </row>
    <row r="36" spans="2:9" x14ac:dyDescent="0.15">
      <c r="D36" s="56" t="s">
        <v>5562</v>
      </c>
      <c r="E36" s="47">
        <f>ROUNDDOWN(AVERAGE(E9:E33),0)</f>
        <v>14</v>
      </c>
      <c r="F36" s="47">
        <f>ROUNDUP(($B$6-MAX($C$9:$C$33))/E36,0)</f>
        <v>29</v>
      </c>
      <c r="G36" s="48">
        <f ca="1">OFFSET($B$9,COUNTA($C$9:$C$33)-1,0)+F36*7</f>
        <v>45023</v>
      </c>
      <c r="I36" s="52">
        <f>E36/5</f>
        <v>2.8</v>
      </c>
    </row>
    <row r="37" spans="2:9" x14ac:dyDescent="0.15">
      <c r="D37" s="56" t="s">
        <v>5572</v>
      </c>
      <c r="E37" s="47">
        <f>ROUNDDOWN(AVERAGE(E9:E17),0)</f>
        <v>22</v>
      </c>
      <c r="F37" s="47">
        <f>ROUNDUP(($B$6-MAX($C$9:$C$33))/E37,0)</f>
        <v>19</v>
      </c>
      <c r="G37" s="48">
        <f ca="1">OFFSET($B$9,COUNTA($C$9:$C$33)-1,0)+F37*7</f>
        <v>44953</v>
      </c>
      <c r="I37" s="52">
        <f>E37/5</f>
        <v>4.4000000000000004</v>
      </c>
    </row>
    <row r="38" spans="2:9" x14ac:dyDescent="0.15">
      <c r="D38" s="57" t="s">
        <v>5573</v>
      </c>
      <c r="E38" s="47">
        <f>ROUNDUP((B6-C23)/F38,0)</f>
        <v>45</v>
      </c>
      <c r="F38" s="47">
        <f>COUNTA(B25:B33)</f>
        <v>9</v>
      </c>
      <c r="G38" s="54">
        <f>B33</f>
        <v>44890</v>
      </c>
      <c r="I38" s="52">
        <f>E38/5</f>
        <v>9</v>
      </c>
    </row>
  </sheetData>
  <mergeCells count="2">
    <mergeCell ref="C5:D5"/>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6606-70D9-BE44-AA14-F853C8C2ABE8}">
  <dimension ref="A1:J627"/>
  <sheetViews>
    <sheetView workbookViewId="0">
      <selection activeCell="J2" sqref="J2"/>
    </sheetView>
  </sheetViews>
  <sheetFormatPr baseColWidth="10" defaultColWidth="8.83203125" defaultRowHeight="13" x14ac:dyDescent="0.15"/>
  <cols>
    <col min="1" max="16384" width="8.83203125" style="32"/>
  </cols>
  <sheetData>
    <row r="1" spans="1:10" x14ac:dyDescent="0.15">
      <c r="B1" s="32" t="s">
        <v>499</v>
      </c>
      <c r="C1" s="32" t="s">
        <v>5574</v>
      </c>
      <c r="D1" s="32" t="s">
        <v>5575</v>
      </c>
      <c r="E1" s="32" t="s">
        <v>0</v>
      </c>
      <c r="F1" s="32" t="s">
        <v>9</v>
      </c>
      <c r="G1" s="32" t="s">
        <v>3</v>
      </c>
      <c r="H1" s="32" t="s">
        <v>5576</v>
      </c>
      <c r="I1" s="32" t="s">
        <v>1</v>
      </c>
      <c r="J1" s="32" t="s">
        <v>1221</v>
      </c>
    </row>
    <row r="2" spans="1:10" x14ac:dyDescent="0.15">
      <c r="A2" s="32" t="s">
        <v>5577</v>
      </c>
      <c r="B2" s="32" t="s">
        <v>5577</v>
      </c>
      <c r="C2" s="32" t="s">
        <v>1222</v>
      </c>
      <c r="D2" s="32" t="s">
        <v>105</v>
      </c>
      <c r="E2" s="32" t="s">
        <v>1226</v>
      </c>
      <c r="F2" s="32" t="s">
        <v>124</v>
      </c>
      <c r="G2" s="32" t="s">
        <v>41</v>
      </c>
      <c r="H2" s="32" t="s">
        <v>1228</v>
      </c>
      <c r="I2" s="32">
        <v>2015</v>
      </c>
      <c r="J2" s="32" t="b">
        <v>1</v>
      </c>
    </row>
    <row r="3" spans="1:10" x14ac:dyDescent="0.15">
      <c r="A3" s="32" t="s">
        <v>5578</v>
      </c>
      <c r="B3" s="32" t="s">
        <v>5578</v>
      </c>
      <c r="C3" s="32" t="s">
        <v>1232</v>
      </c>
      <c r="D3" s="32" t="s">
        <v>1234</v>
      </c>
      <c r="E3" s="32" t="s">
        <v>1235</v>
      </c>
      <c r="F3" s="32" t="s">
        <v>124</v>
      </c>
      <c r="G3" s="32" t="s">
        <v>1236</v>
      </c>
      <c r="H3" s="32" t="s">
        <v>1237</v>
      </c>
      <c r="I3" s="32">
        <v>2014</v>
      </c>
      <c r="J3" s="32" t="b">
        <v>1</v>
      </c>
    </row>
    <row r="4" spans="1:10" x14ac:dyDescent="0.15">
      <c r="A4" s="32" t="s">
        <v>5579</v>
      </c>
      <c r="B4" s="32" t="s">
        <v>5579</v>
      </c>
      <c r="C4" s="32" t="s">
        <v>1133</v>
      </c>
      <c r="D4" s="32" t="s">
        <v>1243</v>
      </c>
      <c r="E4" s="32" t="s">
        <v>1244</v>
      </c>
      <c r="F4" s="32" t="s">
        <v>422</v>
      </c>
      <c r="G4" s="32" t="s">
        <v>1245</v>
      </c>
      <c r="H4" s="32" t="s">
        <v>1246</v>
      </c>
      <c r="I4" s="32">
        <v>2021</v>
      </c>
      <c r="J4" s="32" t="b">
        <v>1</v>
      </c>
    </row>
    <row r="5" spans="1:10" x14ac:dyDescent="0.15">
      <c r="A5" s="32" t="s">
        <v>5580</v>
      </c>
      <c r="B5" s="32" t="s">
        <v>5580</v>
      </c>
      <c r="C5" s="32" t="s">
        <v>1222</v>
      </c>
      <c r="D5" s="32" t="s">
        <v>107</v>
      </c>
      <c r="E5" s="32" t="s">
        <v>44</v>
      </c>
      <c r="F5" s="32" t="s">
        <v>502</v>
      </c>
      <c r="G5" s="32" t="s">
        <v>46</v>
      </c>
      <c r="H5" s="32" t="e">
        <v>#N/A</v>
      </c>
      <c r="I5" s="32">
        <v>2020</v>
      </c>
      <c r="J5" s="32" t="b">
        <v>1</v>
      </c>
    </row>
    <row r="6" spans="1:10" x14ac:dyDescent="0.15">
      <c r="A6" s="32" t="s">
        <v>5581</v>
      </c>
      <c r="B6" s="32" t="s">
        <v>5581</v>
      </c>
      <c r="C6" s="32" t="s">
        <v>1222</v>
      </c>
      <c r="D6" s="32" t="s">
        <v>111</v>
      </c>
      <c r="E6" s="32" t="s">
        <v>88</v>
      </c>
      <c r="F6" s="32" t="s">
        <v>89</v>
      </c>
      <c r="G6" s="32" t="s">
        <v>90</v>
      </c>
      <c r="H6" s="32" t="s">
        <v>1254</v>
      </c>
      <c r="I6" s="32">
        <v>2016</v>
      </c>
      <c r="J6" s="32" t="b">
        <v>1</v>
      </c>
    </row>
    <row r="7" spans="1:10" x14ac:dyDescent="0.15">
      <c r="A7" s="32" t="s">
        <v>5582</v>
      </c>
      <c r="B7" s="32" t="s">
        <v>5582</v>
      </c>
      <c r="C7" s="32" t="s">
        <v>1222</v>
      </c>
      <c r="D7" s="32" t="s">
        <v>110</v>
      </c>
      <c r="E7" s="32" t="s">
        <v>67</v>
      </c>
      <c r="F7" s="32" t="s">
        <v>68</v>
      </c>
      <c r="G7" s="32" t="s">
        <v>70</v>
      </c>
      <c r="H7" s="32" t="s">
        <v>1259</v>
      </c>
      <c r="I7" s="32">
        <v>2021</v>
      </c>
      <c r="J7" s="32" t="b">
        <v>1</v>
      </c>
    </row>
    <row r="8" spans="1:10" x14ac:dyDescent="0.15">
      <c r="A8" s="32" t="s">
        <v>5583</v>
      </c>
      <c r="B8" s="32" t="s">
        <v>5583</v>
      </c>
      <c r="C8" s="32" t="s">
        <v>1222</v>
      </c>
      <c r="D8" s="32" t="s">
        <v>109</v>
      </c>
      <c r="E8" s="32" t="s">
        <v>96</v>
      </c>
      <c r="F8" s="32" t="s">
        <v>97</v>
      </c>
      <c r="G8" s="32" t="s">
        <v>99</v>
      </c>
      <c r="H8" s="32" t="s">
        <v>1262</v>
      </c>
      <c r="I8" s="32">
        <v>2018</v>
      </c>
      <c r="J8" s="32" t="b">
        <v>1</v>
      </c>
    </row>
    <row r="9" spans="1:10" x14ac:dyDescent="0.15">
      <c r="A9" s="32" t="s">
        <v>5584</v>
      </c>
      <c r="B9" s="32" t="s">
        <v>5584</v>
      </c>
      <c r="C9" s="32" t="s">
        <v>1222</v>
      </c>
      <c r="D9" s="32" t="s">
        <v>108</v>
      </c>
      <c r="E9" s="32" t="s">
        <v>55</v>
      </c>
      <c r="F9" s="32" t="s">
        <v>97</v>
      </c>
      <c r="G9" s="32" t="s">
        <v>56</v>
      </c>
      <c r="H9" s="32" t="s">
        <v>1266</v>
      </c>
      <c r="I9" s="32">
        <v>2017</v>
      </c>
      <c r="J9" s="32" t="b">
        <v>1</v>
      </c>
    </row>
    <row r="10" spans="1:10" x14ac:dyDescent="0.15">
      <c r="A10" s="32" t="s">
        <v>5585</v>
      </c>
      <c r="B10" s="32" t="s">
        <v>5585</v>
      </c>
      <c r="C10" s="32" t="s">
        <v>1222</v>
      </c>
      <c r="D10" s="32" t="s">
        <v>612</v>
      </c>
      <c r="E10" s="32" t="s">
        <v>611</v>
      </c>
      <c r="F10" s="32" t="s">
        <v>422</v>
      </c>
      <c r="G10" s="32" t="s">
        <v>614</v>
      </c>
      <c r="H10" s="32" t="s">
        <v>1271</v>
      </c>
      <c r="I10" s="32">
        <v>2016</v>
      </c>
      <c r="J10" s="32" t="b">
        <v>1</v>
      </c>
    </row>
    <row r="11" spans="1:10" x14ac:dyDescent="0.15">
      <c r="A11" s="32" t="s">
        <v>5586</v>
      </c>
      <c r="B11" s="32" t="s">
        <v>5586</v>
      </c>
      <c r="C11" s="32" t="s">
        <v>1222</v>
      </c>
      <c r="D11" s="32" t="s">
        <v>115</v>
      </c>
      <c r="E11" s="32" t="s">
        <v>113</v>
      </c>
      <c r="F11" s="32" t="s">
        <v>114</v>
      </c>
      <c r="G11" s="32" t="s">
        <v>116</v>
      </c>
      <c r="H11" s="32" t="s">
        <v>1275</v>
      </c>
      <c r="I11" s="32">
        <v>2021</v>
      </c>
      <c r="J11" s="32" t="b">
        <v>1</v>
      </c>
    </row>
    <row r="12" spans="1:10" x14ac:dyDescent="0.15">
      <c r="A12" s="32" t="s">
        <v>5587</v>
      </c>
      <c r="B12" s="32" t="s">
        <v>5587</v>
      </c>
      <c r="C12" s="32" t="s">
        <v>1232</v>
      </c>
      <c r="D12" s="32" t="s">
        <v>1280</v>
      </c>
      <c r="E12" s="32" t="s">
        <v>1281</v>
      </c>
      <c r="F12" s="32" t="s">
        <v>849</v>
      </c>
      <c r="G12" s="32" t="s">
        <v>1282</v>
      </c>
      <c r="H12" s="32" t="s">
        <v>1283</v>
      </c>
      <c r="I12" s="32">
        <v>2017</v>
      </c>
      <c r="J12" s="32" t="b">
        <v>1</v>
      </c>
    </row>
    <row r="13" spans="1:10" x14ac:dyDescent="0.15">
      <c r="A13" s="32" t="s">
        <v>5588</v>
      </c>
      <c r="B13" s="32" t="s">
        <v>5588</v>
      </c>
      <c r="C13" s="32" t="s">
        <v>1232</v>
      </c>
      <c r="D13" s="32" t="s">
        <v>1289</v>
      </c>
      <c r="E13" s="32" t="s">
        <v>1290</v>
      </c>
      <c r="F13" s="32" t="s">
        <v>97</v>
      </c>
      <c r="G13" s="32" t="s">
        <v>1291</v>
      </c>
      <c r="H13" s="32" t="s">
        <v>1292</v>
      </c>
      <c r="I13" s="32">
        <v>2020</v>
      </c>
      <c r="J13" s="32" t="b">
        <v>1</v>
      </c>
    </row>
    <row r="14" spans="1:10" x14ac:dyDescent="0.15">
      <c r="A14" s="32" t="s">
        <v>5589</v>
      </c>
      <c r="B14" s="32" t="s">
        <v>5589</v>
      </c>
      <c r="C14" s="32" t="s">
        <v>1222</v>
      </c>
      <c r="D14" s="32" t="s">
        <v>122</v>
      </c>
      <c r="E14" s="32" t="s">
        <v>123</v>
      </c>
      <c r="F14" s="32" t="s">
        <v>124</v>
      </c>
      <c r="G14" s="32" t="s">
        <v>125</v>
      </c>
      <c r="H14" s="32" t="s">
        <v>1297</v>
      </c>
      <c r="I14" s="32">
        <v>2015</v>
      </c>
      <c r="J14" s="32" t="b">
        <v>1</v>
      </c>
    </row>
    <row r="15" spans="1:10" x14ac:dyDescent="0.15">
      <c r="A15" s="32" t="s">
        <v>5590</v>
      </c>
      <c r="B15" s="32" t="s">
        <v>5590</v>
      </c>
      <c r="C15" s="32" t="s">
        <v>4</v>
      </c>
      <c r="D15" s="32" t="s">
        <v>1302</v>
      </c>
      <c r="E15" s="32" t="s">
        <v>1303</v>
      </c>
      <c r="F15" s="32" t="s">
        <v>68</v>
      </c>
      <c r="G15" s="32" t="s">
        <v>1304</v>
      </c>
      <c r="H15" s="32" t="s">
        <v>1305</v>
      </c>
      <c r="I15" s="32">
        <v>2020</v>
      </c>
      <c r="J15" s="32" t="b">
        <v>1</v>
      </c>
    </row>
    <row r="16" spans="1:10" x14ac:dyDescent="0.15">
      <c r="A16" s="32" t="s">
        <v>5591</v>
      </c>
      <c r="B16" s="32" t="s">
        <v>5591</v>
      </c>
      <c r="C16" s="32" t="s">
        <v>1222</v>
      </c>
      <c r="D16" s="32" t="s">
        <v>106</v>
      </c>
      <c r="E16" s="32" t="s">
        <v>72</v>
      </c>
      <c r="F16" s="32" t="s">
        <v>73</v>
      </c>
      <c r="G16" s="32" t="s">
        <v>75</v>
      </c>
      <c r="H16" s="32" t="s">
        <v>1309</v>
      </c>
      <c r="I16" s="32">
        <v>2015</v>
      </c>
      <c r="J16" s="32" t="b">
        <v>1</v>
      </c>
    </row>
    <row r="17" spans="1:10" x14ac:dyDescent="0.15">
      <c r="A17" s="32" t="s">
        <v>5592</v>
      </c>
      <c r="B17" s="32" t="s">
        <v>5592</v>
      </c>
      <c r="C17" s="32" t="s">
        <v>1232</v>
      </c>
      <c r="D17" s="32" t="s">
        <v>1313</v>
      </c>
      <c r="E17" s="32" t="s">
        <v>1314</v>
      </c>
      <c r="F17" s="32" t="s">
        <v>124</v>
      </c>
      <c r="G17" s="32" t="s">
        <v>1315</v>
      </c>
      <c r="H17" s="32" t="e">
        <v>#N/A</v>
      </c>
      <c r="I17" s="32">
        <v>2016</v>
      </c>
      <c r="J17" s="32" t="b">
        <v>1</v>
      </c>
    </row>
    <row r="18" spans="1:10" x14ac:dyDescent="0.15">
      <c r="A18" s="32" t="s">
        <v>5593</v>
      </c>
      <c r="B18" s="32" t="s">
        <v>5593</v>
      </c>
      <c r="C18" s="32" t="s">
        <v>1133</v>
      </c>
      <c r="D18" s="32" t="s">
        <v>1320</v>
      </c>
      <c r="E18" s="32" t="s">
        <v>1321</v>
      </c>
      <c r="F18" s="32" t="s">
        <v>1322</v>
      </c>
      <c r="G18" s="32" t="s">
        <v>1323</v>
      </c>
      <c r="H18" s="32" t="s">
        <v>1324</v>
      </c>
      <c r="I18" s="32">
        <v>2020</v>
      </c>
      <c r="J18" s="32" t="b">
        <v>0</v>
      </c>
    </row>
    <row r="19" spans="1:10" x14ac:dyDescent="0.15">
      <c r="A19" s="32" t="s">
        <v>5594</v>
      </c>
      <c r="B19" s="32" t="s">
        <v>5594</v>
      </c>
      <c r="C19" s="32" t="s">
        <v>4</v>
      </c>
      <c r="D19" s="32" t="s">
        <v>1329</v>
      </c>
      <c r="E19" s="32" t="s">
        <v>1330</v>
      </c>
      <c r="F19" s="32" t="s">
        <v>302</v>
      </c>
      <c r="G19" s="32" t="s">
        <v>1331</v>
      </c>
      <c r="H19" s="32" t="e">
        <v>#N/A</v>
      </c>
      <c r="I19" s="32">
        <v>2022</v>
      </c>
      <c r="J19" s="32" t="b">
        <v>1</v>
      </c>
    </row>
    <row r="20" spans="1:10" x14ac:dyDescent="0.15">
      <c r="A20" s="32" t="s">
        <v>5595</v>
      </c>
      <c r="B20" s="32" t="s">
        <v>5595</v>
      </c>
      <c r="C20" s="32" t="s">
        <v>4</v>
      </c>
      <c r="D20" s="32" t="s">
        <v>1336</v>
      </c>
      <c r="E20" s="32" t="s">
        <v>1337</v>
      </c>
      <c r="F20" s="32" t="s">
        <v>68</v>
      </c>
      <c r="G20" s="32" t="s">
        <v>1338</v>
      </c>
      <c r="H20" s="32" t="s">
        <v>1339</v>
      </c>
      <c r="I20" s="32">
        <v>2020</v>
      </c>
      <c r="J20" s="32" t="b">
        <v>1</v>
      </c>
    </row>
    <row r="21" spans="1:10" x14ac:dyDescent="0.15">
      <c r="A21" s="32" t="s">
        <v>5596</v>
      </c>
      <c r="B21" s="32" t="s">
        <v>5596</v>
      </c>
      <c r="C21" s="32" t="s">
        <v>1232</v>
      </c>
      <c r="D21" s="32" t="s">
        <v>1343</v>
      </c>
      <c r="E21" s="32" t="s">
        <v>1344</v>
      </c>
      <c r="F21" s="32" t="s">
        <v>849</v>
      </c>
      <c r="G21" s="32" t="s">
        <v>1345</v>
      </c>
      <c r="H21" s="32" t="s">
        <v>1346</v>
      </c>
      <c r="I21" s="32">
        <v>2019</v>
      </c>
      <c r="J21" s="32" t="b">
        <v>1</v>
      </c>
    </row>
    <row r="22" spans="1:10" x14ac:dyDescent="0.15">
      <c r="A22" s="32" t="s">
        <v>5597</v>
      </c>
      <c r="B22" s="32" t="s">
        <v>5597</v>
      </c>
      <c r="C22" s="32" t="s">
        <v>1232</v>
      </c>
      <c r="D22" s="32" t="s">
        <v>1351</v>
      </c>
      <c r="E22" s="32" t="s">
        <v>1352</v>
      </c>
      <c r="F22" s="32" t="s">
        <v>1353</v>
      </c>
      <c r="G22" s="32" t="s">
        <v>1354</v>
      </c>
      <c r="H22" s="32" t="e">
        <v>#N/A</v>
      </c>
      <c r="I22" s="32">
        <v>2019</v>
      </c>
      <c r="J22" s="32" t="b">
        <v>0</v>
      </c>
    </row>
    <row r="23" spans="1:10" x14ac:dyDescent="0.15">
      <c r="A23" s="32" t="s">
        <v>5598</v>
      </c>
      <c r="B23" s="32" t="s">
        <v>5598</v>
      </c>
      <c r="C23" s="32" t="s">
        <v>1232</v>
      </c>
      <c r="D23" s="32" t="s">
        <v>1361</v>
      </c>
      <c r="E23" s="32" t="s">
        <v>1362</v>
      </c>
      <c r="F23" s="32" t="s">
        <v>1363</v>
      </c>
      <c r="G23" s="32" t="s">
        <v>1364</v>
      </c>
      <c r="H23" s="32" t="s">
        <v>1365</v>
      </c>
      <c r="I23" s="32">
        <v>2019</v>
      </c>
      <c r="J23" s="32" t="b">
        <v>0</v>
      </c>
    </row>
    <row r="24" spans="1:10" x14ac:dyDescent="0.15">
      <c r="A24" s="32" t="s">
        <v>5599</v>
      </c>
      <c r="B24" s="32" t="s">
        <v>5599</v>
      </c>
      <c r="C24" s="32" t="s">
        <v>1232</v>
      </c>
      <c r="D24" s="32" t="s">
        <v>1370</v>
      </c>
      <c r="E24" s="32" t="s">
        <v>1371</v>
      </c>
      <c r="F24" s="32" t="s">
        <v>1372</v>
      </c>
      <c r="G24" s="32" t="s">
        <v>1373</v>
      </c>
      <c r="H24" s="32" t="s">
        <v>1374</v>
      </c>
      <c r="I24" s="32">
        <v>2021</v>
      </c>
      <c r="J24" s="32" t="b">
        <v>1</v>
      </c>
    </row>
    <row r="25" spans="1:10" x14ac:dyDescent="0.15">
      <c r="A25" s="32" t="s">
        <v>5600</v>
      </c>
      <c r="B25" s="32" t="s">
        <v>5600</v>
      </c>
      <c r="C25" s="32" t="s">
        <v>1232</v>
      </c>
      <c r="D25" s="32" t="s">
        <v>1379</v>
      </c>
      <c r="E25" s="32" t="s">
        <v>1380</v>
      </c>
      <c r="F25" s="32" t="s">
        <v>422</v>
      </c>
      <c r="G25" s="32" t="s">
        <v>1381</v>
      </c>
      <c r="H25" s="32" t="s">
        <v>1382</v>
      </c>
      <c r="I25" s="32">
        <v>2019</v>
      </c>
      <c r="J25" s="32" t="b">
        <v>1</v>
      </c>
    </row>
    <row r="26" spans="1:10" x14ac:dyDescent="0.15">
      <c r="A26" s="32" t="s">
        <v>5601</v>
      </c>
      <c r="B26" s="32" t="s">
        <v>5601</v>
      </c>
      <c r="C26" s="32" t="s">
        <v>1232</v>
      </c>
      <c r="D26" s="32" t="s">
        <v>1388</v>
      </c>
      <c r="E26" s="32" t="s">
        <v>1389</v>
      </c>
      <c r="F26" s="32" t="s">
        <v>1390</v>
      </c>
      <c r="G26" s="32" t="s">
        <v>1391</v>
      </c>
      <c r="H26" s="32" t="e">
        <v>#N/A</v>
      </c>
      <c r="I26" s="32">
        <v>2021</v>
      </c>
      <c r="J26" s="32" t="b">
        <v>0</v>
      </c>
    </row>
    <row r="27" spans="1:10" x14ac:dyDescent="0.15">
      <c r="A27" s="32" t="s">
        <v>5602</v>
      </c>
      <c r="B27" s="32" t="s">
        <v>5602</v>
      </c>
      <c r="C27" s="32" t="s">
        <v>1222</v>
      </c>
      <c r="D27" s="32" t="s">
        <v>217</v>
      </c>
      <c r="E27" s="32" t="s">
        <v>215</v>
      </c>
      <c r="F27" s="32" t="s">
        <v>216</v>
      </c>
      <c r="G27" s="32" t="s">
        <v>218</v>
      </c>
      <c r="H27" s="32" t="s">
        <v>1397</v>
      </c>
      <c r="I27" s="32">
        <v>2020</v>
      </c>
      <c r="J27" s="32" t="b">
        <v>0</v>
      </c>
    </row>
    <row r="28" spans="1:10" x14ac:dyDescent="0.15">
      <c r="A28" s="32" t="s">
        <v>5603</v>
      </c>
      <c r="B28" s="32" t="s">
        <v>5603</v>
      </c>
      <c r="C28" s="32" t="s">
        <v>1222</v>
      </c>
      <c r="D28" s="32" t="s">
        <v>202</v>
      </c>
      <c r="E28" s="32" t="s">
        <v>201</v>
      </c>
      <c r="F28" s="32" t="s">
        <v>97</v>
      </c>
      <c r="G28" s="32" t="s">
        <v>203</v>
      </c>
      <c r="H28" s="32" t="s">
        <v>1402</v>
      </c>
      <c r="I28" s="32">
        <v>2015</v>
      </c>
      <c r="J28" s="32" t="b">
        <v>1</v>
      </c>
    </row>
    <row r="29" spans="1:10" x14ac:dyDescent="0.15">
      <c r="A29" s="32" t="s">
        <v>5604</v>
      </c>
      <c r="B29" s="32" t="s">
        <v>5604</v>
      </c>
      <c r="C29" s="32" t="s">
        <v>1222</v>
      </c>
      <c r="D29" s="32" t="s">
        <v>229</v>
      </c>
      <c r="E29" s="32" t="s">
        <v>227</v>
      </c>
      <c r="F29" s="32" t="s">
        <v>228</v>
      </c>
      <c r="G29" s="32" t="s">
        <v>230</v>
      </c>
      <c r="H29" s="32" t="s">
        <v>1407</v>
      </c>
      <c r="I29" s="32">
        <v>2015</v>
      </c>
      <c r="J29" s="32" t="b">
        <v>1</v>
      </c>
    </row>
    <row r="30" spans="1:10" x14ac:dyDescent="0.15">
      <c r="A30" s="32" t="s">
        <v>5605</v>
      </c>
      <c r="B30" s="32" t="s">
        <v>5605</v>
      </c>
      <c r="C30" s="32" t="s">
        <v>1222</v>
      </c>
      <c r="D30" s="32" t="s">
        <v>240</v>
      </c>
      <c r="E30" s="32" t="s">
        <v>239</v>
      </c>
      <c r="F30" s="32" t="s">
        <v>68</v>
      </c>
      <c r="G30" s="32" t="s">
        <v>241</v>
      </c>
      <c r="H30" s="32" t="s">
        <v>1411</v>
      </c>
      <c r="I30" s="32">
        <v>2018</v>
      </c>
      <c r="J30" s="32" t="b">
        <v>1</v>
      </c>
    </row>
    <row r="31" spans="1:10" x14ac:dyDescent="0.15">
      <c r="A31" s="32" t="s">
        <v>5606</v>
      </c>
      <c r="B31" s="32" t="s">
        <v>5606</v>
      </c>
      <c r="C31" s="32" t="s">
        <v>1133</v>
      </c>
      <c r="D31" s="32" t="s">
        <v>1415</v>
      </c>
      <c r="E31" s="32" t="s">
        <v>1416</v>
      </c>
      <c r="F31" s="32" t="s">
        <v>68</v>
      </c>
      <c r="G31" s="32" t="s">
        <v>1418</v>
      </c>
      <c r="H31" s="32" t="s">
        <v>1419</v>
      </c>
      <c r="I31" s="32">
        <v>2020</v>
      </c>
      <c r="J31" s="32" t="b">
        <v>1</v>
      </c>
    </row>
    <row r="32" spans="1:10" x14ac:dyDescent="0.15">
      <c r="A32" s="32" t="s">
        <v>5607</v>
      </c>
      <c r="B32" s="32" t="s">
        <v>5607</v>
      </c>
      <c r="C32" s="32" t="s">
        <v>1222</v>
      </c>
      <c r="D32" s="32" t="s">
        <v>255</v>
      </c>
      <c r="E32" s="32" t="s">
        <v>254</v>
      </c>
      <c r="F32" s="32" t="s">
        <v>256</v>
      </c>
      <c r="G32" s="32" t="s">
        <v>257</v>
      </c>
      <c r="H32" s="32" t="s">
        <v>1423</v>
      </c>
      <c r="I32" s="32">
        <v>2016</v>
      </c>
      <c r="J32" s="32" t="b">
        <v>0</v>
      </c>
    </row>
    <row r="33" spans="1:10" x14ac:dyDescent="0.15">
      <c r="A33" s="32" t="s">
        <v>5608</v>
      </c>
      <c r="B33" s="32" t="s">
        <v>5608</v>
      </c>
      <c r="C33" s="32" t="s">
        <v>1232</v>
      </c>
      <c r="D33" s="32" t="s">
        <v>1428</v>
      </c>
      <c r="E33" s="32" t="s">
        <v>1429</v>
      </c>
      <c r="F33" s="32" t="s">
        <v>1430</v>
      </c>
      <c r="G33" s="32" t="s">
        <v>1431</v>
      </c>
      <c r="H33" s="32" t="s">
        <v>1432</v>
      </c>
      <c r="I33" s="32">
        <v>2017</v>
      </c>
      <c r="J33" s="32" t="b">
        <v>1</v>
      </c>
    </row>
    <row r="34" spans="1:10" x14ac:dyDescent="0.15">
      <c r="A34" s="32" t="s">
        <v>5609</v>
      </c>
      <c r="B34" s="32" t="s">
        <v>5609</v>
      </c>
      <c r="C34" s="32" t="s">
        <v>1222</v>
      </c>
      <c r="D34" s="32" t="s">
        <v>268</v>
      </c>
      <c r="E34" s="32" t="s">
        <v>266</v>
      </c>
      <c r="F34" s="32" t="s">
        <v>97</v>
      </c>
      <c r="G34" s="32" t="s">
        <v>267</v>
      </c>
      <c r="H34" s="32" t="s">
        <v>1436</v>
      </c>
      <c r="I34" s="32">
        <v>2019</v>
      </c>
      <c r="J34" s="32" t="b">
        <v>1</v>
      </c>
    </row>
    <row r="35" spans="1:10" x14ac:dyDescent="0.15">
      <c r="A35" s="32" t="s">
        <v>5610</v>
      </c>
      <c r="B35" s="32" t="s">
        <v>5610</v>
      </c>
      <c r="C35" s="32" t="s">
        <v>1222</v>
      </c>
      <c r="D35" s="32" t="s">
        <v>301</v>
      </c>
      <c r="E35" s="32" t="s">
        <v>300</v>
      </c>
      <c r="F35" s="32" t="s">
        <v>302</v>
      </c>
      <c r="G35" s="32" t="s">
        <v>303</v>
      </c>
      <c r="H35" s="32" t="s">
        <v>1440</v>
      </c>
      <c r="I35" s="32">
        <v>2017</v>
      </c>
      <c r="J35" s="32" t="b">
        <v>1</v>
      </c>
    </row>
    <row r="36" spans="1:10" x14ac:dyDescent="0.15">
      <c r="A36" s="32" t="s">
        <v>5611</v>
      </c>
      <c r="B36" s="32" t="s">
        <v>5611</v>
      </c>
      <c r="C36" s="32" t="s">
        <v>1222</v>
      </c>
      <c r="D36" s="32" t="s">
        <v>277</v>
      </c>
      <c r="E36" s="32" t="s">
        <v>276</v>
      </c>
      <c r="F36" s="32" t="s">
        <v>278</v>
      </c>
      <c r="G36" s="32" t="s">
        <v>279</v>
      </c>
      <c r="H36" s="32" t="s">
        <v>1443</v>
      </c>
      <c r="I36" s="32">
        <v>2021</v>
      </c>
      <c r="J36" s="32" t="b">
        <v>1</v>
      </c>
    </row>
    <row r="37" spans="1:10" x14ac:dyDescent="0.15">
      <c r="A37" s="32" t="s">
        <v>5612</v>
      </c>
      <c r="B37" s="32" t="s">
        <v>5612</v>
      </c>
      <c r="C37" s="32" t="s">
        <v>1222</v>
      </c>
      <c r="D37" s="32" t="s">
        <v>286</v>
      </c>
      <c r="E37" s="32" t="s">
        <v>285</v>
      </c>
      <c r="F37" s="32" t="s">
        <v>124</v>
      </c>
      <c r="G37" s="32" t="s">
        <v>287</v>
      </c>
      <c r="H37" s="32" t="s">
        <v>1446</v>
      </c>
      <c r="I37" s="32">
        <v>2019</v>
      </c>
      <c r="J37" s="32" t="b">
        <v>1</v>
      </c>
    </row>
    <row r="38" spans="1:10" x14ac:dyDescent="0.15">
      <c r="A38" s="32" t="s">
        <v>5613</v>
      </c>
      <c r="B38" s="32" t="s">
        <v>5613</v>
      </c>
      <c r="C38" s="32" t="s">
        <v>1133</v>
      </c>
      <c r="D38" s="32" t="s">
        <v>1449</v>
      </c>
      <c r="E38" s="32" t="s">
        <v>1450</v>
      </c>
      <c r="F38" s="32" t="s">
        <v>1451</v>
      </c>
      <c r="G38" s="32" t="s">
        <v>1452</v>
      </c>
      <c r="H38" s="32" t="s">
        <v>1453</v>
      </c>
      <c r="I38" s="32">
        <v>2019</v>
      </c>
      <c r="J38" s="32" t="b">
        <v>0</v>
      </c>
    </row>
    <row r="39" spans="1:10" x14ac:dyDescent="0.15">
      <c r="A39" s="32" t="s">
        <v>5614</v>
      </c>
      <c r="B39" s="32" t="s">
        <v>5614</v>
      </c>
      <c r="C39" s="32" t="s">
        <v>1222</v>
      </c>
      <c r="D39" s="32" t="s">
        <v>314</v>
      </c>
      <c r="E39" s="32" t="s">
        <v>312</v>
      </c>
      <c r="F39" s="32" t="s">
        <v>313</v>
      </c>
      <c r="G39" s="32" t="s">
        <v>315</v>
      </c>
      <c r="H39" s="32" t="s">
        <v>1457</v>
      </c>
      <c r="I39" s="32">
        <v>2020</v>
      </c>
      <c r="J39" s="32" t="b">
        <v>1</v>
      </c>
    </row>
    <row r="40" spans="1:10" x14ac:dyDescent="0.15">
      <c r="A40" s="32" t="s">
        <v>5615</v>
      </c>
      <c r="B40" s="32" t="s">
        <v>5615</v>
      </c>
      <c r="C40" s="32" t="s">
        <v>1222</v>
      </c>
      <c r="D40" s="32" t="s">
        <v>327</v>
      </c>
      <c r="E40" s="32" t="s">
        <v>1145</v>
      </c>
      <c r="F40" s="32" t="s">
        <v>328</v>
      </c>
      <c r="G40" s="32" t="s">
        <v>329</v>
      </c>
      <c r="H40" s="32" t="s">
        <v>1460</v>
      </c>
      <c r="I40" s="32">
        <v>2017</v>
      </c>
      <c r="J40" s="32" t="b">
        <v>1</v>
      </c>
    </row>
    <row r="41" spans="1:10" x14ac:dyDescent="0.15">
      <c r="A41" s="32" t="s">
        <v>5616</v>
      </c>
      <c r="B41" s="32" t="s">
        <v>5616</v>
      </c>
      <c r="C41" s="32" t="s">
        <v>1222</v>
      </c>
      <c r="D41" s="32" t="s">
        <v>348</v>
      </c>
      <c r="E41" s="32" t="s">
        <v>347</v>
      </c>
      <c r="F41" s="32" t="s">
        <v>346</v>
      </c>
      <c r="G41" s="32" t="s">
        <v>345</v>
      </c>
      <c r="H41" s="32" t="s">
        <v>1463</v>
      </c>
      <c r="I41" s="32">
        <v>2022</v>
      </c>
      <c r="J41" s="32" t="b">
        <v>1</v>
      </c>
    </row>
    <row r="42" spans="1:10" x14ac:dyDescent="0.15">
      <c r="A42" s="32" t="s">
        <v>5617</v>
      </c>
      <c r="B42" s="32" t="s">
        <v>5617</v>
      </c>
      <c r="C42" s="32" t="s">
        <v>1222</v>
      </c>
      <c r="D42" s="32" t="s">
        <v>360</v>
      </c>
      <c r="E42" s="32" t="s">
        <v>359</v>
      </c>
      <c r="F42" s="32" t="s">
        <v>68</v>
      </c>
      <c r="G42" s="32" t="s">
        <v>361</v>
      </c>
      <c r="H42" s="32" t="s">
        <v>1468</v>
      </c>
      <c r="I42" s="32">
        <v>2022</v>
      </c>
      <c r="J42" s="32" t="b">
        <v>1</v>
      </c>
    </row>
    <row r="43" spans="1:10" x14ac:dyDescent="0.15">
      <c r="A43" s="32" t="s">
        <v>5618</v>
      </c>
      <c r="B43" s="32" t="s">
        <v>5618</v>
      </c>
      <c r="C43" s="32" t="s">
        <v>4</v>
      </c>
      <c r="D43" s="32" t="s">
        <v>1471</v>
      </c>
      <c r="E43" s="32" t="s">
        <v>1472</v>
      </c>
      <c r="F43" s="32" t="s">
        <v>1322</v>
      </c>
      <c r="G43" s="32" t="s">
        <v>1473</v>
      </c>
      <c r="H43" s="32" t="s">
        <v>1474</v>
      </c>
      <c r="I43" s="32">
        <v>2020</v>
      </c>
      <c r="J43" s="32" t="b">
        <v>1</v>
      </c>
    </row>
    <row r="44" spans="1:10" x14ac:dyDescent="0.15">
      <c r="A44" s="32" t="s">
        <v>5619</v>
      </c>
      <c r="B44" s="32" t="s">
        <v>5619</v>
      </c>
      <c r="C44" s="32" t="s">
        <v>1222</v>
      </c>
      <c r="D44" s="32" t="s">
        <v>626</v>
      </c>
      <c r="E44" s="32" t="s">
        <v>625</v>
      </c>
      <c r="F44" s="32" t="s">
        <v>313</v>
      </c>
      <c r="G44" s="32" t="s">
        <v>628</v>
      </c>
      <c r="H44" s="32" t="s">
        <v>1478</v>
      </c>
      <c r="I44" s="32">
        <v>2022</v>
      </c>
      <c r="J44" s="32" t="b">
        <v>1</v>
      </c>
    </row>
    <row r="45" spans="1:10" x14ac:dyDescent="0.15">
      <c r="A45" s="32" t="s">
        <v>5620</v>
      </c>
      <c r="B45" s="32" t="s">
        <v>5620</v>
      </c>
      <c r="C45" s="32" t="s">
        <v>1232</v>
      </c>
      <c r="D45" s="32" t="s">
        <v>1482</v>
      </c>
      <c r="E45" s="32" t="s">
        <v>1483</v>
      </c>
      <c r="F45" s="32" t="s">
        <v>1484</v>
      </c>
      <c r="G45" s="32" t="s">
        <v>1485</v>
      </c>
      <c r="H45" s="32" t="s">
        <v>1486</v>
      </c>
      <c r="I45" s="32">
        <v>2022</v>
      </c>
      <c r="J45" s="32" t="b">
        <v>1</v>
      </c>
    </row>
    <row r="46" spans="1:10" x14ac:dyDescent="0.15">
      <c r="A46" s="32" t="s">
        <v>5621</v>
      </c>
      <c r="B46" s="32" t="s">
        <v>5621</v>
      </c>
      <c r="C46" s="32" t="s">
        <v>1222</v>
      </c>
      <c r="D46" s="32" t="s">
        <v>370</v>
      </c>
      <c r="E46" s="32" t="s">
        <v>374</v>
      </c>
      <c r="F46" s="32" t="s">
        <v>371</v>
      </c>
      <c r="G46" s="32" t="s">
        <v>372</v>
      </c>
      <c r="H46" s="32" t="s">
        <v>1491</v>
      </c>
      <c r="I46" s="32">
        <v>2020</v>
      </c>
      <c r="J46" s="32" t="b">
        <v>1</v>
      </c>
    </row>
    <row r="47" spans="1:10" x14ac:dyDescent="0.15">
      <c r="A47" s="32" t="s">
        <v>5622</v>
      </c>
      <c r="B47" s="32" t="s">
        <v>5622</v>
      </c>
      <c r="C47" s="32" t="s">
        <v>1222</v>
      </c>
      <c r="D47" s="32" t="s">
        <v>384</v>
      </c>
      <c r="E47" s="32" t="s">
        <v>381</v>
      </c>
      <c r="F47" s="32" t="s">
        <v>89</v>
      </c>
      <c r="G47" s="32" t="s">
        <v>382</v>
      </c>
      <c r="H47" s="32" t="s">
        <v>1494</v>
      </c>
      <c r="I47" s="32">
        <v>2019</v>
      </c>
      <c r="J47" s="32" t="b">
        <v>1</v>
      </c>
    </row>
    <row r="48" spans="1:10" x14ac:dyDescent="0.15">
      <c r="A48" s="32" t="s">
        <v>5623</v>
      </c>
      <c r="B48" s="32" t="s">
        <v>5623</v>
      </c>
      <c r="C48" s="32" t="s">
        <v>1232</v>
      </c>
      <c r="D48" s="32" t="s">
        <v>1497</v>
      </c>
      <c r="E48" s="32" t="s">
        <v>1498</v>
      </c>
      <c r="F48" s="32" t="s">
        <v>553</v>
      </c>
      <c r="G48" s="32" t="s">
        <v>1499</v>
      </c>
      <c r="H48" s="32" t="e">
        <v>#N/A</v>
      </c>
      <c r="I48" s="32">
        <v>2021</v>
      </c>
      <c r="J48" s="32" t="b">
        <v>1</v>
      </c>
    </row>
    <row r="49" spans="1:10" x14ac:dyDescent="0.15">
      <c r="A49" s="32" t="s">
        <v>5624</v>
      </c>
      <c r="B49" s="32" t="s">
        <v>5624</v>
      </c>
      <c r="C49" s="32" t="s">
        <v>1232</v>
      </c>
      <c r="D49" s="32" t="s">
        <v>1505</v>
      </c>
      <c r="E49" s="32" t="s">
        <v>1506</v>
      </c>
      <c r="F49" s="32" t="s">
        <v>1507</v>
      </c>
      <c r="G49" s="32" t="s">
        <v>1508</v>
      </c>
      <c r="H49" s="32" t="s">
        <v>1509</v>
      </c>
      <c r="I49" s="32">
        <v>2020</v>
      </c>
      <c r="J49" s="32" t="b">
        <v>1</v>
      </c>
    </row>
    <row r="50" spans="1:10" x14ac:dyDescent="0.15">
      <c r="A50" s="32" t="s">
        <v>5625</v>
      </c>
      <c r="B50" s="32" t="s">
        <v>5625</v>
      </c>
      <c r="C50" s="32" t="s">
        <v>1222</v>
      </c>
      <c r="D50" s="32" t="s">
        <v>396</v>
      </c>
      <c r="E50" s="32" t="s">
        <v>394</v>
      </c>
      <c r="F50" s="32" t="s">
        <v>68</v>
      </c>
      <c r="G50" s="32" t="s">
        <v>397</v>
      </c>
      <c r="H50" s="32" t="s">
        <v>1514</v>
      </c>
      <c r="I50" s="32">
        <v>2020</v>
      </c>
      <c r="J50" s="32" t="b">
        <v>1</v>
      </c>
    </row>
    <row r="51" spans="1:10" x14ac:dyDescent="0.15">
      <c r="A51" s="32" t="s">
        <v>5626</v>
      </c>
      <c r="B51" s="32" t="s">
        <v>5626</v>
      </c>
      <c r="C51" s="32" t="s">
        <v>1222</v>
      </c>
      <c r="D51" s="32" t="s">
        <v>407</v>
      </c>
      <c r="E51" s="32" t="s">
        <v>408</v>
      </c>
      <c r="F51" s="32" t="s">
        <v>73</v>
      </c>
      <c r="G51" s="32" t="s">
        <v>406</v>
      </c>
      <c r="H51" s="32" t="s">
        <v>1518</v>
      </c>
      <c r="I51" s="32">
        <v>2021</v>
      </c>
      <c r="J51" s="32" t="b">
        <v>1</v>
      </c>
    </row>
    <row r="52" spans="1:10" x14ac:dyDescent="0.15">
      <c r="A52" s="32" t="s">
        <v>5627</v>
      </c>
      <c r="B52" s="32" t="s">
        <v>5627</v>
      </c>
      <c r="C52" s="32" t="s">
        <v>1232</v>
      </c>
      <c r="D52" s="32" t="s">
        <v>396</v>
      </c>
      <c r="E52" s="32" t="s">
        <v>1521</v>
      </c>
      <c r="F52" s="32" t="s">
        <v>68</v>
      </c>
      <c r="G52" s="32" t="s">
        <v>1522</v>
      </c>
      <c r="H52" s="32" t="s">
        <v>1523</v>
      </c>
      <c r="I52" s="32">
        <v>2021</v>
      </c>
      <c r="J52" s="32" t="b">
        <v>1</v>
      </c>
    </row>
    <row r="53" spans="1:10" x14ac:dyDescent="0.15">
      <c r="A53" s="32" t="s">
        <v>5628</v>
      </c>
      <c r="B53" s="32" t="s">
        <v>5628</v>
      </c>
      <c r="C53" s="32" t="s">
        <v>1232</v>
      </c>
      <c r="D53" s="32" t="s">
        <v>1528</v>
      </c>
      <c r="E53" s="32" t="s">
        <v>1529</v>
      </c>
      <c r="F53" s="32" t="s">
        <v>1530</v>
      </c>
      <c r="G53" s="32" t="s">
        <v>1531</v>
      </c>
      <c r="H53" s="32" t="s">
        <v>1532</v>
      </c>
      <c r="I53" s="32">
        <v>2021</v>
      </c>
      <c r="J53" s="32" t="b">
        <v>1</v>
      </c>
    </row>
    <row r="54" spans="1:10" x14ac:dyDescent="0.15">
      <c r="A54" s="32" t="s">
        <v>5629</v>
      </c>
      <c r="B54" s="32" t="s">
        <v>5629</v>
      </c>
      <c r="C54" s="32" t="s">
        <v>1222</v>
      </c>
      <c r="D54" s="32" t="s">
        <v>421</v>
      </c>
      <c r="E54" s="32" t="s">
        <v>420</v>
      </c>
      <c r="F54" s="32" t="s">
        <v>422</v>
      </c>
      <c r="G54" s="32" t="s">
        <v>423</v>
      </c>
      <c r="H54" s="32" t="s">
        <v>1535</v>
      </c>
      <c r="I54" s="32">
        <v>2017</v>
      </c>
      <c r="J54" s="32" t="b">
        <v>1</v>
      </c>
    </row>
    <row r="55" spans="1:10" x14ac:dyDescent="0.15">
      <c r="A55" s="32" t="s">
        <v>5630</v>
      </c>
      <c r="B55" s="32" t="s">
        <v>5630</v>
      </c>
      <c r="C55" s="32" t="s">
        <v>1232</v>
      </c>
      <c r="D55" s="32" t="s">
        <v>1539</v>
      </c>
      <c r="E55" s="32" t="s">
        <v>1540</v>
      </c>
      <c r="F55" s="32" t="s">
        <v>114</v>
      </c>
      <c r="G55" s="32" t="s">
        <v>1541</v>
      </c>
      <c r="H55" s="32" t="s">
        <v>1542</v>
      </c>
      <c r="I55" s="32">
        <v>2021</v>
      </c>
      <c r="J55" s="32" t="b">
        <v>1</v>
      </c>
    </row>
    <row r="56" spans="1:10" x14ac:dyDescent="0.15">
      <c r="A56" s="32" t="s">
        <v>5631</v>
      </c>
      <c r="B56" s="32" t="s">
        <v>5631</v>
      </c>
      <c r="C56" s="32" t="s">
        <v>1232</v>
      </c>
      <c r="D56" s="32" t="s">
        <v>1547</v>
      </c>
      <c r="E56" s="32" t="s">
        <v>1548</v>
      </c>
      <c r="F56" s="32" t="s">
        <v>1549</v>
      </c>
      <c r="G56" s="32" t="s">
        <v>1550</v>
      </c>
      <c r="H56" s="32" t="e">
        <v>#N/A</v>
      </c>
      <c r="I56" s="32">
        <v>2021</v>
      </c>
      <c r="J56" s="32" t="b">
        <v>0</v>
      </c>
    </row>
    <row r="57" spans="1:10" x14ac:dyDescent="0.15">
      <c r="A57" s="32" t="s">
        <v>5632</v>
      </c>
      <c r="B57" s="32" t="s">
        <v>5632</v>
      </c>
      <c r="C57" s="32" t="s">
        <v>1133</v>
      </c>
      <c r="D57" s="32" t="s">
        <v>446</v>
      </c>
      <c r="E57" s="32" t="s">
        <v>444</v>
      </c>
      <c r="F57" s="32" t="s">
        <v>68</v>
      </c>
      <c r="G57" s="32" t="s">
        <v>447</v>
      </c>
      <c r="H57" s="32" t="s">
        <v>1556</v>
      </c>
      <c r="I57" s="32">
        <v>2022</v>
      </c>
      <c r="J57" s="32" t="b">
        <v>1</v>
      </c>
    </row>
    <row r="58" spans="1:10" x14ac:dyDescent="0.15">
      <c r="A58" s="32" t="s">
        <v>5633</v>
      </c>
      <c r="B58" s="32" t="s">
        <v>5633</v>
      </c>
      <c r="C58" s="32" t="s">
        <v>1232</v>
      </c>
      <c r="D58" s="32" t="s">
        <v>1560</v>
      </c>
      <c r="E58" s="32" t="s">
        <v>1561</v>
      </c>
      <c r="F58" s="32" t="s">
        <v>1562</v>
      </c>
      <c r="G58" s="32" t="s">
        <v>1563</v>
      </c>
      <c r="H58" s="32" t="e">
        <v>#N/A</v>
      </c>
      <c r="I58" s="32">
        <v>2014</v>
      </c>
      <c r="J58" s="32" t="b">
        <v>1</v>
      </c>
    </row>
    <row r="59" spans="1:10" x14ac:dyDescent="0.15">
      <c r="A59" s="32" t="s">
        <v>5634</v>
      </c>
      <c r="B59" s="32" t="s">
        <v>5634</v>
      </c>
      <c r="C59" s="32" t="s">
        <v>1222</v>
      </c>
      <c r="D59" s="32" t="s">
        <v>457</v>
      </c>
      <c r="E59" s="32" t="s">
        <v>456</v>
      </c>
      <c r="F59" s="32" t="s">
        <v>422</v>
      </c>
      <c r="G59" s="32" t="s">
        <v>458</v>
      </c>
      <c r="H59" s="32" t="e">
        <v>#N/A</v>
      </c>
      <c r="I59" s="32">
        <v>2019</v>
      </c>
      <c r="J59" s="32" t="b">
        <v>1</v>
      </c>
    </row>
    <row r="60" spans="1:10" x14ac:dyDescent="0.15">
      <c r="A60" s="32" t="s">
        <v>5635</v>
      </c>
      <c r="B60" s="32" t="s">
        <v>5635</v>
      </c>
      <c r="C60" s="32" t="s">
        <v>1222</v>
      </c>
      <c r="D60" s="32" t="s">
        <v>468</v>
      </c>
      <c r="E60" s="32" t="s">
        <v>467</v>
      </c>
      <c r="F60" s="32" t="s">
        <v>114</v>
      </c>
      <c r="G60" s="32" t="s">
        <v>469</v>
      </c>
      <c r="H60" s="32" t="s">
        <v>1570</v>
      </c>
      <c r="I60" s="32">
        <v>2019</v>
      </c>
      <c r="J60" s="32" t="b">
        <v>1</v>
      </c>
    </row>
    <row r="61" spans="1:10" x14ac:dyDescent="0.15">
      <c r="A61" s="32" t="s">
        <v>5636</v>
      </c>
      <c r="B61" s="32" t="s">
        <v>5636</v>
      </c>
      <c r="C61" s="32" t="s">
        <v>1232</v>
      </c>
      <c r="D61" s="32" t="s">
        <v>1574</v>
      </c>
      <c r="E61" s="32" t="s">
        <v>1575</v>
      </c>
      <c r="F61" s="32" t="s">
        <v>422</v>
      </c>
      <c r="G61" s="32" t="s">
        <v>1576</v>
      </c>
      <c r="H61" s="32" t="s">
        <v>1577</v>
      </c>
      <c r="I61" s="32">
        <v>2021</v>
      </c>
      <c r="J61" s="32" t="b">
        <v>1</v>
      </c>
    </row>
    <row r="62" spans="1:10" x14ac:dyDescent="0.15">
      <c r="A62" s="32" t="s">
        <v>5637</v>
      </c>
      <c r="B62" s="32" t="s">
        <v>5637</v>
      </c>
      <c r="C62" s="32" t="s">
        <v>1222</v>
      </c>
      <c r="D62" s="32" t="s">
        <v>481</v>
      </c>
      <c r="E62" s="32" t="s">
        <v>478</v>
      </c>
      <c r="F62" s="32" t="s">
        <v>480</v>
      </c>
      <c r="G62" s="32" t="s">
        <v>482</v>
      </c>
      <c r="H62" s="32" t="s">
        <v>1581</v>
      </c>
      <c r="I62" s="32">
        <v>2017</v>
      </c>
      <c r="J62" s="32" t="b">
        <v>0</v>
      </c>
    </row>
    <row r="63" spans="1:10" x14ac:dyDescent="0.15">
      <c r="A63" s="32" t="s">
        <v>5638</v>
      </c>
      <c r="B63" s="32" t="s">
        <v>5638</v>
      </c>
      <c r="C63" s="32" t="s">
        <v>1133</v>
      </c>
      <c r="D63" s="32" t="s">
        <v>1584</v>
      </c>
      <c r="E63" s="32" t="s">
        <v>1585</v>
      </c>
      <c r="F63" s="32" t="s">
        <v>1586</v>
      </c>
      <c r="G63" s="32" t="s">
        <v>1587</v>
      </c>
      <c r="H63" s="32" t="e">
        <v>#N/A</v>
      </c>
      <c r="I63" s="32">
        <v>2021</v>
      </c>
      <c r="J63" s="32" t="b">
        <v>1</v>
      </c>
    </row>
    <row r="64" spans="1:10" x14ac:dyDescent="0.15">
      <c r="A64" s="32" t="s">
        <v>5639</v>
      </c>
      <c r="B64" s="32" t="s">
        <v>5639</v>
      </c>
      <c r="C64" s="32" t="s">
        <v>1232</v>
      </c>
      <c r="D64" s="32" t="s">
        <v>1592</v>
      </c>
      <c r="E64" s="32" t="s">
        <v>1593</v>
      </c>
      <c r="F64" s="32" t="s">
        <v>1594</v>
      </c>
      <c r="G64" s="32" t="s">
        <v>1595</v>
      </c>
      <c r="H64" s="32" t="e">
        <v>#N/A</v>
      </c>
      <c r="I64" s="32">
        <v>2013</v>
      </c>
      <c r="J64" s="32" t="b">
        <v>0</v>
      </c>
    </row>
    <row r="65" spans="1:10" x14ac:dyDescent="0.15">
      <c r="A65" s="32" t="s">
        <v>5640</v>
      </c>
      <c r="B65" s="32" t="s">
        <v>5640</v>
      </c>
      <c r="C65" s="32" t="s">
        <v>1133</v>
      </c>
      <c r="D65" s="32" t="s">
        <v>494</v>
      </c>
      <c r="E65" s="32" t="s">
        <v>493</v>
      </c>
      <c r="F65" s="32" t="s">
        <v>124</v>
      </c>
      <c r="G65" s="32" t="s">
        <v>495</v>
      </c>
      <c r="H65" s="32" t="s">
        <v>1600</v>
      </c>
      <c r="I65" s="32">
        <v>2022</v>
      </c>
      <c r="J65" s="32" t="b">
        <v>1</v>
      </c>
    </row>
    <row r="66" spans="1:10" x14ac:dyDescent="0.15">
      <c r="A66" s="32" t="s">
        <v>5641</v>
      </c>
      <c r="B66" s="32" t="s">
        <v>5641</v>
      </c>
      <c r="C66" s="32" t="s">
        <v>1232</v>
      </c>
      <c r="D66" s="32" t="s">
        <v>1604</v>
      </c>
      <c r="E66" s="32" t="s">
        <v>1605</v>
      </c>
      <c r="F66" s="32" t="s">
        <v>124</v>
      </c>
      <c r="G66" s="32" t="s">
        <v>1606</v>
      </c>
      <c r="H66" s="32" t="e">
        <v>#N/A</v>
      </c>
      <c r="I66" s="32">
        <v>2014</v>
      </c>
      <c r="J66" s="32" t="b">
        <v>1</v>
      </c>
    </row>
    <row r="67" spans="1:10" x14ac:dyDescent="0.15">
      <c r="A67" s="32" t="s">
        <v>5642</v>
      </c>
      <c r="B67" s="32" t="s">
        <v>5642</v>
      </c>
      <c r="C67" s="32" t="s">
        <v>1232</v>
      </c>
      <c r="D67" s="32" t="s">
        <v>1610</v>
      </c>
      <c r="E67" s="32" t="s">
        <v>1611</v>
      </c>
      <c r="F67" s="32" t="s">
        <v>422</v>
      </c>
      <c r="G67" s="32" t="s">
        <v>1612</v>
      </c>
      <c r="H67" s="32" t="s">
        <v>1613</v>
      </c>
      <c r="I67" s="32">
        <v>2020</v>
      </c>
      <c r="J67" s="32" t="b">
        <v>1</v>
      </c>
    </row>
    <row r="68" spans="1:10" x14ac:dyDescent="0.15">
      <c r="A68" s="32" t="s">
        <v>5643</v>
      </c>
      <c r="B68" s="32" t="s">
        <v>5643</v>
      </c>
      <c r="C68" s="32" t="s">
        <v>4</v>
      </c>
      <c r="D68" s="32" t="s">
        <v>1617</v>
      </c>
      <c r="E68" s="32" t="s">
        <v>1618</v>
      </c>
      <c r="F68" s="32" t="s">
        <v>278</v>
      </c>
      <c r="G68" s="32" t="s">
        <v>1619</v>
      </c>
      <c r="H68" s="32" t="s">
        <v>1620</v>
      </c>
      <c r="I68" s="32">
        <v>2018</v>
      </c>
      <c r="J68" s="32" t="b">
        <v>1</v>
      </c>
    </row>
    <row r="69" spans="1:10" x14ac:dyDescent="0.15">
      <c r="A69" s="32" t="s">
        <v>5644</v>
      </c>
      <c r="B69" s="32" t="s">
        <v>5644</v>
      </c>
      <c r="C69" s="32" t="s">
        <v>1232</v>
      </c>
      <c r="D69" s="32" t="s">
        <v>1624</v>
      </c>
      <c r="E69" s="32" t="s">
        <v>1625</v>
      </c>
      <c r="F69" s="32" t="s">
        <v>97</v>
      </c>
      <c r="G69" s="32" t="s">
        <v>1626</v>
      </c>
      <c r="H69" s="32" t="s">
        <v>1627</v>
      </c>
      <c r="I69" s="32">
        <v>2022</v>
      </c>
      <c r="J69" s="32" t="b">
        <v>1</v>
      </c>
    </row>
    <row r="70" spans="1:10" x14ac:dyDescent="0.15">
      <c r="A70" s="32" t="s">
        <v>5645</v>
      </c>
      <c r="B70" s="32" t="s">
        <v>5645</v>
      </c>
      <c r="C70" s="32" t="s">
        <v>4</v>
      </c>
      <c r="D70" s="32" t="s">
        <v>1632</v>
      </c>
      <c r="E70" s="32" t="s">
        <v>1633</v>
      </c>
      <c r="F70" s="32" t="s">
        <v>1634</v>
      </c>
      <c r="G70" s="32" t="s">
        <v>1635</v>
      </c>
      <c r="H70" s="32" t="s">
        <v>1636</v>
      </c>
      <c r="I70" s="32">
        <v>2021</v>
      </c>
      <c r="J70" s="32" t="b">
        <v>1</v>
      </c>
    </row>
    <row r="71" spans="1:10" x14ac:dyDescent="0.15">
      <c r="A71" s="32" t="s">
        <v>5646</v>
      </c>
      <c r="B71" s="32" t="s">
        <v>5646</v>
      </c>
      <c r="C71" s="32" t="s">
        <v>4</v>
      </c>
      <c r="D71" s="32" t="s">
        <v>544</v>
      </c>
      <c r="E71" s="32" t="s">
        <v>1640</v>
      </c>
      <c r="F71" s="32" t="s">
        <v>1322</v>
      </c>
      <c r="G71" s="32" t="s">
        <v>1641</v>
      </c>
      <c r="H71" s="32" t="s">
        <v>1642</v>
      </c>
      <c r="I71" s="32">
        <v>2020</v>
      </c>
      <c r="J71" s="32" t="b">
        <v>1</v>
      </c>
    </row>
    <row r="72" spans="1:10" x14ac:dyDescent="0.15">
      <c r="A72" s="32" t="s">
        <v>5647</v>
      </c>
      <c r="B72" s="32" t="s">
        <v>5647</v>
      </c>
      <c r="C72" s="32" t="s">
        <v>1133</v>
      </c>
      <c r="D72" s="32" t="s">
        <v>503</v>
      </c>
      <c r="E72" s="32" t="s">
        <v>501</v>
      </c>
      <c r="F72" s="32" t="s">
        <v>502</v>
      </c>
      <c r="G72" s="32" t="s">
        <v>505</v>
      </c>
      <c r="H72" s="32" t="s">
        <v>1646</v>
      </c>
      <c r="I72" s="32">
        <v>2022</v>
      </c>
      <c r="J72" s="32" t="b">
        <v>1</v>
      </c>
    </row>
    <row r="73" spans="1:10" x14ac:dyDescent="0.15">
      <c r="A73" s="32" t="s">
        <v>5648</v>
      </c>
      <c r="B73" s="32" t="s">
        <v>5648</v>
      </c>
      <c r="C73" s="32" t="s">
        <v>1232</v>
      </c>
      <c r="D73" s="32" t="s">
        <v>1651</v>
      </c>
      <c r="E73" s="32" t="s">
        <v>1652</v>
      </c>
      <c r="F73" s="32" t="s">
        <v>278</v>
      </c>
      <c r="G73" s="32" t="s">
        <v>1653</v>
      </c>
      <c r="H73" s="32" t="s">
        <v>1654</v>
      </c>
      <c r="I73" s="32">
        <v>2021</v>
      </c>
      <c r="J73" s="32" t="b">
        <v>1</v>
      </c>
    </row>
    <row r="74" spans="1:10" x14ac:dyDescent="0.15">
      <c r="A74" s="32" t="s">
        <v>5649</v>
      </c>
      <c r="B74" s="32" t="s">
        <v>5649</v>
      </c>
      <c r="C74" s="32" t="s">
        <v>1232</v>
      </c>
      <c r="D74" s="32" t="s">
        <v>1660</v>
      </c>
      <c r="E74" s="32" t="s">
        <v>1661</v>
      </c>
      <c r="F74" s="32" t="s">
        <v>1562</v>
      </c>
      <c r="G74" s="32" t="s">
        <v>1662</v>
      </c>
      <c r="H74" s="32" t="e">
        <v>#N/A</v>
      </c>
      <c r="I74" s="32">
        <v>2011</v>
      </c>
      <c r="J74" s="32" t="b">
        <v>1</v>
      </c>
    </row>
    <row r="75" spans="1:10" x14ac:dyDescent="0.15">
      <c r="A75" s="32" t="s">
        <v>5650</v>
      </c>
      <c r="B75" s="32" t="s">
        <v>5650</v>
      </c>
      <c r="C75" s="32" t="s">
        <v>1232</v>
      </c>
      <c r="D75" s="32" t="s">
        <v>1667</v>
      </c>
      <c r="E75" s="32" t="s">
        <v>1668</v>
      </c>
      <c r="F75" s="32" t="s">
        <v>1669</v>
      </c>
      <c r="G75" s="32" t="s">
        <v>1670</v>
      </c>
      <c r="H75" s="32" t="s">
        <v>1259</v>
      </c>
      <c r="I75" s="32">
        <v>2022</v>
      </c>
      <c r="J75" s="32" t="b">
        <v>1</v>
      </c>
    </row>
    <row r="76" spans="1:10" x14ac:dyDescent="0.15">
      <c r="A76" s="32" t="s">
        <v>5651</v>
      </c>
      <c r="B76" s="32" t="s">
        <v>5651</v>
      </c>
      <c r="C76" s="32" t="s">
        <v>1133</v>
      </c>
      <c r="D76" s="32" t="s">
        <v>1674</v>
      </c>
      <c r="E76" s="32" t="s">
        <v>1675</v>
      </c>
      <c r="F76" s="32" t="s">
        <v>1451</v>
      </c>
      <c r="G76" s="32" t="s">
        <v>1676</v>
      </c>
      <c r="H76" s="32" t="e">
        <v>#N/A</v>
      </c>
      <c r="I76" s="32">
        <v>2021</v>
      </c>
      <c r="J76" s="32" t="b">
        <v>0</v>
      </c>
    </row>
    <row r="77" spans="1:10" x14ac:dyDescent="0.15">
      <c r="A77" s="32" t="s">
        <v>5652</v>
      </c>
      <c r="B77" s="32" t="s">
        <v>5652</v>
      </c>
      <c r="C77" s="32" t="s">
        <v>1222</v>
      </c>
      <c r="D77" s="32" t="s">
        <v>516</v>
      </c>
      <c r="E77" s="32" t="s">
        <v>514</v>
      </c>
      <c r="F77" s="32" t="s">
        <v>515</v>
      </c>
      <c r="G77" s="32" t="s">
        <v>518</v>
      </c>
      <c r="H77" s="32" t="s">
        <v>1681</v>
      </c>
      <c r="I77" s="32">
        <v>2014</v>
      </c>
      <c r="J77" s="32" t="b">
        <v>0</v>
      </c>
    </row>
    <row r="78" spans="1:10" x14ac:dyDescent="0.15">
      <c r="A78" s="32" t="s">
        <v>5653</v>
      </c>
      <c r="B78" s="32" t="s">
        <v>5653</v>
      </c>
      <c r="C78" s="32" t="s">
        <v>1683</v>
      </c>
      <c r="D78" s="32" t="s">
        <v>1685</v>
      </c>
      <c r="E78" s="32" t="s">
        <v>1686</v>
      </c>
      <c r="F78" s="32" t="s">
        <v>1687</v>
      </c>
      <c r="G78" s="32" t="s">
        <v>1689</v>
      </c>
      <c r="H78" s="32" t="s">
        <v>1690</v>
      </c>
      <c r="I78" s="32" t="e">
        <v>#N/A</v>
      </c>
      <c r="J78" s="32" t="b">
        <v>0</v>
      </c>
    </row>
    <row r="79" spans="1:10" x14ac:dyDescent="0.15">
      <c r="A79" s="32" t="s">
        <v>5654</v>
      </c>
      <c r="B79" s="32" t="s">
        <v>5654</v>
      </c>
      <c r="C79" s="32" t="s">
        <v>1232</v>
      </c>
      <c r="D79" s="32" t="s">
        <v>1696</v>
      </c>
      <c r="E79" s="32" t="s">
        <v>1697</v>
      </c>
      <c r="F79" s="32" t="s">
        <v>1698</v>
      </c>
      <c r="G79" s="32" t="s">
        <v>1699</v>
      </c>
      <c r="H79" s="32" t="s">
        <v>1700</v>
      </c>
      <c r="I79" s="32">
        <v>2022</v>
      </c>
      <c r="J79" s="32" t="b">
        <v>1</v>
      </c>
    </row>
    <row r="80" spans="1:10" x14ac:dyDescent="0.15">
      <c r="A80" s="32" t="s">
        <v>5655</v>
      </c>
      <c r="B80" s="32" t="s">
        <v>5655</v>
      </c>
      <c r="C80" s="32" t="s">
        <v>1232</v>
      </c>
      <c r="D80" s="32" t="s">
        <v>1705</v>
      </c>
      <c r="E80" s="32" t="s">
        <v>1706</v>
      </c>
      <c r="F80" s="32" t="s">
        <v>422</v>
      </c>
      <c r="G80" s="32" t="s">
        <v>1707</v>
      </c>
      <c r="H80" s="32" t="s">
        <v>1708</v>
      </c>
      <c r="I80" s="32">
        <v>2020</v>
      </c>
      <c r="J80" s="32" t="b">
        <v>1</v>
      </c>
    </row>
    <row r="81" spans="1:10" x14ac:dyDescent="0.15">
      <c r="A81" s="32" t="s">
        <v>5656</v>
      </c>
      <c r="B81" s="32" t="s">
        <v>5656</v>
      </c>
      <c r="C81" s="32" t="s">
        <v>1232</v>
      </c>
      <c r="D81" s="32" t="s">
        <v>1713</v>
      </c>
      <c r="E81" s="32" t="s">
        <v>1714</v>
      </c>
      <c r="F81" s="32" t="s">
        <v>1698</v>
      </c>
      <c r="G81" s="32" t="s">
        <v>1715</v>
      </c>
      <c r="H81" s="32" t="s">
        <v>1716</v>
      </c>
      <c r="I81" s="32">
        <v>2022</v>
      </c>
      <c r="J81" s="32" t="b">
        <v>0</v>
      </c>
    </row>
    <row r="82" spans="1:10" x14ac:dyDescent="0.15">
      <c r="A82" s="32" t="s">
        <v>5657</v>
      </c>
      <c r="B82" s="32" t="s">
        <v>5657</v>
      </c>
      <c r="C82" s="32" t="s">
        <v>1232</v>
      </c>
      <c r="D82" s="32" t="s">
        <v>1720</v>
      </c>
      <c r="E82" s="32" t="s">
        <v>1721</v>
      </c>
      <c r="F82" s="32" t="s">
        <v>1722</v>
      </c>
      <c r="G82" s="32" t="s">
        <v>1723</v>
      </c>
      <c r="H82" s="32" t="s">
        <v>1724</v>
      </c>
      <c r="I82" s="32">
        <v>2021</v>
      </c>
      <c r="J82" s="32" t="b">
        <v>0</v>
      </c>
    </row>
    <row r="83" spans="1:10" x14ac:dyDescent="0.15">
      <c r="A83" s="32" t="s">
        <v>5658</v>
      </c>
      <c r="B83" s="32" t="s">
        <v>5658</v>
      </c>
      <c r="C83" s="32" t="s">
        <v>1222</v>
      </c>
      <c r="D83" s="32" t="s">
        <v>531</v>
      </c>
      <c r="E83" s="32" t="s">
        <v>529</v>
      </c>
      <c r="F83" s="32" t="s">
        <v>530</v>
      </c>
      <c r="G83" s="32" t="s">
        <v>533</v>
      </c>
      <c r="H83" s="32" t="e">
        <v>#N/A</v>
      </c>
      <c r="I83" s="32">
        <v>2020</v>
      </c>
      <c r="J83" s="32" t="b">
        <v>0</v>
      </c>
    </row>
    <row r="84" spans="1:10" x14ac:dyDescent="0.15">
      <c r="A84" s="32" t="s">
        <v>5659</v>
      </c>
      <c r="B84" s="32" t="s">
        <v>5659</v>
      </c>
      <c r="C84" s="32" t="s">
        <v>4</v>
      </c>
      <c r="D84" s="32" t="s">
        <v>1732</v>
      </c>
      <c r="E84" s="32" t="s">
        <v>1733</v>
      </c>
      <c r="F84" s="32" t="s">
        <v>1734</v>
      </c>
      <c r="G84" s="32" t="s">
        <v>1735</v>
      </c>
      <c r="H84" s="32" t="s">
        <v>1736</v>
      </c>
      <c r="I84" s="32">
        <v>2022</v>
      </c>
      <c r="J84" s="32" t="b">
        <v>1</v>
      </c>
    </row>
    <row r="85" spans="1:10" x14ac:dyDescent="0.15">
      <c r="A85" s="32" t="s">
        <v>5660</v>
      </c>
      <c r="B85" s="32" t="s">
        <v>5660</v>
      </c>
      <c r="C85" s="32" t="s">
        <v>1232</v>
      </c>
      <c r="D85" s="32" t="s">
        <v>1741</v>
      </c>
      <c r="E85" s="32" t="s">
        <v>1742</v>
      </c>
      <c r="F85" s="32" t="s">
        <v>1743</v>
      </c>
      <c r="G85" s="32" t="s">
        <v>1744</v>
      </c>
      <c r="H85" s="32" t="s">
        <v>1259</v>
      </c>
      <c r="I85" s="32">
        <v>2020</v>
      </c>
      <c r="J85" s="32" t="b">
        <v>1</v>
      </c>
    </row>
    <row r="86" spans="1:10" x14ac:dyDescent="0.15">
      <c r="A86" s="32" t="s">
        <v>5661</v>
      </c>
      <c r="B86" s="32" t="s">
        <v>5661</v>
      </c>
      <c r="C86" s="32" t="s">
        <v>1222</v>
      </c>
      <c r="D86" s="32" t="s">
        <v>544</v>
      </c>
      <c r="E86" s="32" t="s">
        <v>543</v>
      </c>
      <c r="F86" s="32" t="s">
        <v>68</v>
      </c>
      <c r="G86" s="32" t="s">
        <v>546</v>
      </c>
      <c r="H86" s="32" t="s">
        <v>1749</v>
      </c>
      <c r="I86" s="32">
        <v>2018</v>
      </c>
      <c r="J86" s="32" t="b">
        <v>1</v>
      </c>
    </row>
    <row r="87" spans="1:10" x14ac:dyDescent="0.15">
      <c r="A87" s="32" t="s">
        <v>5662</v>
      </c>
      <c r="B87" s="32" t="s">
        <v>5662</v>
      </c>
      <c r="C87" s="32" t="s">
        <v>1232</v>
      </c>
      <c r="D87" s="32" t="s">
        <v>1753</v>
      </c>
      <c r="E87" s="32" t="s">
        <v>1754</v>
      </c>
      <c r="F87" s="32" t="s">
        <v>1755</v>
      </c>
      <c r="G87" s="32" t="s">
        <v>1756</v>
      </c>
      <c r="H87" s="32" t="s">
        <v>1757</v>
      </c>
      <c r="I87" s="32" t="e">
        <v>#N/A</v>
      </c>
      <c r="J87" s="32" t="b">
        <v>1</v>
      </c>
    </row>
    <row r="88" spans="1:10" x14ac:dyDescent="0.15">
      <c r="A88" s="32" t="s">
        <v>5663</v>
      </c>
      <c r="B88" s="32" t="s">
        <v>5663</v>
      </c>
      <c r="C88" s="32" t="s">
        <v>1133</v>
      </c>
      <c r="D88" s="32" t="s">
        <v>1761</v>
      </c>
      <c r="E88" s="32" t="s">
        <v>1762</v>
      </c>
      <c r="F88" s="32" t="s">
        <v>1451</v>
      </c>
      <c r="G88" s="32" t="s">
        <v>1763</v>
      </c>
      <c r="H88" s="32" t="s">
        <v>1764</v>
      </c>
      <c r="I88" s="32">
        <v>2014</v>
      </c>
      <c r="J88" s="32" t="b">
        <v>0</v>
      </c>
    </row>
    <row r="89" spans="1:10" x14ac:dyDescent="0.15">
      <c r="A89" s="32" t="s">
        <v>5664</v>
      </c>
      <c r="B89" s="32" t="s">
        <v>5664</v>
      </c>
      <c r="C89" s="32" t="s">
        <v>4</v>
      </c>
      <c r="D89" s="32" t="s">
        <v>1769</v>
      </c>
      <c r="E89" s="32" t="s">
        <v>1770</v>
      </c>
      <c r="F89" s="32" t="s">
        <v>1771</v>
      </c>
      <c r="G89" s="32" t="s">
        <v>1772</v>
      </c>
      <c r="H89" s="32" t="s">
        <v>1773</v>
      </c>
      <c r="I89" s="32">
        <v>2021</v>
      </c>
      <c r="J89" s="32" t="b">
        <v>1</v>
      </c>
    </row>
    <row r="90" spans="1:10" x14ac:dyDescent="0.15">
      <c r="A90" s="32" t="s">
        <v>5665</v>
      </c>
      <c r="B90" s="32" t="s">
        <v>5665</v>
      </c>
      <c r="C90" s="32" t="s">
        <v>1222</v>
      </c>
      <c r="D90" s="32" t="s">
        <v>554</v>
      </c>
      <c r="E90" s="32" t="s">
        <v>552</v>
      </c>
      <c r="F90" s="32" t="s">
        <v>553</v>
      </c>
      <c r="G90" s="32" t="s">
        <v>556</v>
      </c>
      <c r="H90" s="32" t="e">
        <v>#N/A</v>
      </c>
      <c r="I90" s="32">
        <v>2020</v>
      </c>
      <c r="J90" s="32" t="b">
        <v>1</v>
      </c>
    </row>
    <row r="91" spans="1:10" x14ac:dyDescent="0.15">
      <c r="A91" s="32" t="s">
        <v>5666</v>
      </c>
      <c r="B91" s="32" t="s">
        <v>5666</v>
      </c>
      <c r="C91" s="32" t="s">
        <v>1232</v>
      </c>
      <c r="D91" s="32" t="s">
        <v>1781</v>
      </c>
      <c r="E91" s="32" t="s">
        <v>1782</v>
      </c>
      <c r="F91" s="32" t="s">
        <v>124</v>
      </c>
      <c r="G91" s="32" t="s">
        <v>1783</v>
      </c>
      <c r="H91" s="32" t="s">
        <v>1784</v>
      </c>
      <c r="I91" s="32">
        <v>2014</v>
      </c>
      <c r="J91" s="32" t="b">
        <v>1</v>
      </c>
    </row>
    <row r="92" spans="1:10" x14ac:dyDescent="0.15">
      <c r="A92" s="32" t="s">
        <v>5667</v>
      </c>
      <c r="B92" s="32" t="s">
        <v>5667</v>
      </c>
      <c r="C92" s="32" t="s">
        <v>1222</v>
      </c>
      <c r="D92" s="32" t="s">
        <v>573</v>
      </c>
      <c r="E92" s="32" t="s">
        <v>571</v>
      </c>
      <c r="F92" s="32" t="s">
        <v>572</v>
      </c>
      <c r="G92" s="32" t="s">
        <v>575</v>
      </c>
      <c r="H92" s="32" t="s">
        <v>1788</v>
      </c>
      <c r="I92" s="32">
        <v>2018</v>
      </c>
      <c r="J92" s="32" t="b">
        <v>1</v>
      </c>
    </row>
    <row r="93" spans="1:10" x14ac:dyDescent="0.15">
      <c r="A93" s="32" t="s">
        <v>5668</v>
      </c>
      <c r="B93" s="32" t="s">
        <v>5668</v>
      </c>
      <c r="C93" s="32" t="s">
        <v>1232</v>
      </c>
      <c r="D93" s="32" t="s">
        <v>1792</v>
      </c>
      <c r="E93" s="32" t="s">
        <v>1793</v>
      </c>
      <c r="F93" s="32" t="s">
        <v>1794</v>
      </c>
      <c r="G93" s="32" t="s">
        <v>1796</v>
      </c>
      <c r="H93" s="32" t="e">
        <v>#N/A</v>
      </c>
      <c r="I93" s="32">
        <v>2022</v>
      </c>
      <c r="J93" s="32" t="b">
        <v>1</v>
      </c>
    </row>
    <row r="94" spans="1:10" x14ac:dyDescent="0.15">
      <c r="A94" s="32" t="s">
        <v>5669</v>
      </c>
      <c r="B94" s="32" t="s">
        <v>5669</v>
      </c>
      <c r="C94" s="32" t="s">
        <v>1232</v>
      </c>
      <c r="D94" s="32" t="s">
        <v>1801</v>
      </c>
      <c r="E94" s="32" t="s">
        <v>1802</v>
      </c>
      <c r="F94" s="32" t="s">
        <v>1803</v>
      </c>
      <c r="G94" s="32" t="s">
        <v>1804</v>
      </c>
      <c r="H94" s="32" t="s">
        <v>1805</v>
      </c>
      <c r="I94" s="32">
        <v>2021</v>
      </c>
      <c r="J94" s="32" t="b">
        <v>1</v>
      </c>
    </row>
    <row r="95" spans="1:10" x14ac:dyDescent="0.15">
      <c r="A95" s="32" t="s">
        <v>5670</v>
      </c>
      <c r="B95" s="32" t="s">
        <v>5670</v>
      </c>
      <c r="C95" s="32" t="s">
        <v>1232</v>
      </c>
      <c r="D95" s="32" t="s">
        <v>1810</v>
      </c>
      <c r="E95" s="32" t="s">
        <v>1811</v>
      </c>
      <c r="F95" s="32" t="s">
        <v>97</v>
      </c>
      <c r="G95" s="32" t="s">
        <v>1812</v>
      </c>
      <c r="H95" s="32" t="s">
        <v>1813</v>
      </c>
      <c r="I95" s="32">
        <v>2020</v>
      </c>
      <c r="J95" s="32" t="b">
        <v>1</v>
      </c>
    </row>
    <row r="96" spans="1:10" x14ac:dyDescent="0.15">
      <c r="A96" s="32" t="s">
        <v>5671</v>
      </c>
      <c r="B96" s="32" t="s">
        <v>5671</v>
      </c>
      <c r="C96" s="32" t="s">
        <v>4</v>
      </c>
      <c r="D96" s="32" t="s">
        <v>1818</v>
      </c>
      <c r="E96" s="32" t="s">
        <v>1819</v>
      </c>
      <c r="F96" s="32" t="s">
        <v>124</v>
      </c>
      <c r="G96" s="32" t="s">
        <v>1820</v>
      </c>
      <c r="H96" s="32" t="s">
        <v>1821</v>
      </c>
      <c r="I96" s="32">
        <v>2021</v>
      </c>
      <c r="J96" s="32" t="b">
        <v>1</v>
      </c>
    </row>
    <row r="97" spans="1:10" x14ac:dyDescent="0.15">
      <c r="A97" s="32" t="s">
        <v>5672</v>
      </c>
      <c r="B97" s="32" t="s">
        <v>5672</v>
      </c>
      <c r="C97" s="32" t="s">
        <v>1222</v>
      </c>
      <c r="D97" s="32" t="s">
        <v>588</v>
      </c>
      <c r="E97" s="32" t="s">
        <v>586</v>
      </c>
      <c r="F97" s="32" t="s">
        <v>587</v>
      </c>
      <c r="G97" s="32" t="s">
        <v>590</v>
      </c>
      <c r="H97" s="32" t="s">
        <v>1825</v>
      </c>
      <c r="I97" s="32">
        <v>2018</v>
      </c>
      <c r="J97" s="32" t="b">
        <v>0</v>
      </c>
    </row>
    <row r="98" spans="1:10" x14ac:dyDescent="0.15">
      <c r="A98" s="32" t="s">
        <v>5673</v>
      </c>
      <c r="B98" s="32" t="s">
        <v>5673</v>
      </c>
      <c r="C98" s="32" t="s">
        <v>1232</v>
      </c>
      <c r="D98" s="32" t="s">
        <v>1829</v>
      </c>
      <c r="E98" s="32" t="s">
        <v>1830</v>
      </c>
      <c r="F98" s="32" t="s">
        <v>1831</v>
      </c>
      <c r="G98" s="32" t="s">
        <v>1832</v>
      </c>
      <c r="H98" s="32" t="s">
        <v>1346</v>
      </c>
      <c r="I98" s="32">
        <v>2019</v>
      </c>
      <c r="J98" s="32" t="b">
        <v>0</v>
      </c>
    </row>
    <row r="99" spans="1:10" x14ac:dyDescent="0.15">
      <c r="A99" s="32" t="s">
        <v>5674</v>
      </c>
      <c r="B99" s="32" t="s">
        <v>5674</v>
      </c>
      <c r="C99" s="32" t="s">
        <v>1232</v>
      </c>
      <c r="D99" s="32" t="s">
        <v>1837</v>
      </c>
      <c r="E99" s="32" t="s">
        <v>1838</v>
      </c>
      <c r="F99" s="32" t="s">
        <v>124</v>
      </c>
      <c r="G99" s="32" t="s">
        <v>1839</v>
      </c>
      <c r="H99" s="32" t="s">
        <v>1840</v>
      </c>
      <c r="I99" s="32">
        <v>2014</v>
      </c>
      <c r="J99" s="32" t="b">
        <v>1</v>
      </c>
    </row>
    <row r="100" spans="1:10" x14ac:dyDescent="0.15">
      <c r="A100" s="32" t="s">
        <v>5675</v>
      </c>
      <c r="B100" s="32" t="s">
        <v>5675</v>
      </c>
      <c r="C100" s="32" t="s">
        <v>1232</v>
      </c>
      <c r="D100" s="32" t="s">
        <v>1845</v>
      </c>
      <c r="E100" s="32" t="s">
        <v>1846</v>
      </c>
      <c r="F100" s="32" t="s">
        <v>73</v>
      </c>
      <c r="G100" s="32" t="s">
        <v>1847</v>
      </c>
      <c r="H100" s="32" t="e">
        <v>#N/A</v>
      </c>
      <c r="I100" s="32">
        <v>2015</v>
      </c>
      <c r="J100" s="32" t="b">
        <v>1</v>
      </c>
    </row>
    <row r="101" spans="1:10" x14ac:dyDescent="0.15">
      <c r="A101" s="32" t="s">
        <v>5676</v>
      </c>
      <c r="B101" s="32" t="s">
        <v>5676</v>
      </c>
      <c r="C101" s="32" t="s">
        <v>1232</v>
      </c>
      <c r="D101" s="32" t="s">
        <v>1852</v>
      </c>
      <c r="E101" s="32" t="s">
        <v>1853</v>
      </c>
      <c r="F101" s="32" t="s">
        <v>422</v>
      </c>
      <c r="G101" s="32" t="s">
        <v>1854</v>
      </c>
      <c r="H101" s="32" t="s">
        <v>1855</v>
      </c>
      <c r="I101" s="32">
        <v>2022</v>
      </c>
      <c r="J101" s="32" t="b">
        <v>1</v>
      </c>
    </row>
    <row r="102" spans="1:10" x14ac:dyDescent="0.15">
      <c r="A102" s="32" t="s">
        <v>5677</v>
      </c>
      <c r="B102" s="32" t="s">
        <v>5677</v>
      </c>
      <c r="C102" s="32" t="s">
        <v>1133</v>
      </c>
      <c r="D102" s="32" t="s">
        <v>883</v>
      </c>
      <c r="E102" s="32" t="s">
        <v>881</v>
      </c>
      <c r="F102" s="32" t="s">
        <v>882</v>
      </c>
      <c r="G102" s="32" t="s">
        <v>885</v>
      </c>
      <c r="H102" s="32" t="s">
        <v>1859</v>
      </c>
      <c r="I102" s="32">
        <v>2019</v>
      </c>
      <c r="J102" s="32" t="b">
        <v>1</v>
      </c>
    </row>
    <row r="103" spans="1:10" x14ac:dyDescent="0.15">
      <c r="A103" s="32" t="s">
        <v>5678</v>
      </c>
      <c r="B103" s="32" t="s">
        <v>5678</v>
      </c>
      <c r="C103" s="32" t="s">
        <v>1133</v>
      </c>
      <c r="D103" s="32" t="s">
        <v>1863</v>
      </c>
      <c r="E103" s="32" t="s">
        <v>1864</v>
      </c>
      <c r="F103" s="32" t="s">
        <v>1865</v>
      </c>
      <c r="G103" s="32" t="s">
        <v>1866</v>
      </c>
      <c r="H103" s="32" t="e">
        <v>#N/A</v>
      </c>
      <c r="I103" s="32">
        <v>2020</v>
      </c>
      <c r="J103" s="32" t="b">
        <v>0</v>
      </c>
    </row>
    <row r="104" spans="1:10" x14ac:dyDescent="0.15">
      <c r="A104" s="32" t="s">
        <v>5679</v>
      </c>
      <c r="B104" s="32" t="s">
        <v>5679</v>
      </c>
      <c r="C104" s="32" t="s">
        <v>1133</v>
      </c>
      <c r="D104" s="32" t="s">
        <v>1852</v>
      </c>
      <c r="E104" s="32" t="s">
        <v>1870</v>
      </c>
      <c r="F104" s="32" t="s">
        <v>1634</v>
      </c>
      <c r="G104" s="32" t="s">
        <v>1871</v>
      </c>
      <c r="H104" s="32" t="s">
        <v>1872</v>
      </c>
      <c r="I104" s="32">
        <v>2021</v>
      </c>
      <c r="J104" s="32" t="b">
        <v>1</v>
      </c>
    </row>
    <row r="105" spans="1:10" x14ac:dyDescent="0.15">
      <c r="A105" s="32" t="s">
        <v>5680</v>
      </c>
      <c r="B105" s="32" t="s">
        <v>5680</v>
      </c>
      <c r="C105" s="32" t="s">
        <v>1133</v>
      </c>
      <c r="D105" s="32" t="s">
        <v>1876</v>
      </c>
      <c r="E105" s="32" t="s">
        <v>1877</v>
      </c>
      <c r="F105" s="32" t="s">
        <v>97</v>
      </c>
      <c r="G105" s="32" t="s">
        <v>1878</v>
      </c>
      <c r="H105" s="32" t="s">
        <v>1879</v>
      </c>
      <c r="I105" s="32">
        <v>2020</v>
      </c>
      <c r="J105" s="32" t="b">
        <v>1</v>
      </c>
    </row>
    <row r="106" spans="1:10" x14ac:dyDescent="0.15">
      <c r="A106" s="32" t="s">
        <v>5681</v>
      </c>
      <c r="B106" s="32" t="s">
        <v>5681</v>
      </c>
      <c r="C106" s="32" t="s">
        <v>1133</v>
      </c>
      <c r="D106" s="32" t="s">
        <v>1883</v>
      </c>
      <c r="E106" s="32" t="s">
        <v>1884</v>
      </c>
      <c r="F106" s="32" t="s">
        <v>68</v>
      </c>
      <c r="G106" s="32" t="s">
        <v>1885</v>
      </c>
      <c r="H106" s="32" t="e">
        <v>#N/A</v>
      </c>
      <c r="I106" s="32">
        <v>2020</v>
      </c>
      <c r="J106" s="32" t="b">
        <v>1</v>
      </c>
    </row>
    <row r="107" spans="1:10" x14ac:dyDescent="0.15">
      <c r="A107" s="32" t="s">
        <v>5682</v>
      </c>
      <c r="B107" s="32" t="s">
        <v>5682</v>
      </c>
      <c r="C107" s="32" t="s">
        <v>1133</v>
      </c>
      <c r="D107" s="32" t="s">
        <v>1889</v>
      </c>
      <c r="E107" s="32" t="s">
        <v>1890</v>
      </c>
      <c r="F107" s="32" t="s">
        <v>422</v>
      </c>
      <c r="G107" s="32" t="s">
        <v>1891</v>
      </c>
      <c r="H107" s="32" t="s">
        <v>1892</v>
      </c>
      <c r="I107" s="32">
        <v>2019</v>
      </c>
      <c r="J107" s="32" t="b">
        <v>1</v>
      </c>
    </row>
    <row r="108" spans="1:10" x14ac:dyDescent="0.15">
      <c r="A108" s="32" t="s">
        <v>5683</v>
      </c>
      <c r="B108" s="32" t="s">
        <v>5683</v>
      </c>
      <c r="C108" s="32" t="s">
        <v>1133</v>
      </c>
      <c r="D108" s="32" t="s">
        <v>1897</v>
      </c>
      <c r="E108" s="32" t="s">
        <v>1898</v>
      </c>
      <c r="F108" s="32" t="s">
        <v>1899</v>
      </c>
      <c r="G108" s="32" t="s">
        <v>1900</v>
      </c>
      <c r="H108" s="32" t="s">
        <v>1901</v>
      </c>
      <c r="I108" s="32">
        <v>2019</v>
      </c>
      <c r="J108" s="32" t="b">
        <v>0</v>
      </c>
    </row>
    <row r="109" spans="1:10" x14ac:dyDescent="0.15">
      <c r="A109" s="32" t="s">
        <v>5684</v>
      </c>
      <c r="B109" s="32" t="s">
        <v>5684</v>
      </c>
      <c r="C109" s="32" t="s">
        <v>1133</v>
      </c>
      <c r="D109" s="32" t="s">
        <v>1905</v>
      </c>
      <c r="E109" s="32" t="s">
        <v>1906</v>
      </c>
      <c r="F109" s="32" t="s">
        <v>124</v>
      </c>
      <c r="G109" s="32" t="s">
        <v>1907</v>
      </c>
      <c r="H109" s="32" t="s">
        <v>1908</v>
      </c>
      <c r="I109" s="32">
        <v>2018</v>
      </c>
      <c r="J109" s="32" t="b">
        <v>1</v>
      </c>
    </row>
    <row r="110" spans="1:10" x14ac:dyDescent="0.15">
      <c r="A110" s="32" t="s">
        <v>5685</v>
      </c>
      <c r="B110" s="32" t="s">
        <v>5685</v>
      </c>
      <c r="C110" s="32" t="s">
        <v>1133</v>
      </c>
      <c r="D110" s="32" t="s">
        <v>1912</v>
      </c>
      <c r="E110" s="32" t="s">
        <v>1913</v>
      </c>
      <c r="F110" s="32" t="s">
        <v>1690</v>
      </c>
      <c r="G110" s="32" t="s">
        <v>1914</v>
      </c>
      <c r="H110" s="32" t="s">
        <v>1915</v>
      </c>
      <c r="I110" s="32">
        <v>2019</v>
      </c>
      <c r="J110" s="32" t="b">
        <v>0</v>
      </c>
    </row>
    <row r="111" spans="1:10" x14ac:dyDescent="0.15">
      <c r="A111" s="32" t="s">
        <v>5686</v>
      </c>
      <c r="B111" s="32" t="s">
        <v>5686</v>
      </c>
      <c r="C111" s="32" t="s">
        <v>1133</v>
      </c>
      <c r="D111" s="32" t="s">
        <v>1919</v>
      </c>
      <c r="E111" s="32" t="s">
        <v>1920</v>
      </c>
      <c r="F111" s="32" t="s">
        <v>553</v>
      </c>
      <c r="G111" s="32" t="s">
        <v>1921</v>
      </c>
      <c r="H111" s="32" t="s">
        <v>1922</v>
      </c>
      <c r="I111" s="32">
        <v>2018</v>
      </c>
      <c r="J111" s="32" t="b">
        <v>1</v>
      </c>
    </row>
    <row r="112" spans="1:10" x14ac:dyDescent="0.15">
      <c r="A112" s="32" t="s">
        <v>5687</v>
      </c>
      <c r="B112" s="32" t="s">
        <v>5687</v>
      </c>
      <c r="C112" s="32" t="s">
        <v>1133</v>
      </c>
      <c r="D112" s="32" t="s">
        <v>1926</v>
      </c>
      <c r="E112" s="32" t="s">
        <v>1927</v>
      </c>
      <c r="F112" s="32" t="s">
        <v>1928</v>
      </c>
      <c r="G112" s="32" t="s">
        <v>1929</v>
      </c>
      <c r="H112" s="32" t="s">
        <v>1930</v>
      </c>
      <c r="I112" s="32">
        <v>2020</v>
      </c>
      <c r="J112" s="32" t="b">
        <v>1</v>
      </c>
    </row>
    <row r="113" spans="1:10" x14ac:dyDescent="0.15">
      <c r="A113" s="32" t="s">
        <v>5688</v>
      </c>
      <c r="B113" s="32" t="s">
        <v>5688</v>
      </c>
      <c r="C113" s="32" t="s">
        <v>1133</v>
      </c>
      <c r="D113" s="32" t="s">
        <v>1934</v>
      </c>
      <c r="E113" s="32" t="s">
        <v>1935</v>
      </c>
      <c r="F113" s="32" t="s">
        <v>1936</v>
      </c>
      <c r="G113" s="32" t="s">
        <v>1937</v>
      </c>
      <c r="H113" s="32" t="s">
        <v>1938</v>
      </c>
      <c r="I113" s="32">
        <v>2018</v>
      </c>
      <c r="J113" s="32" t="b">
        <v>1</v>
      </c>
    </row>
    <row r="114" spans="1:10" x14ac:dyDescent="0.15">
      <c r="A114" s="32" t="s">
        <v>5689</v>
      </c>
      <c r="B114" s="32" t="s">
        <v>5689</v>
      </c>
      <c r="C114" s="32" t="s">
        <v>1133</v>
      </c>
      <c r="D114" s="32" t="s">
        <v>1942</v>
      </c>
      <c r="E114" s="32" t="s">
        <v>1943</v>
      </c>
      <c r="F114" s="32" t="s">
        <v>278</v>
      </c>
      <c r="G114" s="32" t="s">
        <v>1944</v>
      </c>
      <c r="H114" s="32" t="s">
        <v>1945</v>
      </c>
      <c r="I114" s="32">
        <v>2022</v>
      </c>
      <c r="J114" s="32" t="b">
        <v>1</v>
      </c>
    </row>
    <row r="115" spans="1:10" x14ac:dyDescent="0.15">
      <c r="A115" s="32" t="s">
        <v>5690</v>
      </c>
      <c r="B115" s="32" t="s">
        <v>5690</v>
      </c>
      <c r="C115" s="32" t="s">
        <v>1133</v>
      </c>
      <c r="D115" s="32" t="s">
        <v>1949</v>
      </c>
      <c r="E115" s="32" t="s">
        <v>1950</v>
      </c>
      <c r="F115" s="32" t="s">
        <v>1951</v>
      </c>
      <c r="G115" s="32" t="s">
        <v>1952</v>
      </c>
      <c r="H115" s="32" t="e">
        <v>#N/A</v>
      </c>
      <c r="I115" s="32">
        <v>2018</v>
      </c>
      <c r="J115" s="32" t="b">
        <v>1</v>
      </c>
    </row>
    <row r="116" spans="1:10" x14ac:dyDescent="0.15">
      <c r="A116" s="32" t="s">
        <v>5691</v>
      </c>
      <c r="B116" s="32" t="s">
        <v>5691</v>
      </c>
      <c r="C116" s="32" t="s">
        <v>1133</v>
      </c>
      <c r="D116" s="32" t="s">
        <v>1956</v>
      </c>
      <c r="E116" s="32" t="s">
        <v>1957</v>
      </c>
      <c r="F116" s="32" t="s">
        <v>1634</v>
      </c>
      <c r="G116" s="32" t="s">
        <v>1958</v>
      </c>
      <c r="H116" s="32" t="s">
        <v>1959</v>
      </c>
      <c r="I116" s="32">
        <v>2022</v>
      </c>
      <c r="J116" s="32" t="b">
        <v>1</v>
      </c>
    </row>
    <row r="117" spans="1:10" x14ac:dyDescent="0.15">
      <c r="A117" s="32" t="s">
        <v>5692</v>
      </c>
      <c r="B117" s="32" t="s">
        <v>5692</v>
      </c>
      <c r="C117" s="32" t="s">
        <v>1133</v>
      </c>
      <c r="D117" s="32" t="s">
        <v>1963</v>
      </c>
      <c r="E117" s="32" t="s">
        <v>1964</v>
      </c>
      <c r="F117" s="32" t="s">
        <v>1965</v>
      </c>
      <c r="G117" s="32" t="s">
        <v>1966</v>
      </c>
      <c r="H117" s="32" t="e">
        <v>#N/A</v>
      </c>
      <c r="I117" s="32">
        <v>2021</v>
      </c>
      <c r="J117" s="32" t="b">
        <v>0</v>
      </c>
    </row>
    <row r="118" spans="1:10" x14ac:dyDescent="0.15">
      <c r="A118" s="32" t="s">
        <v>5693</v>
      </c>
      <c r="B118" s="32" t="s">
        <v>5693</v>
      </c>
      <c r="C118" s="32" t="s">
        <v>1133</v>
      </c>
      <c r="D118" s="32" t="s">
        <v>1971</v>
      </c>
      <c r="E118" s="32" t="s">
        <v>1972</v>
      </c>
      <c r="F118" s="32" t="s">
        <v>422</v>
      </c>
      <c r="G118" s="32" t="s">
        <v>1973</v>
      </c>
      <c r="H118" s="32" t="s">
        <v>1974</v>
      </c>
      <c r="I118" s="32">
        <v>2021</v>
      </c>
      <c r="J118" s="32" t="b">
        <v>1</v>
      </c>
    </row>
    <row r="119" spans="1:10" x14ac:dyDescent="0.15">
      <c r="A119" s="32" t="s">
        <v>5694</v>
      </c>
      <c r="B119" s="32" t="s">
        <v>5694</v>
      </c>
      <c r="C119" s="32" t="s">
        <v>1133</v>
      </c>
      <c r="D119" s="32" t="s">
        <v>1978</v>
      </c>
      <c r="E119" s="32" t="s">
        <v>1979</v>
      </c>
      <c r="F119" s="32" t="s">
        <v>1794</v>
      </c>
      <c r="G119" s="32" t="s">
        <v>1980</v>
      </c>
      <c r="H119" s="32" t="e">
        <v>#N/A</v>
      </c>
      <c r="I119" s="32">
        <v>2020</v>
      </c>
      <c r="J119" s="32" t="b">
        <v>1</v>
      </c>
    </row>
    <row r="120" spans="1:10" x14ac:dyDescent="0.15">
      <c r="A120" s="32" t="s">
        <v>5695</v>
      </c>
      <c r="B120" s="32" t="s">
        <v>5695</v>
      </c>
      <c r="C120" s="32" t="s">
        <v>1133</v>
      </c>
      <c r="D120" s="32" t="s">
        <v>1984</v>
      </c>
      <c r="E120" s="32" t="s">
        <v>1985</v>
      </c>
      <c r="F120" s="32" t="s">
        <v>1986</v>
      </c>
      <c r="G120" s="32" t="s">
        <v>1987</v>
      </c>
      <c r="H120" s="32" t="e">
        <v>#N/A</v>
      </c>
      <c r="I120" s="32">
        <v>2021</v>
      </c>
      <c r="J120" s="32" t="b">
        <v>1</v>
      </c>
    </row>
    <row r="121" spans="1:10" x14ac:dyDescent="0.15">
      <c r="A121" s="32" t="s">
        <v>5696</v>
      </c>
      <c r="B121" s="32" t="s">
        <v>5696</v>
      </c>
      <c r="C121" s="32" t="s">
        <v>1133</v>
      </c>
      <c r="D121" s="32" t="s">
        <v>1991</v>
      </c>
      <c r="E121" s="32" t="s">
        <v>1992</v>
      </c>
      <c r="F121" s="32" t="s">
        <v>422</v>
      </c>
      <c r="G121" s="32" t="s">
        <v>1993</v>
      </c>
      <c r="H121" s="32" t="s">
        <v>1994</v>
      </c>
      <c r="I121" s="32">
        <v>2017</v>
      </c>
      <c r="J121" s="32" t="b">
        <v>1</v>
      </c>
    </row>
    <row r="122" spans="1:10" x14ac:dyDescent="0.15">
      <c r="A122" s="32" t="s">
        <v>5697</v>
      </c>
      <c r="B122" s="32" t="s">
        <v>5697</v>
      </c>
      <c r="C122" s="32" t="s">
        <v>1133</v>
      </c>
      <c r="D122" s="32" t="s">
        <v>1998</v>
      </c>
      <c r="E122" s="32" t="s">
        <v>1999</v>
      </c>
      <c r="F122" s="32" t="s">
        <v>124</v>
      </c>
      <c r="G122" s="32" t="s">
        <v>2000</v>
      </c>
      <c r="H122" s="32" t="s">
        <v>2001</v>
      </c>
      <c r="I122" s="32">
        <v>2017</v>
      </c>
      <c r="J122" s="32" t="b">
        <v>1</v>
      </c>
    </row>
    <row r="123" spans="1:10" x14ac:dyDescent="0.15">
      <c r="A123" s="32" t="s">
        <v>5698</v>
      </c>
      <c r="B123" s="32" t="s">
        <v>5698</v>
      </c>
      <c r="C123" s="32" t="s">
        <v>1133</v>
      </c>
      <c r="D123" s="32" t="s">
        <v>2005</v>
      </c>
      <c r="E123" s="32" t="s">
        <v>2006</v>
      </c>
      <c r="F123" s="32" t="s">
        <v>1734</v>
      </c>
      <c r="G123" s="32" t="s">
        <v>2007</v>
      </c>
      <c r="H123" s="32" t="s">
        <v>2008</v>
      </c>
      <c r="I123" s="32" t="e">
        <v>#N/A</v>
      </c>
      <c r="J123" s="32" t="b">
        <v>1</v>
      </c>
    </row>
    <row r="124" spans="1:10" x14ac:dyDescent="0.15">
      <c r="A124" s="32" t="s">
        <v>5699</v>
      </c>
      <c r="B124" s="32" t="s">
        <v>5699</v>
      </c>
      <c r="C124" s="32" t="s">
        <v>1133</v>
      </c>
      <c r="D124" s="32" t="s">
        <v>2013</v>
      </c>
      <c r="E124" s="32" t="s">
        <v>2014</v>
      </c>
      <c r="F124" s="32" t="s">
        <v>114</v>
      </c>
      <c r="G124" s="32" t="s">
        <v>2015</v>
      </c>
      <c r="H124" s="32" t="s">
        <v>2016</v>
      </c>
      <c r="I124" s="32">
        <v>2020</v>
      </c>
      <c r="J124" s="32" t="b">
        <v>1</v>
      </c>
    </row>
    <row r="125" spans="1:10" x14ac:dyDescent="0.15">
      <c r="A125" s="32" t="s">
        <v>5700</v>
      </c>
      <c r="B125" s="32" t="s">
        <v>5700</v>
      </c>
      <c r="C125" s="32" t="s">
        <v>1133</v>
      </c>
      <c r="D125" s="32" t="s">
        <v>2020</v>
      </c>
      <c r="E125" s="32" t="s">
        <v>2021</v>
      </c>
      <c r="F125" s="32" t="s">
        <v>2022</v>
      </c>
      <c r="G125" s="32" t="s">
        <v>2023</v>
      </c>
      <c r="H125" s="32" t="s">
        <v>2024</v>
      </c>
      <c r="I125" s="32">
        <v>2019</v>
      </c>
      <c r="J125" s="32" t="b">
        <v>0</v>
      </c>
    </row>
    <row r="126" spans="1:10" x14ac:dyDescent="0.15">
      <c r="A126" s="32" t="s">
        <v>5701</v>
      </c>
      <c r="B126" s="32" t="s">
        <v>5701</v>
      </c>
      <c r="C126" s="32" t="s">
        <v>1133</v>
      </c>
      <c r="D126" s="32" t="s">
        <v>2028</v>
      </c>
      <c r="E126" s="32" t="s">
        <v>2029</v>
      </c>
      <c r="F126" s="32" t="s">
        <v>2030</v>
      </c>
      <c r="G126" s="32" t="s">
        <v>2031</v>
      </c>
      <c r="H126" s="32" t="s">
        <v>1259</v>
      </c>
      <c r="I126" s="32">
        <v>2015</v>
      </c>
      <c r="J126" s="32" t="b">
        <v>0</v>
      </c>
    </row>
    <row r="127" spans="1:10" x14ac:dyDescent="0.15">
      <c r="A127" s="32" t="s">
        <v>5702</v>
      </c>
      <c r="B127" s="32" t="s">
        <v>5702</v>
      </c>
      <c r="C127" s="32" t="s">
        <v>1133</v>
      </c>
      <c r="D127" s="32" t="s">
        <v>2035</v>
      </c>
      <c r="E127" s="32" t="s">
        <v>2036</v>
      </c>
      <c r="F127" s="32" t="s">
        <v>422</v>
      </c>
      <c r="G127" s="32" t="s">
        <v>2037</v>
      </c>
      <c r="H127" s="32" t="s">
        <v>2038</v>
      </c>
      <c r="I127" s="32">
        <v>2018</v>
      </c>
      <c r="J127" s="32" t="b">
        <v>1</v>
      </c>
    </row>
    <row r="128" spans="1:10" x14ac:dyDescent="0.15">
      <c r="A128" s="32" t="s">
        <v>5703</v>
      </c>
      <c r="B128" s="32" t="s">
        <v>5703</v>
      </c>
      <c r="C128" s="32" t="s">
        <v>1133</v>
      </c>
      <c r="D128" s="32" t="s">
        <v>2042</v>
      </c>
      <c r="E128" s="32" t="s">
        <v>2043</v>
      </c>
      <c r="F128" s="32" t="s">
        <v>2044</v>
      </c>
      <c r="G128" s="32" t="s">
        <v>2045</v>
      </c>
      <c r="H128" s="32" t="e">
        <v>#N/A</v>
      </c>
      <c r="I128" s="32">
        <v>2013</v>
      </c>
      <c r="J128" s="32" t="b">
        <v>1</v>
      </c>
    </row>
    <row r="129" spans="1:10" x14ac:dyDescent="0.15">
      <c r="A129" s="32" t="s">
        <v>5704</v>
      </c>
      <c r="B129" s="32" t="s">
        <v>5704</v>
      </c>
      <c r="C129" s="32" t="s">
        <v>1133</v>
      </c>
      <c r="D129" s="32" t="s">
        <v>2049</v>
      </c>
      <c r="E129" s="32" t="s">
        <v>2050</v>
      </c>
      <c r="F129" s="32" t="s">
        <v>2051</v>
      </c>
      <c r="G129" s="32" t="s">
        <v>2052</v>
      </c>
      <c r="H129" s="32" t="e">
        <v>#N/A</v>
      </c>
      <c r="I129" s="32">
        <v>2021</v>
      </c>
      <c r="J129" s="32" t="b">
        <v>1</v>
      </c>
    </row>
    <row r="130" spans="1:10" x14ac:dyDescent="0.15">
      <c r="A130" s="32" t="s">
        <v>5705</v>
      </c>
      <c r="B130" s="32" t="s">
        <v>5705</v>
      </c>
      <c r="C130" s="32" t="s">
        <v>1133</v>
      </c>
      <c r="D130" s="32" t="s">
        <v>2056</v>
      </c>
      <c r="E130" s="32" t="s">
        <v>2057</v>
      </c>
      <c r="F130" s="32" t="s">
        <v>346</v>
      </c>
      <c r="G130" s="32" t="s">
        <v>2058</v>
      </c>
      <c r="H130" s="32" t="s">
        <v>2059</v>
      </c>
      <c r="I130" s="32">
        <v>2020</v>
      </c>
      <c r="J130" s="32" t="b">
        <v>1</v>
      </c>
    </row>
    <row r="131" spans="1:10" x14ac:dyDescent="0.15">
      <c r="A131" s="32" t="s">
        <v>5706</v>
      </c>
      <c r="B131" s="32" t="s">
        <v>5706</v>
      </c>
      <c r="C131" s="32" t="s">
        <v>1133</v>
      </c>
      <c r="D131" s="32" t="s">
        <v>2063</v>
      </c>
      <c r="E131" s="32" t="s">
        <v>2064</v>
      </c>
      <c r="F131" s="32" t="s">
        <v>422</v>
      </c>
      <c r="G131" s="32" t="s">
        <v>2065</v>
      </c>
      <c r="H131" s="32" t="s">
        <v>2066</v>
      </c>
      <c r="I131" s="32">
        <v>2020</v>
      </c>
      <c r="J131" s="32" t="b">
        <v>1</v>
      </c>
    </row>
    <row r="132" spans="1:10" x14ac:dyDescent="0.15">
      <c r="A132" s="32" t="s">
        <v>5707</v>
      </c>
      <c r="B132" s="32" t="s">
        <v>5707</v>
      </c>
      <c r="C132" s="32" t="s">
        <v>1133</v>
      </c>
      <c r="D132" s="32" t="s">
        <v>2070</v>
      </c>
      <c r="E132" s="32" t="s">
        <v>2071</v>
      </c>
      <c r="F132" s="32" t="s">
        <v>2072</v>
      </c>
      <c r="G132" s="32" t="s">
        <v>2073</v>
      </c>
      <c r="H132" s="32" t="s">
        <v>2074</v>
      </c>
      <c r="I132" s="32">
        <v>2016</v>
      </c>
      <c r="J132" s="32" t="b">
        <v>0</v>
      </c>
    </row>
    <row r="133" spans="1:10" x14ac:dyDescent="0.15">
      <c r="A133" s="32" t="s">
        <v>5708</v>
      </c>
      <c r="B133" s="32" t="s">
        <v>5708</v>
      </c>
      <c r="C133" s="32" t="s">
        <v>1133</v>
      </c>
      <c r="D133" s="32" t="s">
        <v>2078</v>
      </c>
      <c r="E133" s="32" t="s">
        <v>2079</v>
      </c>
      <c r="F133" s="32" t="s">
        <v>313</v>
      </c>
      <c r="G133" s="32" t="s">
        <v>2080</v>
      </c>
      <c r="H133" s="32" t="s">
        <v>2081</v>
      </c>
      <c r="I133" s="32">
        <v>2020</v>
      </c>
      <c r="J133" s="32" t="b">
        <v>0</v>
      </c>
    </row>
    <row r="134" spans="1:10" x14ac:dyDescent="0.15">
      <c r="A134" s="32" t="s">
        <v>5709</v>
      </c>
      <c r="B134" s="32" t="s">
        <v>5709</v>
      </c>
      <c r="C134" s="32" t="s">
        <v>1133</v>
      </c>
      <c r="D134" s="32" t="s">
        <v>2085</v>
      </c>
      <c r="E134" s="32" t="s">
        <v>2086</v>
      </c>
      <c r="F134" s="32" t="s">
        <v>97</v>
      </c>
      <c r="G134" s="32" t="s">
        <v>2087</v>
      </c>
      <c r="H134" s="32" t="s">
        <v>2088</v>
      </c>
      <c r="I134" s="32">
        <v>2020</v>
      </c>
      <c r="J134" s="32" t="b">
        <v>1</v>
      </c>
    </row>
    <row r="135" spans="1:10" x14ac:dyDescent="0.15">
      <c r="A135" s="32" t="s">
        <v>5710</v>
      </c>
      <c r="B135" s="32" t="s">
        <v>5710</v>
      </c>
      <c r="C135" s="32" t="s">
        <v>1133</v>
      </c>
      <c r="D135" s="32" t="s">
        <v>2093</v>
      </c>
      <c r="E135" s="32" t="s">
        <v>2094</v>
      </c>
      <c r="F135" s="32" t="s">
        <v>2044</v>
      </c>
      <c r="G135" s="32" t="s">
        <v>2095</v>
      </c>
      <c r="H135" s="32" t="s">
        <v>2096</v>
      </c>
      <c r="I135" s="32">
        <v>2019</v>
      </c>
      <c r="J135" s="32" t="b">
        <v>1</v>
      </c>
    </row>
    <row r="136" spans="1:10" x14ac:dyDescent="0.15">
      <c r="A136" s="32" t="s">
        <v>5711</v>
      </c>
      <c r="B136" s="32" t="s">
        <v>5711</v>
      </c>
      <c r="C136" s="32" t="s">
        <v>1133</v>
      </c>
      <c r="D136" s="32" t="s">
        <v>2100</v>
      </c>
      <c r="E136" s="32" t="s">
        <v>2101</v>
      </c>
      <c r="F136" s="32" t="s">
        <v>97</v>
      </c>
      <c r="G136" s="32" t="s">
        <v>2102</v>
      </c>
      <c r="H136" s="32" t="s">
        <v>2103</v>
      </c>
      <c r="I136" s="32">
        <v>2016</v>
      </c>
      <c r="J136" s="32" t="b">
        <v>1</v>
      </c>
    </row>
    <row r="137" spans="1:10" x14ac:dyDescent="0.15">
      <c r="A137" s="32" t="s">
        <v>5712</v>
      </c>
      <c r="B137" s="32" t="s">
        <v>5712</v>
      </c>
      <c r="C137" s="32" t="s">
        <v>1133</v>
      </c>
      <c r="D137" s="32" t="s">
        <v>2107</v>
      </c>
      <c r="E137" s="32" t="s">
        <v>2108</v>
      </c>
      <c r="F137" s="32" t="s">
        <v>2109</v>
      </c>
      <c r="G137" s="32" t="s">
        <v>2110</v>
      </c>
      <c r="H137" s="32" t="e">
        <v>#N/A</v>
      </c>
      <c r="I137" s="32">
        <v>2020</v>
      </c>
      <c r="J137" s="32" t="b">
        <v>0</v>
      </c>
    </row>
    <row r="138" spans="1:10" x14ac:dyDescent="0.15">
      <c r="A138" s="32" t="s">
        <v>5713</v>
      </c>
      <c r="B138" s="32" t="s">
        <v>5713</v>
      </c>
      <c r="C138" s="32" t="s">
        <v>1133</v>
      </c>
      <c r="D138" s="32" t="s">
        <v>2115</v>
      </c>
      <c r="E138" s="32" t="s">
        <v>2116</v>
      </c>
      <c r="F138" s="32" t="s">
        <v>2117</v>
      </c>
      <c r="G138" s="32" t="s">
        <v>2118</v>
      </c>
      <c r="H138" s="32" t="s">
        <v>2119</v>
      </c>
      <c r="I138" s="32">
        <v>2019</v>
      </c>
      <c r="J138" s="32" t="b">
        <v>0</v>
      </c>
    </row>
    <row r="139" spans="1:10" x14ac:dyDescent="0.15">
      <c r="A139" s="32" t="s">
        <v>5714</v>
      </c>
      <c r="B139" s="32" t="s">
        <v>5714</v>
      </c>
      <c r="C139" s="32" t="s">
        <v>1133</v>
      </c>
      <c r="D139" s="32" t="s">
        <v>2123</v>
      </c>
      <c r="E139" s="32" t="s">
        <v>2124</v>
      </c>
      <c r="F139" s="32" t="s">
        <v>422</v>
      </c>
      <c r="G139" s="32" t="s">
        <v>2125</v>
      </c>
      <c r="H139" s="32" t="s">
        <v>2126</v>
      </c>
      <c r="I139" s="32">
        <v>2022</v>
      </c>
      <c r="J139" s="32" t="b">
        <v>1</v>
      </c>
    </row>
    <row r="140" spans="1:10" x14ac:dyDescent="0.15">
      <c r="A140" s="32" t="s">
        <v>5715</v>
      </c>
      <c r="B140" s="32" t="s">
        <v>5715</v>
      </c>
      <c r="C140" s="32" t="s">
        <v>1133</v>
      </c>
      <c r="D140" s="32" t="s">
        <v>2130</v>
      </c>
      <c r="E140" s="32" t="s">
        <v>2131</v>
      </c>
      <c r="F140" s="32" t="s">
        <v>422</v>
      </c>
      <c r="G140" s="32" t="s">
        <v>2132</v>
      </c>
      <c r="H140" s="32" t="e">
        <v>#N/A</v>
      </c>
      <c r="I140" s="32">
        <v>2022</v>
      </c>
      <c r="J140" s="32" t="b">
        <v>1</v>
      </c>
    </row>
    <row r="141" spans="1:10" x14ac:dyDescent="0.15">
      <c r="A141" s="32" t="s">
        <v>5716</v>
      </c>
      <c r="B141" s="32" t="s">
        <v>5716</v>
      </c>
      <c r="C141" s="32" t="s">
        <v>1133</v>
      </c>
      <c r="D141" s="32" t="s">
        <v>2136</v>
      </c>
      <c r="E141" s="32" t="s">
        <v>2137</v>
      </c>
      <c r="F141" s="32" t="s">
        <v>2138</v>
      </c>
      <c r="G141" s="32" t="s">
        <v>2139</v>
      </c>
      <c r="H141" s="32" t="s">
        <v>2140</v>
      </c>
      <c r="I141" s="32">
        <v>2021</v>
      </c>
      <c r="J141" s="32" t="b">
        <v>0</v>
      </c>
    </row>
    <row r="142" spans="1:10" x14ac:dyDescent="0.15">
      <c r="A142" s="32" t="s">
        <v>5717</v>
      </c>
      <c r="B142" s="32" t="s">
        <v>5717</v>
      </c>
      <c r="C142" s="32" t="s">
        <v>1133</v>
      </c>
      <c r="D142" s="32" t="s">
        <v>2144</v>
      </c>
      <c r="E142" s="32" t="s">
        <v>2145</v>
      </c>
      <c r="F142" s="32" t="s">
        <v>2146</v>
      </c>
      <c r="G142" s="32" t="s">
        <v>2147</v>
      </c>
      <c r="H142" s="32" t="s">
        <v>2148</v>
      </c>
      <c r="I142" s="32">
        <v>2021</v>
      </c>
      <c r="J142" s="32" t="b">
        <v>0</v>
      </c>
    </row>
    <row r="143" spans="1:10" x14ac:dyDescent="0.15">
      <c r="A143" s="32" t="s">
        <v>5718</v>
      </c>
      <c r="B143" s="32" t="s">
        <v>5718</v>
      </c>
      <c r="C143" s="32" t="s">
        <v>1133</v>
      </c>
      <c r="D143" s="32" t="s">
        <v>2153</v>
      </c>
      <c r="E143" s="32" t="s">
        <v>2154</v>
      </c>
      <c r="F143" s="32" t="s">
        <v>2155</v>
      </c>
      <c r="G143" s="32" t="s">
        <v>2156</v>
      </c>
      <c r="H143" s="32" t="s">
        <v>2157</v>
      </c>
      <c r="I143" s="32">
        <v>2021</v>
      </c>
      <c r="J143" s="32" t="b">
        <v>0</v>
      </c>
    </row>
    <row r="144" spans="1:10" x14ac:dyDescent="0.15">
      <c r="A144" s="32" t="s">
        <v>5719</v>
      </c>
      <c r="B144" s="32" t="s">
        <v>5719</v>
      </c>
      <c r="C144" s="32" t="s">
        <v>1133</v>
      </c>
      <c r="D144" s="32" t="s">
        <v>2162</v>
      </c>
      <c r="E144" s="32" t="s">
        <v>2163</v>
      </c>
      <c r="F144" s="32" t="s">
        <v>2164</v>
      </c>
      <c r="G144" s="32" t="s">
        <v>2165</v>
      </c>
      <c r="H144" s="32" t="s">
        <v>2166</v>
      </c>
      <c r="I144" s="32">
        <v>2022</v>
      </c>
      <c r="J144" s="32" t="b">
        <v>1</v>
      </c>
    </row>
    <row r="145" spans="1:10" x14ac:dyDescent="0.15">
      <c r="A145" s="32" t="s">
        <v>5720</v>
      </c>
      <c r="B145" s="32" t="s">
        <v>5720</v>
      </c>
      <c r="C145" s="32" t="s">
        <v>1133</v>
      </c>
      <c r="D145" s="32" t="s">
        <v>2171</v>
      </c>
      <c r="E145" s="32" t="s">
        <v>2172</v>
      </c>
      <c r="F145" s="32" t="s">
        <v>2173</v>
      </c>
      <c r="G145" s="32" t="s">
        <v>2174</v>
      </c>
      <c r="H145" s="32" t="e">
        <v>#N/A</v>
      </c>
      <c r="I145" s="32">
        <v>2017</v>
      </c>
      <c r="J145" s="32" t="b">
        <v>0</v>
      </c>
    </row>
    <row r="146" spans="1:10" x14ac:dyDescent="0.15">
      <c r="A146" s="32" t="s">
        <v>5721</v>
      </c>
      <c r="B146" s="32" t="s">
        <v>5721</v>
      </c>
      <c r="C146" s="32" t="s">
        <v>1133</v>
      </c>
      <c r="D146" s="32" t="s">
        <v>2178</v>
      </c>
      <c r="E146" s="32" t="s">
        <v>2179</v>
      </c>
      <c r="F146" s="32" t="s">
        <v>68</v>
      </c>
      <c r="G146" s="32" t="s">
        <v>2180</v>
      </c>
      <c r="H146" s="32" t="e">
        <v>#N/A</v>
      </c>
      <c r="I146" s="32">
        <v>2018</v>
      </c>
      <c r="J146" s="32" t="b">
        <v>1</v>
      </c>
    </row>
    <row r="147" spans="1:10" x14ac:dyDescent="0.15">
      <c r="A147" s="32" t="s">
        <v>5722</v>
      </c>
      <c r="B147" s="32" t="s">
        <v>5722</v>
      </c>
      <c r="C147" s="32" t="s">
        <v>1133</v>
      </c>
      <c r="D147" s="32" t="s">
        <v>2184</v>
      </c>
      <c r="E147" s="32" t="s">
        <v>2185</v>
      </c>
      <c r="F147" s="32" t="s">
        <v>97</v>
      </c>
      <c r="G147" s="32" t="s">
        <v>2186</v>
      </c>
      <c r="H147" s="32" t="s">
        <v>2187</v>
      </c>
      <c r="I147" s="32">
        <v>2016</v>
      </c>
      <c r="J147" s="32" t="b">
        <v>1</v>
      </c>
    </row>
    <row r="148" spans="1:10" x14ac:dyDescent="0.15">
      <c r="A148" s="32" t="s">
        <v>5723</v>
      </c>
      <c r="B148" s="32" t="s">
        <v>5723</v>
      </c>
      <c r="C148" s="32" t="s">
        <v>1133</v>
      </c>
      <c r="D148" s="32" t="s">
        <v>2191</v>
      </c>
      <c r="E148" s="32" t="s">
        <v>2192</v>
      </c>
      <c r="F148" s="32" t="s">
        <v>2193</v>
      </c>
      <c r="G148" s="32" t="s">
        <v>2194</v>
      </c>
      <c r="H148" s="32" t="s">
        <v>2195</v>
      </c>
      <c r="I148" s="32" t="e">
        <v>#N/A</v>
      </c>
      <c r="J148" s="32" t="b">
        <v>1</v>
      </c>
    </row>
    <row r="149" spans="1:10" x14ac:dyDescent="0.15">
      <c r="A149" s="32" t="s">
        <v>5724</v>
      </c>
      <c r="B149" s="32" t="s">
        <v>5724</v>
      </c>
      <c r="C149" s="32" t="s">
        <v>1133</v>
      </c>
      <c r="D149" s="32" t="s">
        <v>2200</v>
      </c>
      <c r="E149" s="32" t="s">
        <v>2201</v>
      </c>
      <c r="F149" s="32" t="s">
        <v>502</v>
      </c>
      <c r="G149" s="32" t="s">
        <v>2202</v>
      </c>
      <c r="H149" s="32" t="s">
        <v>2203</v>
      </c>
      <c r="I149" s="32">
        <v>2021</v>
      </c>
      <c r="J149" s="32" t="b">
        <v>1</v>
      </c>
    </row>
    <row r="150" spans="1:10" x14ac:dyDescent="0.15">
      <c r="A150" s="32" t="s">
        <v>5725</v>
      </c>
      <c r="B150" s="32" t="s">
        <v>5725</v>
      </c>
      <c r="C150" s="32" t="s">
        <v>1133</v>
      </c>
      <c r="D150" s="32" t="s">
        <v>2209</v>
      </c>
      <c r="E150" s="32" t="s">
        <v>2210</v>
      </c>
      <c r="F150" s="32" t="s">
        <v>2211</v>
      </c>
      <c r="G150" s="32" t="s">
        <v>2212</v>
      </c>
      <c r="H150" s="32" t="s">
        <v>2213</v>
      </c>
      <c r="I150" s="32">
        <v>2021</v>
      </c>
      <c r="J150" s="32" t="b">
        <v>0</v>
      </c>
    </row>
    <row r="151" spans="1:10" x14ac:dyDescent="0.15">
      <c r="A151" s="32" t="s">
        <v>5726</v>
      </c>
      <c r="B151" s="32" t="s">
        <v>5726</v>
      </c>
      <c r="C151" s="32" t="s">
        <v>1133</v>
      </c>
      <c r="D151" s="32" t="s">
        <v>2218</v>
      </c>
      <c r="E151" s="32" t="s">
        <v>2219</v>
      </c>
      <c r="F151" s="32" t="s">
        <v>422</v>
      </c>
      <c r="G151" s="32" t="s">
        <v>2221</v>
      </c>
      <c r="H151" s="32" t="s">
        <v>2222</v>
      </c>
      <c r="I151" s="32">
        <v>2019</v>
      </c>
      <c r="J151" s="32" t="b">
        <v>1</v>
      </c>
    </row>
    <row r="152" spans="1:10" x14ac:dyDescent="0.15">
      <c r="A152" s="32" t="s">
        <v>5727</v>
      </c>
      <c r="B152" s="32" t="s">
        <v>5727</v>
      </c>
      <c r="C152" s="32" t="s">
        <v>1133</v>
      </c>
      <c r="D152" s="32" t="s">
        <v>2226</v>
      </c>
      <c r="E152" s="32" t="s">
        <v>2227</v>
      </c>
      <c r="F152" s="32" t="s">
        <v>313</v>
      </c>
      <c r="G152" s="32" t="s">
        <v>2228</v>
      </c>
      <c r="H152" s="32" t="s">
        <v>2229</v>
      </c>
      <c r="I152" s="32">
        <v>2021</v>
      </c>
      <c r="J152" s="32" t="b">
        <v>1</v>
      </c>
    </row>
    <row r="153" spans="1:10" x14ac:dyDescent="0.15">
      <c r="A153" s="32" t="s">
        <v>5728</v>
      </c>
      <c r="B153" s="32" t="s">
        <v>5728</v>
      </c>
      <c r="C153" s="32" t="s">
        <v>1133</v>
      </c>
      <c r="D153" s="32" t="s">
        <v>2233</v>
      </c>
      <c r="E153" s="32" t="s">
        <v>2234</v>
      </c>
      <c r="F153" s="32" t="s">
        <v>2235</v>
      </c>
      <c r="G153" s="32" t="s">
        <v>2236</v>
      </c>
      <c r="H153" s="32" t="e">
        <v>#N/A</v>
      </c>
      <c r="I153" s="32">
        <v>2018</v>
      </c>
      <c r="J153" s="32" t="b">
        <v>0</v>
      </c>
    </row>
    <row r="154" spans="1:10" x14ac:dyDescent="0.15">
      <c r="A154" s="32" t="s">
        <v>5729</v>
      </c>
      <c r="B154" s="32" t="s">
        <v>5729</v>
      </c>
      <c r="C154" s="32" t="s">
        <v>1133</v>
      </c>
      <c r="D154" s="32" t="s">
        <v>2240</v>
      </c>
      <c r="E154" s="32" t="s">
        <v>2241</v>
      </c>
      <c r="F154" s="32" t="s">
        <v>1803</v>
      </c>
      <c r="G154" s="32" t="s">
        <v>2242</v>
      </c>
      <c r="H154" s="32" t="s">
        <v>2243</v>
      </c>
      <c r="I154" s="32">
        <v>2020</v>
      </c>
      <c r="J154" s="32" t="b">
        <v>1</v>
      </c>
    </row>
    <row r="155" spans="1:10" x14ac:dyDescent="0.15">
      <c r="A155" s="32" t="s">
        <v>5730</v>
      </c>
      <c r="B155" s="32" t="s">
        <v>5730</v>
      </c>
      <c r="C155" s="32" t="s">
        <v>1133</v>
      </c>
      <c r="D155" s="32" t="s">
        <v>2247</v>
      </c>
      <c r="E155" s="32" t="s">
        <v>2248</v>
      </c>
      <c r="F155" s="32" t="s">
        <v>1698</v>
      </c>
      <c r="G155" s="32" t="s">
        <v>2249</v>
      </c>
      <c r="H155" s="32" t="s">
        <v>2250</v>
      </c>
      <c r="I155" s="32">
        <v>2021</v>
      </c>
      <c r="J155" s="32" t="b">
        <v>1</v>
      </c>
    </row>
    <row r="156" spans="1:10" x14ac:dyDescent="0.15">
      <c r="A156" s="32" t="s">
        <v>5731</v>
      </c>
      <c r="B156" s="32" t="s">
        <v>5731</v>
      </c>
      <c r="C156" s="32" t="s">
        <v>1133</v>
      </c>
      <c r="D156" s="32" t="s">
        <v>2254</v>
      </c>
      <c r="E156" s="32" t="s">
        <v>2255</v>
      </c>
      <c r="F156" s="32" t="s">
        <v>422</v>
      </c>
      <c r="G156" s="32" t="s">
        <v>2256</v>
      </c>
      <c r="H156" s="32" t="s">
        <v>2257</v>
      </c>
      <c r="I156" s="32">
        <v>2021</v>
      </c>
      <c r="J156" s="32" t="b">
        <v>1</v>
      </c>
    </row>
    <row r="157" spans="1:10" x14ac:dyDescent="0.15">
      <c r="A157" s="32" t="s">
        <v>5732</v>
      </c>
      <c r="B157" s="32" t="s">
        <v>5732</v>
      </c>
      <c r="C157" s="32" t="s">
        <v>1133</v>
      </c>
      <c r="D157" s="32" t="s">
        <v>2261</v>
      </c>
      <c r="E157" s="32" t="s">
        <v>2262</v>
      </c>
      <c r="F157" s="32" t="s">
        <v>422</v>
      </c>
      <c r="G157" s="32" t="s">
        <v>2263</v>
      </c>
      <c r="H157" s="32" t="e">
        <v>#N/A</v>
      </c>
      <c r="I157" s="32">
        <v>2021</v>
      </c>
      <c r="J157" s="32" t="b">
        <v>1</v>
      </c>
    </row>
    <row r="158" spans="1:10" x14ac:dyDescent="0.15">
      <c r="A158" s="32" t="s">
        <v>5733</v>
      </c>
      <c r="B158" s="32" t="s">
        <v>5733</v>
      </c>
      <c r="C158" s="32" t="s">
        <v>1133</v>
      </c>
      <c r="D158" s="32" t="s">
        <v>864</v>
      </c>
      <c r="E158" s="32" t="s">
        <v>862</v>
      </c>
      <c r="F158" s="32" t="s">
        <v>863</v>
      </c>
      <c r="G158" s="32" t="s">
        <v>866</v>
      </c>
      <c r="H158" s="32" t="s">
        <v>2268</v>
      </c>
      <c r="I158" s="32">
        <v>2021</v>
      </c>
      <c r="J158" s="32" t="b">
        <v>1</v>
      </c>
    </row>
    <row r="159" spans="1:10" x14ac:dyDescent="0.15">
      <c r="A159" s="32" t="s">
        <v>5734</v>
      </c>
      <c r="B159" s="32" t="s">
        <v>5734</v>
      </c>
      <c r="C159" s="32" t="s">
        <v>1133</v>
      </c>
      <c r="D159" s="32" t="s">
        <v>2271</v>
      </c>
      <c r="E159" s="32" t="s">
        <v>2272</v>
      </c>
      <c r="F159" s="32" t="s">
        <v>371</v>
      </c>
      <c r="G159" s="32" t="s">
        <v>2273</v>
      </c>
      <c r="H159" s="32" t="s">
        <v>2274</v>
      </c>
      <c r="I159" s="32">
        <v>2022</v>
      </c>
      <c r="J159" s="32" t="b">
        <v>1</v>
      </c>
    </row>
    <row r="160" spans="1:10" x14ac:dyDescent="0.15">
      <c r="A160" s="32" t="s">
        <v>5735</v>
      </c>
      <c r="B160" s="32" t="s">
        <v>5735</v>
      </c>
      <c r="C160" s="32" t="s">
        <v>1133</v>
      </c>
      <c r="D160" s="32" t="s">
        <v>2278</v>
      </c>
      <c r="E160" s="32" t="s">
        <v>2279</v>
      </c>
      <c r="F160" s="32" t="s">
        <v>1698</v>
      </c>
      <c r="G160" s="32" t="s">
        <v>2280</v>
      </c>
      <c r="H160" s="32" t="s">
        <v>2281</v>
      </c>
      <c r="I160" s="32">
        <v>2020</v>
      </c>
      <c r="J160" s="32" t="b">
        <v>1</v>
      </c>
    </row>
    <row r="161" spans="1:10" x14ac:dyDescent="0.15">
      <c r="A161" s="32" t="s">
        <v>5736</v>
      </c>
      <c r="B161" s="32" t="s">
        <v>5736</v>
      </c>
      <c r="C161" s="32" t="s">
        <v>1133</v>
      </c>
      <c r="D161" s="32" t="s">
        <v>2285</v>
      </c>
      <c r="E161" s="32" t="s">
        <v>2286</v>
      </c>
      <c r="F161" s="32" t="s">
        <v>114</v>
      </c>
      <c r="G161" s="32" t="s">
        <v>2287</v>
      </c>
      <c r="H161" s="32" t="s">
        <v>2288</v>
      </c>
      <c r="I161" s="32">
        <v>2020</v>
      </c>
      <c r="J161" s="32" t="b">
        <v>1</v>
      </c>
    </row>
    <row r="162" spans="1:10" x14ac:dyDescent="0.15">
      <c r="A162" s="32" t="s">
        <v>5737</v>
      </c>
      <c r="B162" s="32" t="s">
        <v>5737</v>
      </c>
      <c r="C162" s="32" t="s">
        <v>1133</v>
      </c>
      <c r="D162" s="32" t="s">
        <v>2292</v>
      </c>
      <c r="E162" s="32" t="s">
        <v>2293</v>
      </c>
      <c r="F162" s="32" t="s">
        <v>97</v>
      </c>
      <c r="G162" s="32" t="s">
        <v>2294</v>
      </c>
      <c r="H162" s="32" t="s">
        <v>2295</v>
      </c>
      <c r="I162" s="32">
        <v>2014</v>
      </c>
      <c r="J162" s="32" t="b">
        <v>1</v>
      </c>
    </row>
    <row r="163" spans="1:10" x14ac:dyDescent="0.15">
      <c r="A163" s="32" t="s">
        <v>5738</v>
      </c>
      <c r="B163" s="32" t="s">
        <v>5738</v>
      </c>
      <c r="C163" s="32" t="s">
        <v>1133</v>
      </c>
      <c r="D163" s="32" t="s">
        <v>2300</v>
      </c>
      <c r="E163" s="32" t="s">
        <v>2301</v>
      </c>
      <c r="F163" s="32" t="s">
        <v>2302</v>
      </c>
      <c r="G163" s="32" t="s">
        <v>2303</v>
      </c>
      <c r="H163" s="32" t="s">
        <v>2304</v>
      </c>
      <c r="I163" s="32">
        <v>2020</v>
      </c>
      <c r="J163" s="32" t="b">
        <v>1</v>
      </c>
    </row>
    <row r="164" spans="1:10" x14ac:dyDescent="0.15">
      <c r="A164" s="32" t="s">
        <v>5739</v>
      </c>
      <c r="B164" s="32" t="s">
        <v>5739</v>
      </c>
      <c r="C164" s="32" t="s">
        <v>1133</v>
      </c>
      <c r="D164" s="32" t="s">
        <v>2308</v>
      </c>
      <c r="E164" s="32" t="s">
        <v>2309</v>
      </c>
      <c r="F164" s="32" t="s">
        <v>849</v>
      </c>
      <c r="G164" s="32" t="s">
        <v>2310</v>
      </c>
      <c r="H164" s="32" t="s">
        <v>2311</v>
      </c>
      <c r="I164" s="32">
        <v>2016</v>
      </c>
      <c r="J164" s="32" t="b">
        <v>1</v>
      </c>
    </row>
    <row r="165" spans="1:10" x14ac:dyDescent="0.15">
      <c r="A165" s="32" t="s">
        <v>5740</v>
      </c>
      <c r="B165" s="32" t="s">
        <v>5740</v>
      </c>
      <c r="C165" s="32" t="s">
        <v>1133</v>
      </c>
      <c r="D165" s="32" t="s">
        <v>2315</v>
      </c>
      <c r="E165" s="32" t="s">
        <v>2316</v>
      </c>
      <c r="F165" s="32" t="s">
        <v>1586</v>
      </c>
      <c r="G165" s="32" t="s">
        <v>2317</v>
      </c>
      <c r="H165" s="32" t="s">
        <v>2318</v>
      </c>
      <c r="I165" s="32">
        <v>2022</v>
      </c>
      <c r="J165" s="32" t="b">
        <v>1</v>
      </c>
    </row>
    <row r="166" spans="1:10" x14ac:dyDescent="0.15">
      <c r="A166" s="32" t="s">
        <v>5741</v>
      </c>
      <c r="B166" s="32" t="s">
        <v>5741</v>
      </c>
      <c r="C166" s="32" t="s">
        <v>1133</v>
      </c>
      <c r="D166" s="32" t="s">
        <v>2322</v>
      </c>
      <c r="E166" s="32" t="s">
        <v>2323</v>
      </c>
      <c r="F166" s="32" t="s">
        <v>2324</v>
      </c>
      <c r="G166" s="32" t="s">
        <v>2325</v>
      </c>
      <c r="H166" s="32" t="s">
        <v>2326</v>
      </c>
      <c r="I166" s="32">
        <v>2019</v>
      </c>
      <c r="J166" s="32" t="b">
        <v>1</v>
      </c>
    </row>
    <row r="167" spans="1:10" x14ac:dyDescent="0.15">
      <c r="A167" s="32" t="s">
        <v>5742</v>
      </c>
      <c r="B167" s="32" t="s">
        <v>5742</v>
      </c>
      <c r="C167" s="32" t="s">
        <v>1133</v>
      </c>
      <c r="D167" s="32" t="s">
        <v>2330</v>
      </c>
      <c r="E167" s="32" t="s">
        <v>2331</v>
      </c>
      <c r="F167" s="32" t="s">
        <v>124</v>
      </c>
      <c r="G167" s="32" t="s">
        <v>2332</v>
      </c>
      <c r="H167" s="32" t="s">
        <v>2333</v>
      </c>
      <c r="I167" s="32">
        <v>2017</v>
      </c>
      <c r="J167" s="32" t="b">
        <v>1</v>
      </c>
    </row>
    <row r="168" spans="1:10" x14ac:dyDescent="0.15">
      <c r="A168" s="32" t="s">
        <v>5743</v>
      </c>
      <c r="B168" s="32" t="s">
        <v>5743</v>
      </c>
      <c r="C168" s="32" t="s">
        <v>1133</v>
      </c>
      <c r="D168" s="32" t="s">
        <v>2337</v>
      </c>
      <c r="E168" s="32" t="s">
        <v>2338</v>
      </c>
      <c r="F168" s="32" t="s">
        <v>68</v>
      </c>
      <c r="G168" s="32" t="s">
        <v>2339</v>
      </c>
      <c r="H168" s="32" t="s">
        <v>2340</v>
      </c>
      <c r="I168" s="32">
        <v>2019</v>
      </c>
      <c r="J168" s="32" t="b">
        <v>1</v>
      </c>
    </row>
    <row r="169" spans="1:10" x14ac:dyDescent="0.15">
      <c r="A169" s="32" t="s">
        <v>5744</v>
      </c>
      <c r="B169" s="32" t="s">
        <v>5744</v>
      </c>
      <c r="C169" s="32" t="s">
        <v>1133</v>
      </c>
      <c r="D169" s="32" t="s">
        <v>544</v>
      </c>
      <c r="E169" s="32" t="s">
        <v>2343</v>
      </c>
      <c r="F169" s="32" t="s">
        <v>422</v>
      </c>
      <c r="G169" s="32" t="s">
        <v>2344</v>
      </c>
      <c r="H169" s="32" t="s">
        <v>2345</v>
      </c>
      <c r="I169" s="32">
        <v>2018</v>
      </c>
      <c r="J169" s="32" t="b">
        <v>1</v>
      </c>
    </row>
    <row r="170" spans="1:10" x14ac:dyDescent="0.15">
      <c r="A170" s="32" t="s">
        <v>5745</v>
      </c>
      <c r="B170" s="32" t="s">
        <v>5745</v>
      </c>
      <c r="C170" s="32" t="s">
        <v>1133</v>
      </c>
      <c r="D170" s="32" t="s">
        <v>2349</v>
      </c>
      <c r="E170" s="32" t="s">
        <v>2350</v>
      </c>
      <c r="F170" s="32" t="s">
        <v>68</v>
      </c>
      <c r="G170" s="32" t="s">
        <v>2351</v>
      </c>
      <c r="H170" s="32" t="s">
        <v>2352</v>
      </c>
      <c r="I170" s="32">
        <v>2020</v>
      </c>
      <c r="J170" s="32" t="b">
        <v>1</v>
      </c>
    </row>
    <row r="171" spans="1:10" x14ac:dyDescent="0.15">
      <c r="A171" s="32" t="s">
        <v>5746</v>
      </c>
      <c r="B171" s="32" t="s">
        <v>5746</v>
      </c>
      <c r="C171" s="32" t="s">
        <v>1133</v>
      </c>
      <c r="D171" s="32" t="s">
        <v>2356</v>
      </c>
      <c r="E171" s="32" t="s">
        <v>2357</v>
      </c>
      <c r="F171" s="32" t="s">
        <v>863</v>
      </c>
      <c r="G171" s="32" t="s">
        <v>2358</v>
      </c>
      <c r="H171" s="32" t="s">
        <v>2359</v>
      </c>
      <c r="I171" s="32">
        <v>2014</v>
      </c>
      <c r="J171" s="32" t="b">
        <v>1</v>
      </c>
    </row>
    <row r="172" spans="1:10" x14ac:dyDescent="0.15">
      <c r="A172" s="32" t="s">
        <v>5747</v>
      </c>
      <c r="B172" s="32" t="s">
        <v>5747</v>
      </c>
      <c r="C172" s="32" t="s">
        <v>1133</v>
      </c>
      <c r="D172" s="32" t="s">
        <v>2363</v>
      </c>
      <c r="E172" s="32" t="s">
        <v>2364</v>
      </c>
      <c r="F172" s="32" t="s">
        <v>502</v>
      </c>
      <c r="G172" s="32" t="s">
        <v>2365</v>
      </c>
      <c r="H172" s="32" t="s">
        <v>2366</v>
      </c>
      <c r="I172" s="32">
        <v>2019</v>
      </c>
      <c r="J172" s="32" t="b">
        <v>1</v>
      </c>
    </row>
    <row r="173" spans="1:10" x14ac:dyDescent="0.15">
      <c r="A173" s="32" t="s">
        <v>5748</v>
      </c>
      <c r="B173" s="32" t="s">
        <v>5748</v>
      </c>
      <c r="C173" s="32" t="s">
        <v>1133</v>
      </c>
      <c r="D173" s="32" t="s">
        <v>2370</v>
      </c>
      <c r="E173" s="32" t="s">
        <v>2371</v>
      </c>
      <c r="F173" s="32" t="s">
        <v>2372</v>
      </c>
      <c r="G173" s="32" t="s">
        <v>2373</v>
      </c>
      <c r="H173" s="32" t="s">
        <v>2374</v>
      </c>
      <c r="I173" s="32">
        <v>2021</v>
      </c>
      <c r="J173" s="32" t="b">
        <v>1</v>
      </c>
    </row>
    <row r="174" spans="1:10" x14ac:dyDescent="0.15">
      <c r="A174" s="32" t="s">
        <v>5749</v>
      </c>
      <c r="B174" s="32" t="s">
        <v>5749</v>
      </c>
      <c r="C174" s="32" t="s">
        <v>1133</v>
      </c>
      <c r="D174" s="32" t="s">
        <v>2378</v>
      </c>
      <c r="E174" s="32" t="s">
        <v>2379</v>
      </c>
      <c r="F174" s="32" t="s">
        <v>89</v>
      </c>
      <c r="G174" s="32" t="s">
        <v>2380</v>
      </c>
      <c r="H174" s="32" t="e">
        <v>#N/A</v>
      </c>
      <c r="I174" s="32">
        <v>2015</v>
      </c>
      <c r="J174" s="32" t="b">
        <v>1</v>
      </c>
    </row>
    <row r="175" spans="1:10" x14ac:dyDescent="0.15">
      <c r="A175" s="32" t="s">
        <v>5750</v>
      </c>
      <c r="B175" s="32" t="s">
        <v>5750</v>
      </c>
      <c r="C175" s="32" t="s">
        <v>1133</v>
      </c>
      <c r="D175" s="32" t="s">
        <v>2384</v>
      </c>
      <c r="E175" s="32" t="s">
        <v>2385</v>
      </c>
      <c r="F175" s="32" t="s">
        <v>68</v>
      </c>
      <c r="G175" s="32" t="s">
        <v>2386</v>
      </c>
      <c r="H175" s="32" t="s">
        <v>2387</v>
      </c>
      <c r="I175" s="32">
        <v>2018</v>
      </c>
      <c r="J175" s="32" t="b">
        <v>1</v>
      </c>
    </row>
    <row r="176" spans="1:10" x14ac:dyDescent="0.15">
      <c r="A176" s="32" t="s">
        <v>5751</v>
      </c>
      <c r="B176" s="32" t="s">
        <v>5751</v>
      </c>
      <c r="C176" s="32" t="s">
        <v>1133</v>
      </c>
      <c r="D176" s="32" t="s">
        <v>2391</v>
      </c>
      <c r="E176" s="32" t="s">
        <v>2392</v>
      </c>
      <c r="F176" s="32" t="s">
        <v>2393</v>
      </c>
      <c r="G176" s="32" t="s">
        <v>2394</v>
      </c>
      <c r="H176" s="32" t="s">
        <v>2395</v>
      </c>
      <c r="I176" s="32">
        <v>2019</v>
      </c>
      <c r="J176" s="32" t="b">
        <v>0</v>
      </c>
    </row>
    <row r="177" spans="1:10" x14ac:dyDescent="0.15">
      <c r="A177" s="32" t="s">
        <v>5752</v>
      </c>
      <c r="B177" s="32" t="s">
        <v>5752</v>
      </c>
      <c r="C177" s="32" t="s">
        <v>1133</v>
      </c>
      <c r="D177" s="32" t="s">
        <v>2399</v>
      </c>
      <c r="E177" s="32" t="s">
        <v>2400</v>
      </c>
      <c r="F177" s="32" t="s">
        <v>1562</v>
      </c>
      <c r="G177" s="32" t="s">
        <v>2401</v>
      </c>
      <c r="H177" s="32" t="s">
        <v>2402</v>
      </c>
      <c r="I177" s="32">
        <v>2018</v>
      </c>
      <c r="J177" s="32" t="b">
        <v>1</v>
      </c>
    </row>
    <row r="178" spans="1:10" x14ac:dyDescent="0.15">
      <c r="A178" s="32" t="s">
        <v>5753</v>
      </c>
      <c r="B178" s="32" t="s">
        <v>5753</v>
      </c>
      <c r="C178" s="32" t="s">
        <v>1133</v>
      </c>
      <c r="D178" s="32" t="s">
        <v>2406</v>
      </c>
      <c r="E178" s="32" t="s">
        <v>2407</v>
      </c>
      <c r="F178" s="32" t="s">
        <v>228</v>
      </c>
      <c r="G178" s="32" t="s">
        <v>2408</v>
      </c>
      <c r="H178" s="32" t="s">
        <v>2409</v>
      </c>
      <c r="I178" s="32">
        <v>2020</v>
      </c>
      <c r="J178" s="32" t="b">
        <v>1</v>
      </c>
    </row>
    <row r="179" spans="1:10" x14ac:dyDescent="0.15">
      <c r="A179" s="32" t="s">
        <v>5754</v>
      </c>
      <c r="B179" s="32" t="s">
        <v>5754</v>
      </c>
      <c r="C179" s="32" t="s">
        <v>1133</v>
      </c>
      <c r="D179" s="32" t="s">
        <v>2415</v>
      </c>
      <c r="E179" s="32" t="s">
        <v>2416</v>
      </c>
      <c r="F179" s="32" t="s">
        <v>371</v>
      </c>
      <c r="G179" s="32" t="s">
        <v>2417</v>
      </c>
      <c r="H179" s="32" t="s">
        <v>2418</v>
      </c>
      <c r="I179" s="32">
        <v>2019</v>
      </c>
      <c r="J179" s="32" t="b">
        <v>1</v>
      </c>
    </row>
    <row r="180" spans="1:10" x14ac:dyDescent="0.15">
      <c r="A180" s="32" t="s">
        <v>5755</v>
      </c>
      <c r="B180" s="32" t="s">
        <v>5755</v>
      </c>
      <c r="C180" s="32" t="s">
        <v>1133</v>
      </c>
      <c r="D180" s="32" t="s">
        <v>2422</v>
      </c>
      <c r="E180" s="32" t="s">
        <v>2423</v>
      </c>
      <c r="F180" s="32" t="s">
        <v>1430</v>
      </c>
      <c r="G180" s="32" t="s">
        <v>2424</v>
      </c>
      <c r="H180" s="32" t="s">
        <v>2425</v>
      </c>
      <c r="I180" s="32">
        <v>2016</v>
      </c>
      <c r="J180" s="32" t="b">
        <v>1</v>
      </c>
    </row>
    <row r="181" spans="1:10" x14ac:dyDescent="0.15">
      <c r="A181" s="32" t="s">
        <v>5756</v>
      </c>
      <c r="B181" s="32" t="s">
        <v>5756</v>
      </c>
      <c r="C181" s="32" t="s">
        <v>1133</v>
      </c>
      <c r="D181" s="32" t="s">
        <v>2429</v>
      </c>
      <c r="E181" s="32" t="s">
        <v>2430</v>
      </c>
      <c r="F181" s="32" t="s">
        <v>502</v>
      </c>
      <c r="G181" s="32" t="s">
        <v>2431</v>
      </c>
      <c r="H181" s="32" t="s">
        <v>2432</v>
      </c>
      <c r="I181" s="32">
        <v>2021</v>
      </c>
      <c r="J181" s="32" t="b">
        <v>1</v>
      </c>
    </row>
    <row r="182" spans="1:10" x14ac:dyDescent="0.15">
      <c r="A182" s="32" t="s">
        <v>5757</v>
      </c>
      <c r="B182" s="32" t="s">
        <v>5757</v>
      </c>
      <c r="C182" s="32" t="s">
        <v>1133</v>
      </c>
      <c r="D182" s="32" t="s">
        <v>2437</v>
      </c>
      <c r="E182" s="32" t="s">
        <v>2438</v>
      </c>
      <c r="F182" s="32" t="s">
        <v>124</v>
      </c>
      <c r="G182" s="32" t="s">
        <v>2439</v>
      </c>
      <c r="H182" s="32" t="s">
        <v>2318</v>
      </c>
      <c r="I182" s="32">
        <v>2014</v>
      </c>
      <c r="J182" s="32" t="b">
        <v>1</v>
      </c>
    </row>
    <row r="183" spans="1:10" x14ac:dyDescent="0.15">
      <c r="A183" s="32" t="s">
        <v>5758</v>
      </c>
      <c r="B183" s="32" t="s">
        <v>5758</v>
      </c>
      <c r="C183" s="32" t="s">
        <v>1133</v>
      </c>
      <c r="D183" s="32" t="s">
        <v>2443</v>
      </c>
      <c r="E183" s="32" t="s">
        <v>2444</v>
      </c>
      <c r="F183" s="32" t="s">
        <v>68</v>
      </c>
      <c r="G183" s="32" t="s">
        <v>2445</v>
      </c>
      <c r="H183" s="32" t="s">
        <v>2446</v>
      </c>
      <c r="I183" s="32">
        <v>2021</v>
      </c>
      <c r="J183" s="32" t="b">
        <v>1</v>
      </c>
    </row>
    <row r="184" spans="1:10" x14ac:dyDescent="0.15">
      <c r="A184" s="32" t="s">
        <v>5759</v>
      </c>
      <c r="B184" s="32" t="s">
        <v>5759</v>
      </c>
      <c r="C184" s="32" t="s">
        <v>1133</v>
      </c>
      <c r="D184" s="32" t="s">
        <v>2450</v>
      </c>
      <c r="E184" s="32" t="s">
        <v>2451</v>
      </c>
      <c r="F184" s="32" t="s">
        <v>1936</v>
      </c>
      <c r="G184" s="32" t="s">
        <v>2452</v>
      </c>
      <c r="H184" s="32" t="s">
        <v>2453</v>
      </c>
      <c r="I184" s="32">
        <v>2019</v>
      </c>
      <c r="J184" s="32" t="b">
        <v>1</v>
      </c>
    </row>
    <row r="185" spans="1:10" x14ac:dyDescent="0.15">
      <c r="A185" s="32" t="s">
        <v>5760</v>
      </c>
      <c r="B185" s="32" t="s">
        <v>5760</v>
      </c>
      <c r="C185" s="32" t="s">
        <v>1133</v>
      </c>
      <c r="D185" s="32" t="s">
        <v>2457</v>
      </c>
      <c r="E185" s="32" t="s">
        <v>2458</v>
      </c>
      <c r="F185" s="32" t="s">
        <v>2459</v>
      </c>
      <c r="G185" s="32" t="s">
        <v>2460</v>
      </c>
      <c r="H185" s="32" t="s">
        <v>2461</v>
      </c>
      <c r="I185" s="32">
        <v>2017</v>
      </c>
      <c r="J185" s="32" t="b">
        <v>1</v>
      </c>
    </row>
    <row r="186" spans="1:10" x14ac:dyDescent="0.15">
      <c r="A186" s="32" t="s">
        <v>5761</v>
      </c>
      <c r="B186" s="32" t="s">
        <v>5761</v>
      </c>
      <c r="C186" s="32" t="s">
        <v>1133</v>
      </c>
      <c r="D186" s="32" t="s">
        <v>2465</v>
      </c>
      <c r="E186" s="32" t="s">
        <v>2466</v>
      </c>
      <c r="F186" s="32" t="s">
        <v>114</v>
      </c>
      <c r="G186" s="32" t="s">
        <v>2467</v>
      </c>
      <c r="H186" s="32" t="s">
        <v>2468</v>
      </c>
      <c r="I186" s="32">
        <v>2021</v>
      </c>
      <c r="J186" s="32" t="b">
        <v>1</v>
      </c>
    </row>
    <row r="187" spans="1:10" x14ac:dyDescent="0.15">
      <c r="A187" s="32" t="s">
        <v>5762</v>
      </c>
      <c r="B187" s="32" t="s">
        <v>5762</v>
      </c>
      <c r="C187" s="32" t="s">
        <v>1133</v>
      </c>
      <c r="D187" s="32" t="s">
        <v>2472</v>
      </c>
      <c r="E187" s="32" t="s">
        <v>2473</v>
      </c>
      <c r="F187" s="32" t="s">
        <v>2474</v>
      </c>
      <c r="G187" s="32" t="s">
        <v>2475</v>
      </c>
      <c r="H187" s="32" t="s">
        <v>502</v>
      </c>
      <c r="I187" s="32">
        <v>2017</v>
      </c>
      <c r="J187" s="32" t="b">
        <v>0</v>
      </c>
    </row>
    <row r="188" spans="1:10" x14ac:dyDescent="0.15">
      <c r="A188" s="32" t="s">
        <v>5763</v>
      </c>
      <c r="B188" s="32" t="s">
        <v>5763</v>
      </c>
      <c r="C188" s="32" t="s">
        <v>1133</v>
      </c>
      <c r="D188" s="32" t="s">
        <v>2479</v>
      </c>
      <c r="E188" s="32" t="s">
        <v>2480</v>
      </c>
      <c r="F188" s="32" t="s">
        <v>97</v>
      </c>
      <c r="G188" s="32" t="s">
        <v>2481</v>
      </c>
      <c r="H188" s="32" t="s">
        <v>2482</v>
      </c>
      <c r="I188" s="32">
        <v>2020</v>
      </c>
      <c r="J188" s="32" t="b">
        <v>1</v>
      </c>
    </row>
    <row r="189" spans="1:10" x14ac:dyDescent="0.15">
      <c r="A189" s="32" t="s">
        <v>5764</v>
      </c>
      <c r="B189" s="32" t="s">
        <v>5764</v>
      </c>
      <c r="C189" s="32" t="s">
        <v>1133</v>
      </c>
      <c r="D189" s="32" t="s">
        <v>2487</v>
      </c>
      <c r="E189" s="32" t="s">
        <v>2488</v>
      </c>
      <c r="F189" s="32" t="s">
        <v>313</v>
      </c>
      <c r="G189" s="32" t="s">
        <v>2489</v>
      </c>
      <c r="H189" s="32" t="s">
        <v>2490</v>
      </c>
      <c r="I189" s="32">
        <v>2021</v>
      </c>
      <c r="J189" s="32" t="b">
        <v>1</v>
      </c>
    </row>
    <row r="190" spans="1:10" x14ac:dyDescent="0.15">
      <c r="A190" s="32" t="s">
        <v>5765</v>
      </c>
      <c r="B190" s="32" t="s">
        <v>5765</v>
      </c>
      <c r="C190" s="32" t="s">
        <v>1133</v>
      </c>
      <c r="D190" s="32" t="s">
        <v>2495</v>
      </c>
      <c r="E190" s="32" t="s">
        <v>2496</v>
      </c>
      <c r="F190" s="32" t="s">
        <v>114</v>
      </c>
      <c r="G190" s="32" t="s">
        <v>2497</v>
      </c>
      <c r="H190" s="32" t="s">
        <v>2498</v>
      </c>
      <c r="I190" s="32" t="e">
        <v>#N/A</v>
      </c>
      <c r="J190" s="32" t="b">
        <v>1</v>
      </c>
    </row>
    <row r="191" spans="1:10" x14ac:dyDescent="0.15">
      <c r="A191" s="32" t="s">
        <v>5766</v>
      </c>
      <c r="B191" s="32" t="s">
        <v>5766</v>
      </c>
      <c r="C191" s="32" t="s">
        <v>1133</v>
      </c>
      <c r="D191" s="32" t="s">
        <v>2502</v>
      </c>
      <c r="E191" s="32" t="s">
        <v>2503</v>
      </c>
      <c r="F191" s="32" t="s">
        <v>2504</v>
      </c>
      <c r="G191" s="32" t="s">
        <v>2505</v>
      </c>
      <c r="H191" s="32" t="e">
        <v>#N/A</v>
      </c>
      <c r="I191" s="32">
        <v>2021</v>
      </c>
      <c r="J191" s="32" t="b">
        <v>0</v>
      </c>
    </row>
    <row r="192" spans="1:10" x14ac:dyDescent="0.15">
      <c r="A192" s="32" t="s">
        <v>5767</v>
      </c>
      <c r="B192" s="32" t="s">
        <v>5767</v>
      </c>
      <c r="C192" s="32" t="s">
        <v>1133</v>
      </c>
      <c r="D192" s="32" t="s">
        <v>115</v>
      </c>
      <c r="E192" s="32" t="s">
        <v>2510</v>
      </c>
      <c r="F192" s="32" t="s">
        <v>2051</v>
      </c>
      <c r="G192" s="32" t="s">
        <v>2511</v>
      </c>
      <c r="H192" s="32" t="e">
        <v>#N/A</v>
      </c>
      <c r="I192" s="32">
        <v>2021</v>
      </c>
      <c r="J192" s="32" t="b">
        <v>1</v>
      </c>
    </row>
    <row r="193" spans="1:10" x14ac:dyDescent="0.15">
      <c r="A193" s="32" t="s">
        <v>5768</v>
      </c>
      <c r="B193" s="32" t="s">
        <v>5768</v>
      </c>
      <c r="C193" s="32" t="s">
        <v>1133</v>
      </c>
      <c r="D193" s="32" t="s">
        <v>2515</v>
      </c>
      <c r="E193" s="32" t="s">
        <v>2516</v>
      </c>
      <c r="F193" s="32" t="s">
        <v>124</v>
      </c>
      <c r="G193" s="32" t="s">
        <v>2517</v>
      </c>
      <c r="H193" s="32" t="s">
        <v>1259</v>
      </c>
      <c r="I193" s="32">
        <v>2019</v>
      </c>
      <c r="J193" s="32" t="b">
        <v>1</v>
      </c>
    </row>
    <row r="194" spans="1:10" x14ac:dyDescent="0.15">
      <c r="A194" s="32" t="s">
        <v>5769</v>
      </c>
      <c r="B194" s="32" t="s">
        <v>5769</v>
      </c>
      <c r="C194" s="32" t="s">
        <v>1133</v>
      </c>
      <c r="D194" s="32" t="s">
        <v>2521</v>
      </c>
      <c r="E194" s="32" t="s">
        <v>2522</v>
      </c>
      <c r="F194" s="32" t="s">
        <v>1586</v>
      </c>
      <c r="G194" s="32" t="s">
        <v>2523</v>
      </c>
      <c r="H194" s="32" t="e">
        <v>#N/A</v>
      </c>
      <c r="I194" s="32">
        <v>2018</v>
      </c>
      <c r="J194" s="32" t="b">
        <v>1</v>
      </c>
    </row>
    <row r="195" spans="1:10" x14ac:dyDescent="0.15">
      <c r="A195" s="32" t="s">
        <v>5770</v>
      </c>
      <c r="B195" s="32" t="s">
        <v>5770</v>
      </c>
      <c r="C195" s="32" t="s">
        <v>1133</v>
      </c>
      <c r="D195" s="32" t="s">
        <v>2527</v>
      </c>
      <c r="E195" s="32" t="s">
        <v>2528</v>
      </c>
      <c r="F195" s="32" t="s">
        <v>1951</v>
      </c>
      <c r="G195" s="32" t="s">
        <v>2529</v>
      </c>
      <c r="H195" s="32" t="e">
        <v>#N/A</v>
      </c>
      <c r="I195" s="32">
        <v>2020</v>
      </c>
      <c r="J195" s="32" t="b">
        <v>1</v>
      </c>
    </row>
    <row r="196" spans="1:10" x14ac:dyDescent="0.15">
      <c r="A196" s="32" t="s">
        <v>5771</v>
      </c>
      <c r="B196" s="32" t="s">
        <v>5771</v>
      </c>
      <c r="C196" s="32" t="s">
        <v>1133</v>
      </c>
      <c r="D196" s="32" t="s">
        <v>2533</v>
      </c>
      <c r="E196" s="32" t="s">
        <v>2534</v>
      </c>
      <c r="F196" s="32" t="s">
        <v>1936</v>
      </c>
      <c r="G196" s="32" t="s">
        <v>2535</v>
      </c>
      <c r="H196" s="32" t="s">
        <v>2536</v>
      </c>
      <c r="I196" s="32">
        <v>2019</v>
      </c>
      <c r="J196" s="32" t="b">
        <v>1</v>
      </c>
    </row>
    <row r="197" spans="1:10" x14ac:dyDescent="0.15">
      <c r="A197" s="32" t="s">
        <v>5772</v>
      </c>
      <c r="B197" s="32" t="s">
        <v>5772</v>
      </c>
      <c r="C197" s="32" t="s">
        <v>1133</v>
      </c>
      <c r="D197" s="32" t="s">
        <v>2540</v>
      </c>
      <c r="E197" s="32" t="s">
        <v>2541</v>
      </c>
      <c r="F197" s="32" t="s">
        <v>89</v>
      </c>
      <c r="G197" s="32" t="s">
        <v>2542</v>
      </c>
      <c r="H197" s="32" t="s">
        <v>2543</v>
      </c>
      <c r="I197" s="32">
        <v>2021</v>
      </c>
      <c r="J197" s="32" t="b">
        <v>1</v>
      </c>
    </row>
    <row r="198" spans="1:10" x14ac:dyDescent="0.15">
      <c r="A198" s="32" t="s">
        <v>5773</v>
      </c>
      <c r="B198" s="32" t="s">
        <v>5773</v>
      </c>
      <c r="C198" s="32" t="s">
        <v>1133</v>
      </c>
      <c r="D198" s="32" t="s">
        <v>2547</v>
      </c>
      <c r="E198" s="32" t="s">
        <v>2548</v>
      </c>
      <c r="F198" s="32" t="s">
        <v>2549</v>
      </c>
      <c r="G198" s="32" t="s">
        <v>2550</v>
      </c>
      <c r="H198" s="32" t="s">
        <v>2551</v>
      </c>
      <c r="I198" s="32">
        <v>2017</v>
      </c>
      <c r="J198" s="32" t="b">
        <v>0</v>
      </c>
    </row>
    <row r="199" spans="1:10" x14ac:dyDescent="0.15">
      <c r="A199" s="32" t="s">
        <v>5774</v>
      </c>
      <c r="B199" s="32" t="s">
        <v>5774</v>
      </c>
      <c r="C199" s="32" t="s">
        <v>1133</v>
      </c>
      <c r="D199" s="32" t="s">
        <v>2555</v>
      </c>
      <c r="E199" s="32" t="s">
        <v>2556</v>
      </c>
      <c r="F199" s="32" t="s">
        <v>553</v>
      </c>
      <c r="G199" s="32" t="s">
        <v>2557</v>
      </c>
      <c r="H199" s="32" t="s">
        <v>2558</v>
      </c>
      <c r="I199" s="32">
        <v>2021</v>
      </c>
      <c r="J199" s="32" t="b">
        <v>1</v>
      </c>
    </row>
    <row r="200" spans="1:10" x14ac:dyDescent="0.15">
      <c r="A200" s="32" t="s">
        <v>5775</v>
      </c>
      <c r="B200" s="32" t="s">
        <v>5775</v>
      </c>
      <c r="C200" s="32" t="s">
        <v>1133</v>
      </c>
      <c r="D200" s="32" t="s">
        <v>2527</v>
      </c>
      <c r="E200" s="32" t="s">
        <v>2561</v>
      </c>
      <c r="F200" s="32" t="s">
        <v>114</v>
      </c>
      <c r="G200" s="32" t="s">
        <v>2562</v>
      </c>
      <c r="H200" s="32" t="e">
        <v>#N/A</v>
      </c>
      <c r="I200" s="32">
        <v>2019</v>
      </c>
      <c r="J200" s="32" t="b">
        <v>1</v>
      </c>
    </row>
    <row r="201" spans="1:10" x14ac:dyDescent="0.15">
      <c r="A201" s="32" t="s">
        <v>5776</v>
      </c>
      <c r="B201" s="32" t="s">
        <v>5776</v>
      </c>
      <c r="C201" s="32" t="s">
        <v>1133</v>
      </c>
      <c r="D201" s="32" t="s">
        <v>2566</v>
      </c>
      <c r="E201" s="32" t="s">
        <v>2567</v>
      </c>
      <c r="F201" s="32" t="s">
        <v>2568</v>
      </c>
      <c r="G201" s="32" t="s">
        <v>2569</v>
      </c>
      <c r="H201" s="32" t="s">
        <v>2570</v>
      </c>
      <c r="I201" s="32">
        <v>2013</v>
      </c>
      <c r="J201" s="32" t="b">
        <v>0</v>
      </c>
    </row>
    <row r="202" spans="1:10" x14ac:dyDescent="0.15">
      <c r="A202" s="32" t="s">
        <v>5777</v>
      </c>
      <c r="B202" s="32" t="s">
        <v>5777</v>
      </c>
      <c r="C202" s="32" t="s">
        <v>1133</v>
      </c>
      <c r="D202" s="32" t="s">
        <v>2575</v>
      </c>
      <c r="E202" s="32" t="s">
        <v>2576</v>
      </c>
      <c r="F202" s="32" t="s">
        <v>114</v>
      </c>
      <c r="G202" s="32" t="s">
        <v>2577</v>
      </c>
      <c r="H202" s="32" t="s">
        <v>2578</v>
      </c>
      <c r="I202" s="32">
        <v>2020</v>
      </c>
      <c r="J202" s="32" t="b">
        <v>1</v>
      </c>
    </row>
    <row r="203" spans="1:10" x14ac:dyDescent="0.15">
      <c r="A203" s="32" t="s">
        <v>5778</v>
      </c>
      <c r="B203" s="32" t="s">
        <v>5778</v>
      </c>
      <c r="C203" s="32" t="s">
        <v>1133</v>
      </c>
      <c r="D203" s="32" t="s">
        <v>2582</v>
      </c>
      <c r="E203" s="32" t="s">
        <v>2583</v>
      </c>
      <c r="F203" s="32" t="s">
        <v>422</v>
      </c>
      <c r="G203" s="32" t="s">
        <v>2584</v>
      </c>
      <c r="H203" s="32" t="s">
        <v>2585</v>
      </c>
      <c r="I203" s="32">
        <v>2017</v>
      </c>
      <c r="J203" s="32" t="b">
        <v>1</v>
      </c>
    </row>
    <row r="204" spans="1:10" x14ac:dyDescent="0.15">
      <c r="A204" s="32" t="s">
        <v>5779</v>
      </c>
      <c r="B204" s="32" t="s">
        <v>5779</v>
      </c>
      <c r="C204" s="32" t="s">
        <v>1133</v>
      </c>
      <c r="D204" s="32" t="s">
        <v>301</v>
      </c>
      <c r="E204" s="32" t="s">
        <v>2588</v>
      </c>
      <c r="F204" s="32" t="s">
        <v>2589</v>
      </c>
      <c r="G204" s="32" t="s">
        <v>2590</v>
      </c>
      <c r="H204" s="32" t="s">
        <v>2591</v>
      </c>
      <c r="I204" s="32">
        <v>2017</v>
      </c>
      <c r="J204" s="32" t="b">
        <v>0</v>
      </c>
    </row>
    <row r="205" spans="1:10" x14ac:dyDescent="0.15">
      <c r="A205" s="32" t="s">
        <v>5780</v>
      </c>
      <c r="B205" s="32" t="s">
        <v>5780</v>
      </c>
      <c r="C205" s="32" t="s">
        <v>1133</v>
      </c>
      <c r="D205" s="32" t="s">
        <v>2595</v>
      </c>
      <c r="E205" s="32" t="s">
        <v>2596</v>
      </c>
      <c r="F205" s="32" t="s">
        <v>2597</v>
      </c>
      <c r="G205" s="32" t="s">
        <v>2598</v>
      </c>
      <c r="H205" s="32" t="e">
        <v>#N/A</v>
      </c>
      <c r="I205" s="32">
        <v>2014</v>
      </c>
      <c r="J205" s="32" t="b">
        <v>0</v>
      </c>
    </row>
    <row r="206" spans="1:10" x14ac:dyDescent="0.15">
      <c r="A206" s="32" t="s">
        <v>5781</v>
      </c>
      <c r="B206" s="32" t="s">
        <v>5781</v>
      </c>
      <c r="C206" s="32" t="s">
        <v>1133</v>
      </c>
      <c r="D206" s="32" t="s">
        <v>2602</v>
      </c>
      <c r="E206" s="32" t="s">
        <v>2603</v>
      </c>
      <c r="F206" s="32" t="s">
        <v>1372</v>
      </c>
      <c r="G206" s="32" t="s">
        <v>2604</v>
      </c>
      <c r="H206" s="32" t="s">
        <v>2605</v>
      </c>
      <c r="I206" s="32">
        <v>2020</v>
      </c>
      <c r="J206" s="32" t="b">
        <v>1</v>
      </c>
    </row>
    <row r="207" spans="1:10" x14ac:dyDescent="0.15">
      <c r="A207" s="32" t="s">
        <v>5782</v>
      </c>
      <c r="B207" s="32" t="s">
        <v>5782</v>
      </c>
      <c r="C207" s="32" t="s">
        <v>1133</v>
      </c>
      <c r="D207" s="32" t="s">
        <v>2609</v>
      </c>
      <c r="E207" s="32" t="s">
        <v>2610</v>
      </c>
      <c r="F207" s="32" t="s">
        <v>328</v>
      </c>
      <c r="G207" s="32" t="s">
        <v>2611</v>
      </c>
      <c r="H207" s="32" t="e">
        <v>#N/A</v>
      </c>
      <c r="I207" s="32">
        <v>2017</v>
      </c>
      <c r="J207" s="32" t="b">
        <v>1</v>
      </c>
    </row>
    <row r="208" spans="1:10" x14ac:dyDescent="0.15">
      <c r="A208" s="32" t="s">
        <v>5783</v>
      </c>
      <c r="B208" s="32" t="s">
        <v>5783</v>
      </c>
      <c r="C208" s="32" t="s">
        <v>1133</v>
      </c>
      <c r="D208" s="32" t="s">
        <v>2614</v>
      </c>
      <c r="E208" s="32" t="s">
        <v>2615</v>
      </c>
      <c r="F208" s="32" t="s">
        <v>1430</v>
      </c>
      <c r="G208" s="32" t="s">
        <v>2616</v>
      </c>
      <c r="H208" s="32" t="s">
        <v>2617</v>
      </c>
      <c r="I208" s="32">
        <v>2020</v>
      </c>
      <c r="J208" s="32" t="b">
        <v>1</v>
      </c>
    </row>
    <row r="209" spans="1:10" x14ac:dyDescent="0.15">
      <c r="A209" s="32" t="s">
        <v>5784</v>
      </c>
      <c r="B209" s="32" t="s">
        <v>5784</v>
      </c>
      <c r="C209" s="32" t="s">
        <v>1133</v>
      </c>
      <c r="D209" s="32" t="s">
        <v>2621</v>
      </c>
      <c r="E209" s="32" t="s">
        <v>2622</v>
      </c>
      <c r="F209" s="32" t="s">
        <v>97</v>
      </c>
      <c r="G209" s="32" t="s">
        <v>2623</v>
      </c>
      <c r="H209" s="32" t="s">
        <v>2624</v>
      </c>
      <c r="I209" s="32">
        <v>2021</v>
      </c>
      <c r="J209" s="32" t="b">
        <v>1</v>
      </c>
    </row>
    <row r="210" spans="1:10" x14ac:dyDescent="0.15">
      <c r="A210" s="32" t="s">
        <v>5785</v>
      </c>
      <c r="B210" s="32" t="s">
        <v>5785</v>
      </c>
      <c r="C210" s="32" t="s">
        <v>1133</v>
      </c>
      <c r="D210" s="32" t="s">
        <v>2629</v>
      </c>
      <c r="E210" s="32" t="s">
        <v>2630</v>
      </c>
      <c r="F210" s="32" t="s">
        <v>97</v>
      </c>
      <c r="G210" s="32" t="s">
        <v>2631</v>
      </c>
      <c r="H210" s="32" t="s">
        <v>2632</v>
      </c>
      <c r="I210" s="32">
        <v>2022</v>
      </c>
      <c r="J210" s="32" t="b">
        <v>1</v>
      </c>
    </row>
    <row r="211" spans="1:10" x14ac:dyDescent="0.15">
      <c r="A211" s="32" t="s">
        <v>5786</v>
      </c>
      <c r="B211" s="32" t="s">
        <v>5786</v>
      </c>
      <c r="C211" s="32" t="s">
        <v>1133</v>
      </c>
      <c r="D211" s="32" t="s">
        <v>2637</v>
      </c>
      <c r="E211" s="32" t="s">
        <v>2638</v>
      </c>
      <c r="F211" s="32" t="s">
        <v>502</v>
      </c>
      <c r="G211" s="32" t="s">
        <v>2639</v>
      </c>
      <c r="H211" s="32" t="s">
        <v>2640</v>
      </c>
      <c r="I211" s="32">
        <v>2022</v>
      </c>
      <c r="J211" s="32" t="b">
        <v>1</v>
      </c>
    </row>
    <row r="212" spans="1:10" x14ac:dyDescent="0.15">
      <c r="A212" s="32" t="s">
        <v>5787</v>
      </c>
      <c r="B212" s="32" t="s">
        <v>5787</v>
      </c>
      <c r="C212" s="32" t="s">
        <v>1133</v>
      </c>
      <c r="D212" s="32" t="s">
        <v>2646</v>
      </c>
      <c r="E212" s="32" t="s">
        <v>2647</v>
      </c>
      <c r="F212" s="32" t="s">
        <v>278</v>
      </c>
      <c r="G212" s="32" t="s">
        <v>2648</v>
      </c>
      <c r="H212" s="32" t="s">
        <v>2649</v>
      </c>
      <c r="I212" s="32">
        <v>2021</v>
      </c>
      <c r="J212" s="32" t="b">
        <v>0</v>
      </c>
    </row>
    <row r="213" spans="1:10" x14ac:dyDescent="0.15">
      <c r="A213" s="32" t="s">
        <v>5788</v>
      </c>
      <c r="B213" s="32" t="s">
        <v>5788</v>
      </c>
      <c r="C213" s="32" t="s">
        <v>1133</v>
      </c>
      <c r="D213" s="32" t="s">
        <v>2653</v>
      </c>
      <c r="E213" s="32" t="s">
        <v>2654</v>
      </c>
      <c r="F213" s="32" t="s">
        <v>124</v>
      </c>
      <c r="G213" s="32" t="s">
        <v>2655</v>
      </c>
      <c r="H213" s="32" t="s">
        <v>2656</v>
      </c>
      <c r="I213" s="32">
        <v>2021</v>
      </c>
      <c r="J213" s="32" t="b">
        <v>1</v>
      </c>
    </row>
    <row r="214" spans="1:10" x14ac:dyDescent="0.15">
      <c r="A214" s="32" t="s">
        <v>5789</v>
      </c>
      <c r="B214" s="32" t="s">
        <v>5789</v>
      </c>
      <c r="C214" s="32" t="s">
        <v>1133</v>
      </c>
      <c r="D214" s="32" t="s">
        <v>2660</v>
      </c>
      <c r="E214" s="32" t="s">
        <v>2661</v>
      </c>
      <c r="F214" s="32" t="s">
        <v>124</v>
      </c>
      <c r="G214" s="32" t="s">
        <v>2662</v>
      </c>
      <c r="H214" s="32" t="s">
        <v>2663</v>
      </c>
      <c r="I214" s="32">
        <v>2014</v>
      </c>
      <c r="J214" s="32" t="b">
        <v>1</v>
      </c>
    </row>
    <row r="215" spans="1:10" x14ac:dyDescent="0.15">
      <c r="A215" s="32" t="s">
        <v>5790</v>
      </c>
      <c r="B215" s="32" t="s">
        <v>5790</v>
      </c>
      <c r="C215" s="32" t="s">
        <v>1133</v>
      </c>
      <c r="D215" s="32" t="s">
        <v>2667</v>
      </c>
      <c r="E215" s="32" t="s">
        <v>2668</v>
      </c>
      <c r="F215" s="32" t="s">
        <v>2669</v>
      </c>
      <c r="G215" s="32" t="s">
        <v>2670</v>
      </c>
      <c r="H215" s="32" t="s">
        <v>2671</v>
      </c>
      <c r="I215" s="32">
        <v>2019</v>
      </c>
      <c r="J215" s="32" t="b">
        <v>0</v>
      </c>
    </row>
    <row r="216" spans="1:10" x14ac:dyDescent="0.15">
      <c r="A216" s="32" t="s">
        <v>5791</v>
      </c>
      <c r="B216" s="32" t="s">
        <v>5791</v>
      </c>
      <c r="C216" s="32" t="s">
        <v>1133</v>
      </c>
      <c r="D216" s="32" t="s">
        <v>2675</v>
      </c>
      <c r="E216" s="32" t="s">
        <v>2676</v>
      </c>
      <c r="F216" s="32" t="s">
        <v>849</v>
      </c>
      <c r="G216" s="32" t="s">
        <v>2677</v>
      </c>
      <c r="H216" s="32" t="s">
        <v>2678</v>
      </c>
      <c r="I216" s="32">
        <v>2013</v>
      </c>
      <c r="J216" s="32" t="b">
        <v>1</v>
      </c>
    </row>
    <row r="217" spans="1:10" x14ac:dyDescent="0.15">
      <c r="A217" s="32" t="s">
        <v>5792</v>
      </c>
      <c r="B217" s="32" t="s">
        <v>5792</v>
      </c>
      <c r="C217" s="32" t="s">
        <v>1133</v>
      </c>
      <c r="D217" s="32" t="s">
        <v>2682</v>
      </c>
      <c r="E217" s="32" t="s">
        <v>2683</v>
      </c>
      <c r="F217" s="32" t="s">
        <v>2684</v>
      </c>
      <c r="G217" s="32" t="s">
        <v>2685</v>
      </c>
      <c r="H217" s="32" t="s">
        <v>2686</v>
      </c>
      <c r="I217" s="32">
        <v>2018</v>
      </c>
      <c r="J217" s="32" t="b">
        <v>1</v>
      </c>
    </row>
    <row r="218" spans="1:10" x14ac:dyDescent="0.15">
      <c r="A218" s="32" t="s">
        <v>5793</v>
      </c>
      <c r="B218" s="32" t="s">
        <v>5793</v>
      </c>
      <c r="C218" s="32" t="s">
        <v>1133</v>
      </c>
      <c r="D218" s="32" t="s">
        <v>2690</v>
      </c>
      <c r="E218" s="32" t="s">
        <v>2691</v>
      </c>
      <c r="F218" s="32" t="s">
        <v>422</v>
      </c>
      <c r="G218" s="32" t="s">
        <v>2692</v>
      </c>
      <c r="H218" s="32" t="s">
        <v>2693</v>
      </c>
      <c r="I218" s="32">
        <v>2018</v>
      </c>
      <c r="J218" s="32" t="b">
        <v>1</v>
      </c>
    </row>
    <row r="219" spans="1:10" x14ac:dyDescent="0.15">
      <c r="A219" s="32" t="s">
        <v>5794</v>
      </c>
      <c r="B219" s="32" t="s">
        <v>5794</v>
      </c>
      <c r="C219" s="32" t="s">
        <v>1133</v>
      </c>
      <c r="D219" s="32" t="s">
        <v>2697</v>
      </c>
      <c r="E219" s="32" t="s">
        <v>2698</v>
      </c>
      <c r="F219" s="32" t="s">
        <v>124</v>
      </c>
      <c r="G219" s="32" t="s">
        <v>2699</v>
      </c>
      <c r="H219" s="32" t="s">
        <v>2700</v>
      </c>
      <c r="I219" s="32">
        <v>2017</v>
      </c>
      <c r="J219" s="32" t="b">
        <v>1</v>
      </c>
    </row>
    <row r="220" spans="1:10" x14ac:dyDescent="0.15">
      <c r="A220" s="32" t="s">
        <v>5795</v>
      </c>
      <c r="B220" s="32" t="s">
        <v>5795</v>
      </c>
      <c r="C220" s="32" t="s">
        <v>1133</v>
      </c>
      <c r="D220" s="32" t="s">
        <v>2704</v>
      </c>
      <c r="E220" s="32" t="s">
        <v>2705</v>
      </c>
      <c r="F220" s="32" t="s">
        <v>114</v>
      </c>
      <c r="G220" s="32" t="s">
        <v>2706</v>
      </c>
      <c r="H220" s="32" t="s">
        <v>2707</v>
      </c>
      <c r="I220" s="32" t="e">
        <v>#N/A</v>
      </c>
      <c r="J220" s="32" t="b">
        <v>1</v>
      </c>
    </row>
    <row r="221" spans="1:10" x14ac:dyDescent="0.15">
      <c r="A221" s="32" t="s">
        <v>5796</v>
      </c>
      <c r="B221" s="32" t="s">
        <v>5796</v>
      </c>
      <c r="C221" s="32" t="s">
        <v>1133</v>
      </c>
      <c r="D221" s="32" t="s">
        <v>2712</v>
      </c>
      <c r="E221" s="32" t="s">
        <v>2713</v>
      </c>
      <c r="F221" s="32" t="s">
        <v>97</v>
      </c>
      <c r="G221" s="32" t="s">
        <v>2714</v>
      </c>
      <c r="H221" s="32" t="s">
        <v>1784</v>
      </c>
      <c r="I221" s="32">
        <v>2015</v>
      </c>
      <c r="J221" s="32" t="b">
        <v>1</v>
      </c>
    </row>
    <row r="222" spans="1:10" x14ac:dyDescent="0.15">
      <c r="A222" s="32" t="s">
        <v>5797</v>
      </c>
      <c r="B222" s="32" t="s">
        <v>5797</v>
      </c>
      <c r="C222" s="32" t="s">
        <v>1133</v>
      </c>
      <c r="D222" s="32" t="s">
        <v>2719</v>
      </c>
      <c r="E222" s="32" t="s">
        <v>2720</v>
      </c>
      <c r="F222" s="32" t="s">
        <v>2721</v>
      </c>
      <c r="G222" s="32" t="s">
        <v>2722</v>
      </c>
      <c r="H222" s="32" t="s">
        <v>2723</v>
      </c>
      <c r="I222" s="32">
        <v>2019</v>
      </c>
      <c r="J222" s="32" t="b">
        <v>0</v>
      </c>
    </row>
    <row r="223" spans="1:10" x14ac:dyDescent="0.15">
      <c r="A223" s="32" t="s">
        <v>5798</v>
      </c>
      <c r="B223" s="32" t="s">
        <v>5798</v>
      </c>
      <c r="C223" s="32" t="s">
        <v>1133</v>
      </c>
      <c r="D223" s="32" t="s">
        <v>2727</v>
      </c>
      <c r="E223" s="32" t="s">
        <v>2728</v>
      </c>
      <c r="F223" s="32" t="s">
        <v>2729</v>
      </c>
      <c r="G223" s="32" t="s">
        <v>2730</v>
      </c>
      <c r="H223" s="32" t="s">
        <v>2731</v>
      </c>
      <c r="I223" s="32">
        <v>2021</v>
      </c>
      <c r="J223" s="32" t="b">
        <v>0</v>
      </c>
    </row>
    <row r="224" spans="1:10" x14ac:dyDescent="0.15">
      <c r="A224" s="32" t="s">
        <v>5799</v>
      </c>
      <c r="B224" s="32" t="s">
        <v>5799</v>
      </c>
      <c r="C224" s="32" t="s">
        <v>1133</v>
      </c>
      <c r="D224" s="32" t="s">
        <v>2735</v>
      </c>
      <c r="E224" s="32" t="s">
        <v>2736</v>
      </c>
      <c r="F224" s="32" t="s">
        <v>553</v>
      </c>
      <c r="G224" s="32" t="s">
        <v>2737</v>
      </c>
      <c r="H224" s="32" t="s">
        <v>2738</v>
      </c>
      <c r="I224" s="32">
        <v>2022</v>
      </c>
      <c r="J224" s="32" t="b">
        <v>1</v>
      </c>
    </row>
    <row r="225" spans="1:10" x14ac:dyDescent="0.15">
      <c r="A225" s="32" t="s">
        <v>5800</v>
      </c>
      <c r="B225" s="32" t="s">
        <v>5800</v>
      </c>
      <c r="C225" s="32" t="s">
        <v>1133</v>
      </c>
      <c r="D225" s="32" t="s">
        <v>2742</v>
      </c>
      <c r="E225" s="32" t="s">
        <v>2743</v>
      </c>
      <c r="F225" s="32" t="s">
        <v>313</v>
      </c>
      <c r="G225" s="32" t="s">
        <v>2744</v>
      </c>
      <c r="H225" s="32" t="s">
        <v>2745</v>
      </c>
      <c r="I225" s="32">
        <v>2015</v>
      </c>
      <c r="J225" s="32" t="b">
        <v>1</v>
      </c>
    </row>
    <row r="226" spans="1:10" x14ac:dyDescent="0.15">
      <c r="A226" s="32" t="s">
        <v>5801</v>
      </c>
      <c r="B226" s="32" t="s">
        <v>5801</v>
      </c>
      <c r="C226" s="32" t="s">
        <v>1133</v>
      </c>
      <c r="D226" s="32" t="s">
        <v>2749</v>
      </c>
      <c r="E226" s="32" t="s">
        <v>2750</v>
      </c>
      <c r="F226" s="32" t="s">
        <v>97</v>
      </c>
      <c r="G226" s="32" t="s">
        <v>2751</v>
      </c>
      <c r="H226" s="32" t="s">
        <v>2752</v>
      </c>
      <c r="I226" s="32">
        <v>2018</v>
      </c>
      <c r="J226" s="32" t="b">
        <v>1</v>
      </c>
    </row>
    <row r="227" spans="1:10" x14ac:dyDescent="0.15">
      <c r="A227" s="32" t="s">
        <v>5802</v>
      </c>
      <c r="B227" s="32" t="s">
        <v>5802</v>
      </c>
      <c r="C227" s="32" t="s">
        <v>1133</v>
      </c>
      <c r="D227" s="32" t="s">
        <v>2756</v>
      </c>
      <c r="E227" s="32" t="s">
        <v>2757</v>
      </c>
      <c r="F227" s="32" t="s">
        <v>2758</v>
      </c>
      <c r="G227" s="32" t="s">
        <v>2759</v>
      </c>
      <c r="H227" s="32" t="s">
        <v>2760</v>
      </c>
      <c r="I227" s="32">
        <v>2020</v>
      </c>
      <c r="J227" s="32" t="b">
        <v>0</v>
      </c>
    </row>
    <row r="228" spans="1:10" x14ac:dyDescent="0.15">
      <c r="A228" s="32" t="s">
        <v>5803</v>
      </c>
      <c r="B228" s="32" t="s">
        <v>5803</v>
      </c>
      <c r="C228" s="32" t="s">
        <v>1133</v>
      </c>
      <c r="D228" s="32" t="s">
        <v>2764</v>
      </c>
      <c r="E228" s="32" t="s">
        <v>2765</v>
      </c>
      <c r="F228" s="32" t="s">
        <v>346</v>
      </c>
      <c r="G228" s="32" t="s">
        <v>2766</v>
      </c>
      <c r="H228" s="32" t="s">
        <v>2767</v>
      </c>
      <c r="I228" s="32">
        <v>2018</v>
      </c>
      <c r="J228" s="32" t="b">
        <v>1</v>
      </c>
    </row>
    <row r="229" spans="1:10" x14ac:dyDescent="0.15">
      <c r="A229" s="32" t="s">
        <v>5804</v>
      </c>
      <c r="B229" s="32" t="s">
        <v>5804</v>
      </c>
      <c r="C229" s="32" t="s">
        <v>1133</v>
      </c>
      <c r="D229" s="32" t="s">
        <v>2771</v>
      </c>
      <c r="E229" s="32" t="s">
        <v>2772</v>
      </c>
      <c r="F229" s="32" t="s">
        <v>114</v>
      </c>
      <c r="G229" s="32" t="s">
        <v>2773</v>
      </c>
      <c r="H229" s="32" t="s">
        <v>2774</v>
      </c>
      <c r="I229" s="32">
        <v>2021</v>
      </c>
      <c r="J229" s="32" t="b">
        <v>1</v>
      </c>
    </row>
    <row r="230" spans="1:10" x14ac:dyDescent="0.15">
      <c r="A230" s="32" t="s">
        <v>5805</v>
      </c>
      <c r="B230" s="32" t="s">
        <v>5805</v>
      </c>
      <c r="C230" s="32" t="s">
        <v>1133</v>
      </c>
      <c r="D230" s="32" t="s">
        <v>2778</v>
      </c>
      <c r="E230" s="32" t="s">
        <v>2779</v>
      </c>
      <c r="F230" s="32" t="s">
        <v>97</v>
      </c>
      <c r="G230" s="32" t="s">
        <v>2780</v>
      </c>
      <c r="H230" s="32" t="s">
        <v>2781</v>
      </c>
      <c r="I230" s="32">
        <v>2020</v>
      </c>
      <c r="J230" s="32" t="b">
        <v>1</v>
      </c>
    </row>
    <row r="231" spans="1:10" x14ac:dyDescent="0.15">
      <c r="A231" s="32" t="s">
        <v>5806</v>
      </c>
      <c r="B231" s="32" t="s">
        <v>5806</v>
      </c>
      <c r="C231" s="32" t="s">
        <v>1133</v>
      </c>
      <c r="D231" s="32" t="s">
        <v>2785</v>
      </c>
      <c r="E231" s="32" t="s">
        <v>2786</v>
      </c>
      <c r="F231" s="32" t="s">
        <v>422</v>
      </c>
      <c r="G231" s="32" t="s">
        <v>2787</v>
      </c>
      <c r="H231" s="32" t="s">
        <v>2788</v>
      </c>
      <c r="I231" s="32">
        <v>2018</v>
      </c>
      <c r="J231" s="32" t="b">
        <v>1</v>
      </c>
    </row>
    <row r="232" spans="1:10" x14ac:dyDescent="0.15">
      <c r="A232" s="32" t="s">
        <v>5807</v>
      </c>
      <c r="B232" s="32" t="s">
        <v>5807</v>
      </c>
      <c r="C232" s="32" t="s">
        <v>1133</v>
      </c>
      <c r="D232" s="32" t="s">
        <v>2792</v>
      </c>
      <c r="E232" s="32" t="s">
        <v>2793</v>
      </c>
      <c r="F232" s="32" t="s">
        <v>422</v>
      </c>
      <c r="G232" s="32" t="s">
        <v>2794</v>
      </c>
      <c r="H232" s="32" t="s">
        <v>2795</v>
      </c>
      <c r="I232" s="32">
        <v>2020</v>
      </c>
      <c r="J232" s="32" t="b">
        <v>1</v>
      </c>
    </row>
    <row r="233" spans="1:10" x14ac:dyDescent="0.15">
      <c r="A233" s="32" t="s">
        <v>5808</v>
      </c>
      <c r="B233" s="32" t="s">
        <v>5808</v>
      </c>
      <c r="C233" s="32" t="s">
        <v>1133</v>
      </c>
      <c r="D233" s="32" t="s">
        <v>2799</v>
      </c>
      <c r="E233" s="32" t="s">
        <v>2800</v>
      </c>
      <c r="F233" s="32" t="s">
        <v>2801</v>
      </c>
      <c r="G233" s="32" t="s">
        <v>2802</v>
      </c>
      <c r="H233" s="32" t="s">
        <v>2803</v>
      </c>
      <c r="I233" s="32">
        <v>2018</v>
      </c>
      <c r="J233" s="32" t="b">
        <v>0</v>
      </c>
    </row>
    <row r="234" spans="1:10" x14ac:dyDescent="0.15">
      <c r="A234" s="32" t="s">
        <v>5809</v>
      </c>
      <c r="B234" s="32" t="s">
        <v>5809</v>
      </c>
      <c r="C234" s="32" t="s">
        <v>1133</v>
      </c>
      <c r="D234" s="32" t="s">
        <v>2807</v>
      </c>
      <c r="E234" s="32" t="s">
        <v>2808</v>
      </c>
      <c r="F234" s="32" t="s">
        <v>1803</v>
      </c>
      <c r="G234" s="32" t="s">
        <v>2809</v>
      </c>
      <c r="H234" s="32" t="s">
        <v>2810</v>
      </c>
      <c r="I234" s="32">
        <v>2017</v>
      </c>
      <c r="J234" s="32" t="b">
        <v>1</v>
      </c>
    </row>
    <row r="235" spans="1:10" x14ac:dyDescent="0.15">
      <c r="A235" s="32" t="s">
        <v>5810</v>
      </c>
      <c r="B235" s="32" t="s">
        <v>5810</v>
      </c>
      <c r="C235" s="32" t="s">
        <v>1133</v>
      </c>
      <c r="D235" s="32" t="s">
        <v>2814</v>
      </c>
      <c r="E235" s="32" t="s">
        <v>2815</v>
      </c>
      <c r="F235" s="32" t="s">
        <v>422</v>
      </c>
      <c r="G235" s="32" t="s">
        <v>2816</v>
      </c>
      <c r="H235" s="32" t="s">
        <v>2817</v>
      </c>
      <c r="I235" s="32">
        <v>2020</v>
      </c>
      <c r="J235" s="32" t="b">
        <v>1</v>
      </c>
    </row>
    <row r="236" spans="1:10" x14ac:dyDescent="0.15">
      <c r="A236" s="32" t="s">
        <v>5811</v>
      </c>
      <c r="B236" s="32" t="s">
        <v>5811</v>
      </c>
      <c r="C236" s="32" t="s">
        <v>1133</v>
      </c>
      <c r="D236" s="32" t="s">
        <v>2821</v>
      </c>
      <c r="E236" s="32" t="s">
        <v>2822</v>
      </c>
      <c r="F236" s="32" t="s">
        <v>278</v>
      </c>
      <c r="G236" s="32" t="s">
        <v>2823</v>
      </c>
      <c r="H236" s="32" t="s">
        <v>2824</v>
      </c>
      <c r="I236" s="32">
        <v>2016</v>
      </c>
      <c r="J236" s="32" t="b">
        <v>1</v>
      </c>
    </row>
    <row r="237" spans="1:10" x14ac:dyDescent="0.15">
      <c r="A237" s="32" t="s">
        <v>5812</v>
      </c>
      <c r="B237" s="32" t="s">
        <v>5812</v>
      </c>
      <c r="C237" s="32" t="s">
        <v>1133</v>
      </c>
      <c r="D237" s="32" t="s">
        <v>2828</v>
      </c>
      <c r="E237" s="32" t="s">
        <v>2829</v>
      </c>
      <c r="F237" s="32" t="s">
        <v>1803</v>
      </c>
      <c r="G237" s="32" t="s">
        <v>2830</v>
      </c>
      <c r="H237" s="32" t="s">
        <v>2831</v>
      </c>
      <c r="I237" s="32">
        <v>2020</v>
      </c>
      <c r="J237" s="32" t="b">
        <v>1</v>
      </c>
    </row>
    <row r="238" spans="1:10" x14ac:dyDescent="0.15">
      <c r="A238" s="32" t="s">
        <v>5813</v>
      </c>
      <c r="B238" s="32" t="s">
        <v>5813</v>
      </c>
      <c r="C238" s="32" t="s">
        <v>1133</v>
      </c>
      <c r="D238" s="32" t="s">
        <v>2836</v>
      </c>
      <c r="E238" s="32" t="s">
        <v>2837</v>
      </c>
      <c r="F238" s="32" t="s">
        <v>2838</v>
      </c>
      <c r="G238" s="32" t="s">
        <v>2839</v>
      </c>
      <c r="H238" s="32" t="e">
        <v>#N/A</v>
      </c>
      <c r="I238" s="32">
        <v>2013</v>
      </c>
      <c r="J238" s="32" t="b">
        <v>0</v>
      </c>
    </row>
    <row r="239" spans="1:10" x14ac:dyDescent="0.15">
      <c r="A239" s="32" t="s">
        <v>5814</v>
      </c>
      <c r="B239" s="32" t="s">
        <v>5814</v>
      </c>
      <c r="C239" s="32" t="s">
        <v>1133</v>
      </c>
      <c r="D239" s="32" t="s">
        <v>2843</v>
      </c>
      <c r="E239" s="32" t="s">
        <v>2844</v>
      </c>
      <c r="F239" s="32" t="s">
        <v>68</v>
      </c>
      <c r="G239" s="32" t="s">
        <v>2845</v>
      </c>
      <c r="H239" s="32" t="s">
        <v>2846</v>
      </c>
      <c r="I239" s="32">
        <v>2021</v>
      </c>
      <c r="J239" s="32" t="b">
        <v>1</v>
      </c>
    </row>
    <row r="240" spans="1:10" x14ac:dyDescent="0.15">
      <c r="A240" s="32" t="s">
        <v>5815</v>
      </c>
      <c r="B240" s="32" t="s">
        <v>5815</v>
      </c>
      <c r="C240" s="32" t="s">
        <v>1133</v>
      </c>
      <c r="D240" s="32" t="s">
        <v>2850</v>
      </c>
      <c r="E240" s="32" t="s">
        <v>2851</v>
      </c>
      <c r="F240" s="32" t="s">
        <v>124</v>
      </c>
      <c r="G240" s="32" t="s">
        <v>2852</v>
      </c>
      <c r="H240" s="32" t="s">
        <v>2853</v>
      </c>
      <c r="I240" s="32">
        <v>2014</v>
      </c>
      <c r="J240" s="32" t="b">
        <v>1</v>
      </c>
    </row>
    <row r="241" spans="1:10" x14ac:dyDescent="0.15">
      <c r="A241" s="32" t="s">
        <v>5816</v>
      </c>
      <c r="B241" s="32" t="s">
        <v>5816</v>
      </c>
      <c r="C241" s="32" t="s">
        <v>1133</v>
      </c>
      <c r="D241" s="32" t="s">
        <v>2857</v>
      </c>
      <c r="E241" s="32" t="s">
        <v>2858</v>
      </c>
      <c r="F241" s="32" t="s">
        <v>2051</v>
      </c>
      <c r="G241" s="32" t="s">
        <v>2859</v>
      </c>
      <c r="H241" s="32" t="e">
        <v>#N/A</v>
      </c>
      <c r="I241" s="32">
        <v>2020</v>
      </c>
      <c r="J241" s="32" t="b">
        <v>1</v>
      </c>
    </row>
    <row r="242" spans="1:10" x14ac:dyDescent="0.15">
      <c r="A242" s="32" t="s">
        <v>5817</v>
      </c>
      <c r="B242" s="32" t="s">
        <v>5817</v>
      </c>
      <c r="C242" s="32" t="s">
        <v>1133</v>
      </c>
      <c r="D242" s="32" t="s">
        <v>2863</v>
      </c>
      <c r="E242" s="32" t="s">
        <v>2864</v>
      </c>
      <c r="F242" s="32" t="s">
        <v>1803</v>
      </c>
      <c r="G242" s="32" t="s">
        <v>2865</v>
      </c>
      <c r="H242" s="32" t="s">
        <v>2866</v>
      </c>
      <c r="I242" s="32">
        <v>2020</v>
      </c>
      <c r="J242" s="32" t="b">
        <v>1</v>
      </c>
    </row>
    <row r="243" spans="1:10" x14ac:dyDescent="0.15">
      <c r="A243" s="32" t="s">
        <v>5818</v>
      </c>
      <c r="B243" s="32" t="s">
        <v>5818</v>
      </c>
      <c r="C243" s="32" t="s">
        <v>1133</v>
      </c>
      <c r="D243" s="32" t="s">
        <v>2870</v>
      </c>
      <c r="E243" s="32" t="s">
        <v>2871</v>
      </c>
      <c r="F243" s="32" t="s">
        <v>2872</v>
      </c>
      <c r="G243" s="32" t="s">
        <v>2873</v>
      </c>
      <c r="H243" s="32" t="s">
        <v>2874</v>
      </c>
      <c r="I243" s="32">
        <v>2021</v>
      </c>
      <c r="J243" s="32" t="b">
        <v>0</v>
      </c>
    </row>
    <row r="244" spans="1:10" x14ac:dyDescent="0.15">
      <c r="A244" s="32" t="s">
        <v>5819</v>
      </c>
      <c r="B244" s="32" t="s">
        <v>5819</v>
      </c>
      <c r="C244" s="32" t="s">
        <v>1133</v>
      </c>
      <c r="D244" s="32" t="s">
        <v>2878</v>
      </c>
      <c r="E244" s="32" t="s">
        <v>2879</v>
      </c>
      <c r="F244" s="32" t="s">
        <v>2051</v>
      </c>
      <c r="G244" s="32" t="s">
        <v>2880</v>
      </c>
      <c r="H244" s="32" t="s">
        <v>2881</v>
      </c>
      <c r="I244" s="32">
        <v>2017</v>
      </c>
      <c r="J244" s="32" t="b">
        <v>1</v>
      </c>
    </row>
    <row r="245" spans="1:10" x14ac:dyDescent="0.15">
      <c r="A245" s="32" t="s">
        <v>5820</v>
      </c>
      <c r="B245" s="32" t="s">
        <v>5820</v>
      </c>
      <c r="C245" s="32" t="s">
        <v>1133</v>
      </c>
      <c r="D245" s="32" t="s">
        <v>2885</v>
      </c>
      <c r="E245" s="32" t="s">
        <v>2886</v>
      </c>
      <c r="F245" s="32" t="s">
        <v>68</v>
      </c>
      <c r="G245" s="32" t="s">
        <v>2887</v>
      </c>
      <c r="H245" s="32" t="s">
        <v>2888</v>
      </c>
      <c r="I245" s="32">
        <v>2021</v>
      </c>
      <c r="J245" s="32" t="b">
        <v>1</v>
      </c>
    </row>
    <row r="246" spans="1:10" x14ac:dyDescent="0.15">
      <c r="A246" s="32" t="s">
        <v>5821</v>
      </c>
      <c r="B246" s="32" t="s">
        <v>5821</v>
      </c>
      <c r="C246" s="32" t="s">
        <v>1133</v>
      </c>
      <c r="D246" s="32" t="s">
        <v>2892</v>
      </c>
      <c r="E246" s="32" t="s">
        <v>2893</v>
      </c>
      <c r="F246" s="32" t="s">
        <v>2044</v>
      </c>
      <c r="G246" s="32" t="s">
        <v>2894</v>
      </c>
      <c r="H246" s="32" t="s">
        <v>2895</v>
      </c>
      <c r="I246" s="32">
        <v>2015</v>
      </c>
      <c r="J246" s="32" t="b">
        <v>1</v>
      </c>
    </row>
    <row r="247" spans="1:10" x14ac:dyDescent="0.15">
      <c r="A247" s="32" t="s">
        <v>5822</v>
      </c>
      <c r="B247" s="32" t="s">
        <v>5822</v>
      </c>
      <c r="C247" s="32" t="s">
        <v>1133</v>
      </c>
      <c r="D247" s="32" t="s">
        <v>2899</v>
      </c>
      <c r="E247" s="32" t="s">
        <v>2900</v>
      </c>
      <c r="F247" s="32" t="s">
        <v>124</v>
      </c>
      <c r="G247" s="32" t="s">
        <v>2901</v>
      </c>
      <c r="H247" s="32" t="s">
        <v>2902</v>
      </c>
      <c r="I247" s="32">
        <v>2015</v>
      </c>
      <c r="J247" s="32" t="b">
        <v>1</v>
      </c>
    </row>
    <row r="248" spans="1:10" x14ac:dyDescent="0.15">
      <c r="A248" s="32" t="s">
        <v>5823</v>
      </c>
      <c r="B248" s="32" t="s">
        <v>5823</v>
      </c>
      <c r="C248" s="32" t="s">
        <v>1133</v>
      </c>
      <c r="D248" s="32" t="s">
        <v>2906</v>
      </c>
      <c r="E248" s="32" t="s">
        <v>2907</v>
      </c>
      <c r="F248" s="32" t="s">
        <v>97</v>
      </c>
      <c r="G248" s="32" t="s">
        <v>2908</v>
      </c>
      <c r="H248" s="32" t="s">
        <v>2909</v>
      </c>
      <c r="I248" s="32">
        <v>2020</v>
      </c>
      <c r="J248" s="32" t="b">
        <v>1</v>
      </c>
    </row>
    <row r="249" spans="1:10" x14ac:dyDescent="0.15">
      <c r="A249" s="32" t="s">
        <v>5824</v>
      </c>
      <c r="B249" s="32" t="s">
        <v>5824</v>
      </c>
      <c r="C249" s="32" t="s">
        <v>1133</v>
      </c>
      <c r="D249" s="32" t="s">
        <v>2913</v>
      </c>
      <c r="E249" s="32" t="s">
        <v>2914</v>
      </c>
      <c r="F249" s="32" t="s">
        <v>97</v>
      </c>
      <c r="G249" s="32" t="s">
        <v>2915</v>
      </c>
      <c r="H249" s="32" t="s">
        <v>2916</v>
      </c>
      <c r="I249" s="32">
        <v>2022</v>
      </c>
      <c r="J249" s="32" t="b">
        <v>1</v>
      </c>
    </row>
    <row r="250" spans="1:10" x14ac:dyDescent="0.15">
      <c r="A250" s="32" t="s">
        <v>5825</v>
      </c>
      <c r="B250" s="32" t="s">
        <v>5825</v>
      </c>
      <c r="C250" s="32" t="s">
        <v>1133</v>
      </c>
      <c r="D250" s="32" t="s">
        <v>2921</v>
      </c>
      <c r="E250" s="32" t="s">
        <v>2922</v>
      </c>
      <c r="F250" s="32" t="s">
        <v>97</v>
      </c>
      <c r="G250" s="32" t="s">
        <v>2923</v>
      </c>
      <c r="H250" s="32" t="s">
        <v>2924</v>
      </c>
      <c r="I250" s="32">
        <v>2022</v>
      </c>
      <c r="J250" s="32" t="b">
        <v>1</v>
      </c>
    </row>
    <row r="251" spans="1:10" x14ac:dyDescent="0.15">
      <c r="A251" s="32" t="s">
        <v>5826</v>
      </c>
      <c r="B251" s="32" t="s">
        <v>5826</v>
      </c>
      <c r="C251" s="32" t="s">
        <v>1133</v>
      </c>
      <c r="D251" s="32" t="s">
        <v>2929</v>
      </c>
      <c r="E251" s="32" t="s">
        <v>2930</v>
      </c>
      <c r="F251" s="32" t="s">
        <v>849</v>
      </c>
      <c r="G251" s="32" t="s">
        <v>2931</v>
      </c>
      <c r="H251" s="32" t="e">
        <v>#N/A</v>
      </c>
      <c r="I251" s="32">
        <v>2015</v>
      </c>
      <c r="J251" s="32" t="b">
        <v>1</v>
      </c>
    </row>
    <row r="252" spans="1:10" x14ac:dyDescent="0.15">
      <c r="A252" s="32" t="s">
        <v>5827</v>
      </c>
      <c r="B252" s="32" t="s">
        <v>5827</v>
      </c>
      <c r="C252" s="32" t="s">
        <v>1133</v>
      </c>
      <c r="D252" s="32" t="s">
        <v>2935</v>
      </c>
      <c r="E252" s="32" t="s">
        <v>2936</v>
      </c>
      <c r="F252" s="32" t="s">
        <v>1484</v>
      </c>
      <c r="G252" s="32" t="s">
        <v>2937</v>
      </c>
      <c r="H252" s="32" t="s">
        <v>2938</v>
      </c>
      <c r="I252" s="32">
        <v>2022</v>
      </c>
      <c r="J252" s="32" t="b">
        <v>1</v>
      </c>
    </row>
    <row r="253" spans="1:10" x14ac:dyDescent="0.15">
      <c r="A253" s="32" t="s">
        <v>5828</v>
      </c>
      <c r="B253" s="32" t="s">
        <v>5828</v>
      </c>
      <c r="C253" s="32" t="s">
        <v>1133</v>
      </c>
      <c r="D253" s="32" t="s">
        <v>2943</v>
      </c>
      <c r="E253" s="32" t="s">
        <v>2944</v>
      </c>
      <c r="F253" s="32" t="s">
        <v>1928</v>
      </c>
      <c r="G253" s="32" t="s">
        <v>2945</v>
      </c>
      <c r="H253" s="32" t="e">
        <v>#N/A</v>
      </c>
      <c r="I253" s="32">
        <v>2015</v>
      </c>
      <c r="J253" s="32" t="b">
        <v>0</v>
      </c>
    </row>
    <row r="254" spans="1:10" x14ac:dyDescent="0.15">
      <c r="A254" s="32" t="s">
        <v>5829</v>
      </c>
      <c r="B254" s="32" t="s">
        <v>5829</v>
      </c>
      <c r="C254" s="32" t="s">
        <v>1133</v>
      </c>
      <c r="D254" s="32" t="s">
        <v>2949</v>
      </c>
      <c r="E254" s="32" t="s">
        <v>2950</v>
      </c>
      <c r="F254" s="32" t="s">
        <v>502</v>
      </c>
      <c r="G254" s="32" t="s">
        <v>2951</v>
      </c>
      <c r="H254" s="32" t="s">
        <v>2952</v>
      </c>
      <c r="I254" s="32">
        <v>2016</v>
      </c>
      <c r="J254" s="32" t="b">
        <v>1</v>
      </c>
    </row>
    <row r="255" spans="1:10" x14ac:dyDescent="0.15">
      <c r="A255" s="32" t="s">
        <v>5830</v>
      </c>
      <c r="B255" s="32" t="s">
        <v>5830</v>
      </c>
      <c r="C255" s="32" t="s">
        <v>1133</v>
      </c>
      <c r="D255" s="32" t="s">
        <v>2956</v>
      </c>
      <c r="E255" s="32" t="s">
        <v>2957</v>
      </c>
      <c r="F255" s="32" t="s">
        <v>2958</v>
      </c>
      <c r="G255" s="32" t="s">
        <v>2959</v>
      </c>
      <c r="H255" s="32" t="s">
        <v>2960</v>
      </c>
      <c r="I255" s="32">
        <v>2020</v>
      </c>
      <c r="J255" s="32" t="b">
        <v>0</v>
      </c>
    </row>
    <row r="256" spans="1:10" x14ac:dyDescent="0.15">
      <c r="A256" s="32" t="s">
        <v>5831</v>
      </c>
      <c r="B256" s="32" t="s">
        <v>5831</v>
      </c>
      <c r="C256" s="32" t="s">
        <v>1133</v>
      </c>
      <c r="D256" s="32" t="s">
        <v>2964</v>
      </c>
      <c r="E256" s="32" t="s">
        <v>2965</v>
      </c>
      <c r="F256" s="32" t="s">
        <v>422</v>
      </c>
      <c r="G256" s="32" t="s">
        <v>2966</v>
      </c>
      <c r="H256" s="32" t="s">
        <v>2967</v>
      </c>
      <c r="I256" s="32">
        <v>2015</v>
      </c>
      <c r="J256" s="32" t="b">
        <v>1</v>
      </c>
    </row>
    <row r="257" spans="1:10" x14ac:dyDescent="0.15">
      <c r="A257" s="32" t="s">
        <v>5832</v>
      </c>
      <c r="B257" s="32" t="s">
        <v>5832</v>
      </c>
      <c r="C257" s="32" t="s">
        <v>1133</v>
      </c>
      <c r="D257" s="32" t="s">
        <v>2271</v>
      </c>
      <c r="E257" s="32" t="s">
        <v>2970</v>
      </c>
      <c r="F257" s="32" t="s">
        <v>1755</v>
      </c>
      <c r="G257" s="32" t="s">
        <v>2971</v>
      </c>
      <c r="H257" s="32" t="s">
        <v>2972</v>
      </c>
      <c r="I257" s="32">
        <v>2022</v>
      </c>
      <c r="J257" s="32" t="b">
        <v>1</v>
      </c>
    </row>
    <row r="258" spans="1:10" x14ac:dyDescent="0.15">
      <c r="A258" s="32" t="s">
        <v>5833</v>
      </c>
      <c r="B258" s="32" t="s">
        <v>5833</v>
      </c>
      <c r="C258" s="32" t="s">
        <v>1133</v>
      </c>
      <c r="D258" s="32" t="s">
        <v>2976</v>
      </c>
      <c r="E258" s="32" t="s">
        <v>2977</v>
      </c>
      <c r="F258" s="32" t="s">
        <v>1562</v>
      </c>
      <c r="G258" s="32" t="s">
        <v>2978</v>
      </c>
      <c r="H258" s="32" t="s">
        <v>2979</v>
      </c>
      <c r="I258" s="32">
        <v>2021</v>
      </c>
      <c r="J258" s="32" t="b">
        <v>1</v>
      </c>
    </row>
    <row r="259" spans="1:10" x14ac:dyDescent="0.15">
      <c r="A259" s="32" t="s">
        <v>5834</v>
      </c>
      <c r="B259" s="32" t="s">
        <v>5834</v>
      </c>
      <c r="C259" s="32" t="s">
        <v>1133</v>
      </c>
      <c r="D259" s="32" t="s">
        <v>2984</v>
      </c>
      <c r="E259" s="32" t="s">
        <v>2985</v>
      </c>
      <c r="F259" s="32" t="s">
        <v>313</v>
      </c>
      <c r="G259" s="32" t="s">
        <v>2986</v>
      </c>
      <c r="H259" s="32" t="s">
        <v>2987</v>
      </c>
      <c r="I259" s="32">
        <v>2020</v>
      </c>
      <c r="J259" s="32" t="b">
        <v>1</v>
      </c>
    </row>
    <row r="260" spans="1:10" x14ac:dyDescent="0.15">
      <c r="A260" s="32" t="s">
        <v>5835</v>
      </c>
      <c r="B260" s="32" t="s">
        <v>5835</v>
      </c>
      <c r="C260" s="32" t="s">
        <v>1133</v>
      </c>
      <c r="D260" s="32" t="s">
        <v>2991</v>
      </c>
      <c r="E260" s="32" t="s">
        <v>2992</v>
      </c>
      <c r="F260" s="32" t="s">
        <v>124</v>
      </c>
      <c r="G260" s="32" t="s">
        <v>2993</v>
      </c>
      <c r="H260" s="32" t="s">
        <v>2994</v>
      </c>
      <c r="I260" s="32">
        <v>2016</v>
      </c>
      <c r="J260" s="32" t="b">
        <v>1</v>
      </c>
    </row>
    <row r="261" spans="1:10" x14ac:dyDescent="0.15">
      <c r="A261" s="32" t="s">
        <v>5836</v>
      </c>
      <c r="B261" s="32" t="s">
        <v>5836</v>
      </c>
      <c r="C261" s="32" t="s">
        <v>1133</v>
      </c>
      <c r="D261" s="32" t="s">
        <v>2998</v>
      </c>
      <c r="E261" s="32" t="s">
        <v>2999</v>
      </c>
      <c r="F261" s="32" t="s">
        <v>124</v>
      </c>
      <c r="G261" s="32" t="s">
        <v>3000</v>
      </c>
      <c r="H261" s="32" t="s">
        <v>3001</v>
      </c>
      <c r="I261" s="32">
        <v>2020</v>
      </c>
      <c r="J261" s="32" t="b">
        <v>1</v>
      </c>
    </row>
    <row r="262" spans="1:10" x14ac:dyDescent="0.15">
      <c r="A262" s="32" t="s">
        <v>5837</v>
      </c>
      <c r="B262" s="32" t="s">
        <v>5837</v>
      </c>
      <c r="C262" s="32" t="s">
        <v>1133</v>
      </c>
      <c r="D262" s="32" t="s">
        <v>3005</v>
      </c>
      <c r="E262" s="32" t="s">
        <v>3006</v>
      </c>
      <c r="F262" s="32" t="s">
        <v>422</v>
      </c>
      <c r="G262" s="32" t="s">
        <v>3007</v>
      </c>
      <c r="H262" s="32" t="s">
        <v>3008</v>
      </c>
      <c r="I262" s="32">
        <v>2022</v>
      </c>
      <c r="J262" s="32" t="b">
        <v>1</v>
      </c>
    </row>
    <row r="263" spans="1:10" x14ac:dyDescent="0.15">
      <c r="A263" s="32" t="s">
        <v>5838</v>
      </c>
      <c r="B263" s="32" t="s">
        <v>5838</v>
      </c>
      <c r="C263" s="32" t="s">
        <v>1133</v>
      </c>
      <c r="D263" s="32" t="s">
        <v>3012</v>
      </c>
      <c r="E263" s="32" t="s">
        <v>3013</v>
      </c>
      <c r="F263" s="32" t="s">
        <v>1322</v>
      </c>
      <c r="G263" s="32" t="s">
        <v>3014</v>
      </c>
      <c r="H263" s="32" t="s">
        <v>3015</v>
      </c>
      <c r="I263" s="32">
        <v>2020</v>
      </c>
      <c r="J263" s="32" t="b">
        <v>1</v>
      </c>
    </row>
    <row r="264" spans="1:10" x14ac:dyDescent="0.15">
      <c r="A264" s="32" t="s">
        <v>5839</v>
      </c>
      <c r="B264" s="32" t="s">
        <v>5839</v>
      </c>
      <c r="C264" s="32" t="s">
        <v>1133</v>
      </c>
      <c r="D264" s="32" t="s">
        <v>3019</v>
      </c>
      <c r="E264" s="32" t="s">
        <v>3020</v>
      </c>
      <c r="F264" s="32" t="s">
        <v>422</v>
      </c>
      <c r="G264" s="32" t="s">
        <v>3021</v>
      </c>
      <c r="H264" s="32" t="s">
        <v>3022</v>
      </c>
      <c r="I264" s="32">
        <v>2017</v>
      </c>
      <c r="J264" s="32" t="b">
        <v>1</v>
      </c>
    </row>
    <row r="265" spans="1:10" x14ac:dyDescent="0.15">
      <c r="A265" s="32" t="s">
        <v>5840</v>
      </c>
      <c r="B265" s="32" t="s">
        <v>5840</v>
      </c>
      <c r="C265" s="32" t="s">
        <v>1133</v>
      </c>
      <c r="D265" s="32" t="s">
        <v>3026</v>
      </c>
      <c r="E265" s="32" t="s">
        <v>3027</v>
      </c>
      <c r="F265" s="32" t="s">
        <v>313</v>
      </c>
      <c r="G265" s="32" t="s">
        <v>3028</v>
      </c>
      <c r="H265" s="32" t="s">
        <v>3029</v>
      </c>
      <c r="I265" s="32">
        <v>2016</v>
      </c>
      <c r="J265" s="32" t="b">
        <v>1</v>
      </c>
    </row>
    <row r="266" spans="1:10" x14ac:dyDescent="0.15">
      <c r="A266" s="32" t="s">
        <v>5841</v>
      </c>
      <c r="B266" s="32" t="s">
        <v>5841</v>
      </c>
      <c r="C266" s="32" t="s">
        <v>1133</v>
      </c>
      <c r="D266" s="32" t="s">
        <v>3033</v>
      </c>
      <c r="E266" s="32" t="s">
        <v>3034</v>
      </c>
      <c r="F266" s="32" t="s">
        <v>422</v>
      </c>
      <c r="G266" s="32" t="s">
        <v>3035</v>
      </c>
      <c r="H266" s="32" t="s">
        <v>3036</v>
      </c>
      <c r="I266" s="32">
        <v>2019</v>
      </c>
      <c r="J266" s="32" t="b">
        <v>1</v>
      </c>
    </row>
    <row r="267" spans="1:10" x14ac:dyDescent="0.15">
      <c r="A267" s="32" t="s">
        <v>5842</v>
      </c>
      <c r="B267" s="32" t="s">
        <v>5842</v>
      </c>
      <c r="C267" s="32" t="s">
        <v>1133</v>
      </c>
      <c r="D267" s="32" t="s">
        <v>3041</v>
      </c>
      <c r="E267" s="32" t="s">
        <v>3042</v>
      </c>
      <c r="F267" s="32" t="s">
        <v>422</v>
      </c>
      <c r="G267" s="32" t="s">
        <v>3043</v>
      </c>
      <c r="H267" s="32" t="s">
        <v>3044</v>
      </c>
      <c r="I267" s="32">
        <v>2021</v>
      </c>
      <c r="J267" s="32" t="b">
        <v>1</v>
      </c>
    </row>
    <row r="268" spans="1:10" x14ac:dyDescent="0.15">
      <c r="A268" s="32" t="s">
        <v>5843</v>
      </c>
      <c r="B268" s="32" t="s">
        <v>5843</v>
      </c>
      <c r="C268" s="32" t="s">
        <v>1133</v>
      </c>
      <c r="D268" s="32" t="s">
        <v>3048</v>
      </c>
      <c r="E268" s="32" t="s">
        <v>3049</v>
      </c>
      <c r="F268" s="32" t="s">
        <v>3050</v>
      </c>
      <c r="G268" s="32" t="s">
        <v>3051</v>
      </c>
      <c r="H268" s="32" t="s">
        <v>3052</v>
      </c>
      <c r="I268" s="32">
        <v>2022</v>
      </c>
      <c r="J268" s="32" t="b">
        <v>0</v>
      </c>
    </row>
    <row r="269" spans="1:10" x14ac:dyDescent="0.15">
      <c r="A269" s="32" t="s">
        <v>5844</v>
      </c>
      <c r="B269" s="32" t="s">
        <v>5844</v>
      </c>
      <c r="C269" s="32" t="s">
        <v>1133</v>
      </c>
      <c r="D269" s="32" t="s">
        <v>3056</v>
      </c>
      <c r="E269" s="32" t="s">
        <v>3057</v>
      </c>
      <c r="F269" s="32" t="s">
        <v>302</v>
      </c>
      <c r="G269" s="32" t="s">
        <v>3058</v>
      </c>
      <c r="H269" s="32" t="s">
        <v>3059</v>
      </c>
      <c r="I269" s="32">
        <v>2020</v>
      </c>
      <c r="J269" s="32" t="b">
        <v>1</v>
      </c>
    </row>
    <row r="270" spans="1:10" x14ac:dyDescent="0.15">
      <c r="A270" s="32" t="s">
        <v>5845</v>
      </c>
      <c r="B270" s="32" t="s">
        <v>5845</v>
      </c>
      <c r="C270" s="32" t="s">
        <v>1133</v>
      </c>
      <c r="D270" s="32" t="s">
        <v>2247</v>
      </c>
      <c r="E270" s="32" t="s">
        <v>3062</v>
      </c>
      <c r="F270" s="32" t="s">
        <v>1451</v>
      </c>
      <c r="G270" s="32" t="s">
        <v>3063</v>
      </c>
      <c r="H270" s="32" t="s">
        <v>3064</v>
      </c>
      <c r="I270" s="32">
        <v>2021</v>
      </c>
      <c r="J270" s="32" t="b">
        <v>0</v>
      </c>
    </row>
    <row r="271" spans="1:10" x14ac:dyDescent="0.15">
      <c r="A271" s="32" t="s">
        <v>5846</v>
      </c>
      <c r="B271" s="32" t="s">
        <v>5846</v>
      </c>
      <c r="C271" s="32" t="s">
        <v>1133</v>
      </c>
      <c r="D271" s="32" t="s">
        <v>3068</v>
      </c>
      <c r="E271" s="32" t="s">
        <v>3069</v>
      </c>
      <c r="F271" s="32" t="s">
        <v>422</v>
      </c>
      <c r="G271" s="32" t="s">
        <v>3070</v>
      </c>
      <c r="H271" s="32" t="e">
        <v>#N/A</v>
      </c>
      <c r="I271" s="32">
        <v>2021</v>
      </c>
      <c r="J271" s="32" t="b">
        <v>1</v>
      </c>
    </row>
    <row r="272" spans="1:10" x14ac:dyDescent="0.15">
      <c r="A272" s="32" t="s">
        <v>5847</v>
      </c>
      <c r="B272" s="32" t="s">
        <v>5847</v>
      </c>
      <c r="C272" s="32" t="s">
        <v>1133</v>
      </c>
      <c r="D272" s="32" t="s">
        <v>3074</v>
      </c>
      <c r="E272" s="32" t="s">
        <v>3075</v>
      </c>
      <c r="F272" s="32" t="s">
        <v>553</v>
      </c>
      <c r="G272" s="32" t="s">
        <v>3076</v>
      </c>
      <c r="H272" s="32" t="s">
        <v>3077</v>
      </c>
      <c r="I272" s="32">
        <v>2020</v>
      </c>
      <c r="J272" s="32" t="b">
        <v>1</v>
      </c>
    </row>
    <row r="273" spans="1:10" x14ac:dyDescent="0.15">
      <c r="A273" s="32" t="s">
        <v>5848</v>
      </c>
      <c r="B273" s="32" t="s">
        <v>5848</v>
      </c>
      <c r="C273" s="32" t="s">
        <v>1133</v>
      </c>
      <c r="D273" s="32" t="s">
        <v>3081</v>
      </c>
      <c r="E273" s="32" t="s">
        <v>3082</v>
      </c>
      <c r="F273" s="32" t="s">
        <v>3083</v>
      </c>
      <c r="G273" s="32" t="s">
        <v>3084</v>
      </c>
      <c r="H273" s="32" t="e">
        <v>#N/A</v>
      </c>
      <c r="I273" s="32">
        <v>2021</v>
      </c>
      <c r="J273" s="32" t="b">
        <v>0</v>
      </c>
    </row>
    <row r="274" spans="1:10" x14ac:dyDescent="0.15">
      <c r="A274" s="32" t="s">
        <v>5849</v>
      </c>
      <c r="B274" s="32" t="s">
        <v>5849</v>
      </c>
      <c r="C274" s="32" t="s">
        <v>1133</v>
      </c>
      <c r="D274" s="32" t="s">
        <v>3088</v>
      </c>
      <c r="E274" s="32" t="s">
        <v>3089</v>
      </c>
      <c r="F274" s="32" t="s">
        <v>3090</v>
      </c>
      <c r="G274" s="32" t="s">
        <v>3091</v>
      </c>
      <c r="H274" s="32" t="s">
        <v>3092</v>
      </c>
      <c r="I274" s="32">
        <v>2022</v>
      </c>
      <c r="J274" s="32" t="b">
        <v>0</v>
      </c>
    </row>
    <row r="275" spans="1:10" x14ac:dyDescent="0.15">
      <c r="A275" s="32" t="s">
        <v>5850</v>
      </c>
      <c r="B275" s="32" t="s">
        <v>5850</v>
      </c>
      <c r="C275" s="32" t="s">
        <v>1133</v>
      </c>
      <c r="D275" s="32" t="s">
        <v>3096</v>
      </c>
      <c r="E275" s="32" t="s">
        <v>3097</v>
      </c>
      <c r="F275" s="32" t="s">
        <v>68</v>
      </c>
      <c r="G275" s="32" t="s">
        <v>3098</v>
      </c>
      <c r="H275" s="32" t="s">
        <v>3099</v>
      </c>
      <c r="I275" s="32">
        <v>2022</v>
      </c>
      <c r="J275" s="32" t="b">
        <v>1</v>
      </c>
    </row>
    <row r="276" spans="1:10" x14ac:dyDescent="0.15">
      <c r="A276" s="32" t="s">
        <v>5851</v>
      </c>
      <c r="B276" s="32" t="s">
        <v>5851</v>
      </c>
      <c r="C276" s="32" t="s">
        <v>1133</v>
      </c>
      <c r="D276" s="32" t="s">
        <v>3103</v>
      </c>
      <c r="E276" s="32" t="s">
        <v>3104</v>
      </c>
      <c r="F276" s="32" t="s">
        <v>863</v>
      </c>
      <c r="G276" s="32" t="s">
        <v>3105</v>
      </c>
      <c r="H276" s="32" t="s">
        <v>3106</v>
      </c>
      <c r="I276" s="32">
        <v>2016</v>
      </c>
      <c r="J276" s="32" t="b">
        <v>1</v>
      </c>
    </row>
    <row r="277" spans="1:10" x14ac:dyDescent="0.15">
      <c r="A277" s="32" t="s">
        <v>5852</v>
      </c>
      <c r="B277" s="32" t="s">
        <v>5852</v>
      </c>
      <c r="C277" s="32" t="s">
        <v>1133</v>
      </c>
      <c r="D277" s="32" t="s">
        <v>3110</v>
      </c>
      <c r="E277" s="32" t="s">
        <v>3111</v>
      </c>
      <c r="F277" s="32" t="s">
        <v>1322</v>
      </c>
      <c r="G277" s="32" t="s">
        <v>3112</v>
      </c>
      <c r="H277" s="32" t="s">
        <v>3113</v>
      </c>
      <c r="I277" s="32">
        <v>2022</v>
      </c>
      <c r="J277" s="32" t="b">
        <v>1</v>
      </c>
    </row>
    <row r="278" spans="1:10" x14ac:dyDescent="0.15">
      <c r="A278" s="32" t="s">
        <v>5853</v>
      </c>
      <c r="B278" s="32" t="s">
        <v>5853</v>
      </c>
      <c r="C278" s="32" t="s">
        <v>1133</v>
      </c>
      <c r="D278" s="32" t="s">
        <v>3117</v>
      </c>
      <c r="E278" s="32" t="s">
        <v>3118</v>
      </c>
      <c r="F278" s="32" t="s">
        <v>124</v>
      </c>
      <c r="G278" s="32" t="s">
        <v>3119</v>
      </c>
      <c r="H278" s="32" t="e">
        <v>#N/A</v>
      </c>
      <c r="I278" s="32">
        <v>2012</v>
      </c>
      <c r="J278" s="32" t="b">
        <v>1</v>
      </c>
    </row>
    <row r="279" spans="1:10" x14ac:dyDescent="0.15">
      <c r="A279" s="32" t="s">
        <v>5854</v>
      </c>
      <c r="B279" s="32" t="s">
        <v>5854</v>
      </c>
      <c r="C279" s="32" t="s">
        <v>1133</v>
      </c>
      <c r="D279" s="32" t="s">
        <v>3123</v>
      </c>
      <c r="E279" s="32" t="s">
        <v>3124</v>
      </c>
      <c r="F279" s="32" t="s">
        <v>124</v>
      </c>
      <c r="G279" s="32" t="s">
        <v>3125</v>
      </c>
      <c r="H279" s="32" t="e">
        <v>#N/A</v>
      </c>
      <c r="I279" s="32">
        <v>2017</v>
      </c>
      <c r="J279" s="32" t="b">
        <v>1</v>
      </c>
    </row>
    <row r="280" spans="1:10" x14ac:dyDescent="0.15">
      <c r="A280" s="32" t="s">
        <v>5855</v>
      </c>
      <c r="B280" s="32" t="s">
        <v>5855</v>
      </c>
      <c r="C280" s="32" t="s">
        <v>1133</v>
      </c>
      <c r="D280" s="32" t="s">
        <v>3129</v>
      </c>
      <c r="E280" s="32" t="s">
        <v>3130</v>
      </c>
      <c r="F280" s="32" t="s">
        <v>2164</v>
      </c>
      <c r="G280" s="32" t="s">
        <v>3131</v>
      </c>
      <c r="H280" s="32" t="e">
        <v>#N/A</v>
      </c>
      <c r="I280" s="32">
        <v>2021</v>
      </c>
      <c r="J280" s="32" t="b">
        <v>1</v>
      </c>
    </row>
    <row r="281" spans="1:10" x14ac:dyDescent="0.15">
      <c r="A281" s="32" t="s">
        <v>5856</v>
      </c>
      <c r="B281" s="32" t="s">
        <v>5856</v>
      </c>
      <c r="C281" s="32" t="s">
        <v>1133</v>
      </c>
      <c r="D281" s="32" t="s">
        <v>3136</v>
      </c>
      <c r="E281" s="32" t="s">
        <v>3137</v>
      </c>
      <c r="F281" s="32" t="s">
        <v>3138</v>
      </c>
      <c r="G281" s="32" t="s">
        <v>3139</v>
      </c>
      <c r="H281" s="32" t="s">
        <v>3140</v>
      </c>
      <c r="I281" s="32">
        <v>2022</v>
      </c>
      <c r="J281" s="32" t="b">
        <v>1</v>
      </c>
    </row>
    <row r="282" spans="1:10" x14ac:dyDescent="0.15">
      <c r="A282" s="32" t="s">
        <v>5857</v>
      </c>
      <c r="B282" s="32" t="s">
        <v>5857</v>
      </c>
      <c r="C282" s="32" t="s">
        <v>1133</v>
      </c>
      <c r="D282" s="32" t="s">
        <v>3144</v>
      </c>
      <c r="E282" s="32" t="s">
        <v>3145</v>
      </c>
      <c r="F282" s="32" t="s">
        <v>3146</v>
      </c>
      <c r="G282" s="32" t="s">
        <v>3147</v>
      </c>
      <c r="H282" s="32" t="s">
        <v>3148</v>
      </c>
      <c r="I282" s="32">
        <v>2022</v>
      </c>
      <c r="J282" s="32" t="b">
        <v>0</v>
      </c>
    </row>
    <row r="283" spans="1:10" x14ac:dyDescent="0.15">
      <c r="A283" s="32" t="s">
        <v>5858</v>
      </c>
      <c r="B283" s="32" t="s">
        <v>5858</v>
      </c>
      <c r="C283" s="32" t="s">
        <v>1133</v>
      </c>
      <c r="D283" s="32" t="s">
        <v>3153</v>
      </c>
      <c r="E283" s="32" t="s">
        <v>3154</v>
      </c>
      <c r="F283" s="32" t="s">
        <v>1586</v>
      </c>
      <c r="G283" s="32" t="s">
        <v>3155</v>
      </c>
      <c r="H283" s="32" t="s">
        <v>1542</v>
      </c>
      <c r="I283" s="32">
        <v>2022</v>
      </c>
      <c r="J283" s="32" t="b">
        <v>1</v>
      </c>
    </row>
    <row r="284" spans="1:10" x14ac:dyDescent="0.15">
      <c r="A284" s="32" t="s">
        <v>5859</v>
      </c>
      <c r="B284" s="32" t="s">
        <v>5859</v>
      </c>
      <c r="C284" s="32" t="s">
        <v>1133</v>
      </c>
      <c r="D284" s="32" t="s">
        <v>3159</v>
      </c>
      <c r="E284" s="32" t="s">
        <v>3160</v>
      </c>
      <c r="F284" s="32" t="s">
        <v>2044</v>
      </c>
      <c r="G284" s="32" t="s">
        <v>3161</v>
      </c>
      <c r="H284" s="32" t="e">
        <v>#N/A</v>
      </c>
      <c r="I284" s="32">
        <v>2014</v>
      </c>
      <c r="J284" s="32" t="b">
        <v>1</v>
      </c>
    </row>
    <row r="285" spans="1:10" x14ac:dyDescent="0.15">
      <c r="A285" s="32" t="s">
        <v>5860</v>
      </c>
      <c r="B285" s="32" t="s">
        <v>5860</v>
      </c>
      <c r="C285" s="32" t="s">
        <v>1133</v>
      </c>
      <c r="D285" s="32" t="s">
        <v>1713</v>
      </c>
      <c r="E285" s="32" t="s">
        <v>3164</v>
      </c>
      <c r="F285" s="32" t="s">
        <v>68</v>
      </c>
      <c r="G285" s="32" t="s">
        <v>3165</v>
      </c>
      <c r="H285" s="32" t="s">
        <v>3166</v>
      </c>
      <c r="I285" s="32">
        <v>2021</v>
      </c>
      <c r="J285" s="32" t="b">
        <v>1</v>
      </c>
    </row>
    <row r="286" spans="1:10" x14ac:dyDescent="0.15">
      <c r="A286" s="32" t="s">
        <v>5861</v>
      </c>
      <c r="B286" s="32" t="s">
        <v>5861</v>
      </c>
      <c r="C286" s="32" t="s">
        <v>1133</v>
      </c>
      <c r="D286" s="32" t="s">
        <v>3170</v>
      </c>
      <c r="E286" s="32" t="s">
        <v>3171</v>
      </c>
      <c r="F286" s="32" t="s">
        <v>1322</v>
      </c>
      <c r="G286" s="32" t="s">
        <v>3172</v>
      </c>
      <c r="H286" s="32" t="s">
        <v>3173</v>
      </c>
      <c r="I286" s="32">
        <v>2017</v>
      </c>
      <c r="J286" s="32" t="b">
        <v>1</v>
      </c>
    </row>
    <row r="287" spans="1:10" x14ac:dyDescent="0.15">
      <c r="A287" s="32" t="s">
        <v>5862</v>
      </c>
      <c r="B287" s="32" t="s">
        <v>5862</v>
      </c>
      <c r="C287" s="32" t="s">
        <v>1133</v>
      </c>
      <c r="D287" s="32" t="s">
        <v>2013</v>
      </c>
      <c r="E287" s="32" t="s">
        <v>3176</v>
      </c>
      <c r="F287" s="32" t="s">
        <v>3177</v>
      </c>
      <c r="G287" s="32" t="s">
        <v>3178</v>
      </c>
      <c r="H287" s="32" t="e">
        <v>#N/A</v>
      </c>
      <c r="I287" s="32">
        <v>2020</v>
      </c>
      <c r="J287" s="32" t="b">
        <v>0</v>
      </c>
    </row>
    <row r="288" spans="1:10" x14ac:dyDescent="0.15">
      <c r="A288" s="32" t="s">
        <v>5863</v>
      </c>
      <c r="B288" s="32" t="s">
        <v>5863</v>
      </c>
      <c r="C288" s="32" t="s">
        <v>1133</v>
      </c>
      <c r="D288" s="32" t="s">
        <v>3182</v>
      </c>
      <c r="E288" s="32" t="s">
        <v>3183</v>
      </c>
      <c r="F288" s="32" t="s">
        <v>1562</v>
      </c>
      <c r="G288" s="32" t="s">
        <v>3184</v>
      </c>
      <c r="H288" s="32" t="s">
        <v>3185</v>
      </c>
      <c r="I288" s="32">
        <v>2018</v>
      </c>
      <c r="J288" s="32" t="b">
        <v>1</v>
      </c>
    </row>
    <row r="289" spans="1:10" x14ac:dyDescent="0.15">
      <c r="A289" s="32" t="s">
        <v>5864</v>
      </c>
      <c r="B289" s="32" t="s">
        <v>5864</v>
      </c>
      <c r="C289" s="32" t="s">
        <v>1133</v>
      </c>
      <c r="D289" s="32" t="s">
        <v>3190</v>
      </c>
      <c r="E289" s="32" t="s">
        <v>3191</v>
      </c>
      <c r="F289" s="32" t="s">
        <v>422</v>
      </c>
      <c r="G289" s="32" t="s">
        <v>3192</v>
      </c>
      <c r="H289" s="32" t="s">
        <v>3193</v>
      </c>
      <c r="I289" s="32">
        <v>2022</v>
      </c>
      <c r="J289" s="32" t="b">
        <v>1</v>
      </c>
    </row>
    <row r="290" spans="1:10" x14ac:dyDescent="0.15">
      <c r="A290" s="32" t="s">
        <v>5865</v>
      </c>
      <c r="B290" s="32" t="s">
        <v>5865</v>
      </c>
      <c r="C290" s="32" t="s">
        <v>1133</v>
      </c>
      <c r="D290" s="32" t="s">
        <v>3197</v>
      </c>
      <c r="E290" s="32" t="s">
        <v>3198</v>
      </c>
      <c r="F290" s="32" t="s">
        <v>3199</v>
      </c>
      <c r="G290" s="32" t="s">
        <v>3200</v>
      </c>
      <c r="H290" s="32" t="s">
        <v>3201</v>
      </c>
      <c r="I290" s="32">
        <v>2016</v>
      </c>
      <c r="J290" s="32" t="b">
        <v>0</v>
      </c>
    </row>
    <row r="291" spans="1:10" x14ac:dyDescent="0.15">
      <c r="A291" s="32" t="s">
        <v>5866</v>
      </c>
      <c r="B291" s="32" t="s">
        <v>5866</v>
      </c>
      <c r="C291" s="32" t="s">
        <v>1133</v>
      </c>
      <c r="D291" s="32" t="s">
        <v>3205</v>
      </c>
      <c r="E291" s="32" t="s">
        <v>3206</v>
      </c>
      <c r="F291" s="32" t="s">
        <v>302</v>
      </c>
      <c r="G291" s="32" t="s">
        <v>3207</v>
      </c>
      <c r="H291" s="32" t="s">
        <v>3208</v>
      </c>
      <c r="I291" s="32">
        <v>2019</v>
      </c>
      <c r="J291" s="32" t="b">
        <v>1</v>
      </c>
    </row>
    <row r="292" spans="1:10" x14ac:dyDescent="0.15">
      <c r="A292" s="32" t="s">
        <v>5867</v>
      </c>
      <c r="B292" s="32" t="s">
        <v>5867</v>
      </c>
      <c r="C292" s="32" t="s">
        <v>1133</v>
      </c>
      <c r="D292" s="32" t="s">
        <v>3212</v>
      </c>
      <c r="E292" s="32" t="s">
        <v>3213</v>
      </c>
      <c r="F292" s="32" t="s">
        <v>422</v>
      </c>
      <c r="G292" s="32" t="s">
        <v>3214</v>
      </c>
      <c r="H292" s="32" t="s">
        <v>3215</v>
      </c>
      <c r="I292" s="32">
        <v>2018</v>
      </c>
      <c r="J292" s="32" t="b">
        <v>1</v>
      </c>
    </row>
    <row r="293" spans="1:10" x14ac:dyDescent="0.15">
      <c r="A293" s="32" t="s">
        <v>5868</v>
      </c>
      <c r="B293" s="32" t="s">
        <v>5868</v>
      </c>
      <c r="C293" s="32" t="s">
        <v>1133</v>
      </c>
      <c r="D293" s="32" t="s">
        <v>3219</v>
      </c>
      <c r="E293" s="32" t="s">
        <v>3220</v>
      </c>
      <c r="F293" s="32" t="s">
        <v>124</v>
      </c>
      <c r="G293" s="32" t="s">
        <v>3221</v>
      </c>
      <c r="H293" s="32" t="s">
        <v>3222</v>
      </c>
      <c r="I293" s="32">
        <v>2017</v>
      </c>
      <c r="J293" s="32" t="b">
        <v>1</v>
      </c>
    </row>
    <row r="294" spans="1:10" x14ac:dyDescent="0.15">
      <c r="A294" s="32" t="s">
        <v>5869</v>
      </c>
      <c r="B294" s="32" t="s">
        <v>5869</v>
      </c>
      <c r="C294" s="32" t="s">
        <v>1133</v>
      </c>
      <c r="D294" s="32" t="s">
        <v>3226</v>
      </c>
      <c r="E294" s="32" t="s">
        <v>3227</v>
      </c>
      <c r="F294" s="32" t="s">
        <v>124</v>
      </c>
      <c r="G294" s="32" t="s">
        <v>3228</v>
      </c>
      <c r="H294" s="32" t="e">
        <v>#N/A</v>
      </c>
      <c r="I294" s="32">
        <v>2021</v>
      </c>
      <c r="J294" s="32" t="b">
        <v>1</v>
      </c>
    </row>
    <row r="295" spans="1:10" x14ac:dyDescent="0.15">
      <c r="A295" s="32" t="s">
        <v>5870</v>
      </c>
      <c r="B295" s="32" t="s">
        <v>5870</v>
      </c>
      <c r="C295" s="32" t="s">
        <v>1133</v>
      </c>
      <c r="D295" s="32" t="s">
        <v>3232</v>
      </c>
      <c r="E295" s="32" t="s">
        <v>3233</v>
      </c>
      <c r="F295" s="32" t="s">
        <v>1634</v>
      </c>
      <c r="G295" s="32" t="s">
        <v>3234</v>
      </c>
      <c r="H295" s="32" t="e">
        <v>#N/A</v>
      </c>
      <c r="I295" s="32">
        <v>2019</v>
      </c>
      <c r="J295" s="32" t="b">
        <v>1</v>
      </c>
    </row>
    <row r="296" spans="1:10" x14ac:dyDescent="0.15">
      <c r="A296" s="32" t="s">
        <v>5871</v>
      </c>
      <c r="B296" s="32" t="s">
        <v>5871</v>
      </c>
      <c r="C296" s="32" t="s">
        <v>1133</v>
      </c>
      <c r="D296" s="32" t="s">
        <v>3238</v>
      </c>
      <c r="E296" s="32" t="s">
        <v>3239</v>
      </c>
      <c r="F296" s="32" t="s">
        <v>3240</v>
      </c>
      <c r="G296" s="32" t="s">
        <v>3241</v>
      </c>
      <c r="H296" s="32" t="s">
        <v>3242</v>
      </c>
      <c r="I296" s="32">
        <v>2022</v>
      </c>
      <c r="J296" s="32" t="b">
        <v>1</v>
      </c>
    </row>
    <row r="297" spans="1:10" x14ac:dyDescent="0.15">
      <c r="A297" s="32" t="s">
        <v>5872</v>
      </c>
      <c r="B297" s="32" t="s">
        <v>5872</v>
      </c>
      <c r="C297" s="32" t="s">
        <v>1133</v>
      </c>
      <c r="D297" s="32" t="s">
        <v>3246</v>
      </c>
      <c r="E297" s="32" t="s">
        <v>3247</v>
      </c>
      <c r="F297" s="32" t="s">
        <v>3248</v>
      </c>
      <c r="G297" s="32" t="s">
        <v>3249</v>
      </c>
      <c r="H297" s="32" t="e">
        <v>#N/A</v>
      </c>
      <c r="I297" s="32">
        <v>2022</v>
      </c>
      <c r="J297" s="32" t="b">
        <v>0</v>
      </c>
    </row>
    <row r="298" spans="1:10" x14ac:dyDescent="0.15">
      <c r="A298" s="32" t="s">
        <v>5873</v>
      </c>
      <c r="B298" s="32" t="s">
        <v>5873</v>
      </c>
      <c r="C298" s="32" t="s">
        <v>1133</v>
      </c>
      <c r="D298" s="32" t="s">
        <v>3253</v>
      </c>
      <c r="E298" s="32" t="s">
        <v>3254</v>
      </c>
      <c r="F298" s="32" t="s">
        <v>3240</v>
      </c>
      <c r="G298" s="32" t="s">
        <v>3255</v>
      </c>
      <c r="H298" s="32" t="s">
        <v>3256</v>
      </c>
      <c r="I298" s="32">
        <v>2021</v>
      </c>
      <c r="J298" s="32" t="b">
        <v>1</v>
      </c>
    </row>
    <row r="299" spans="1:10" x14ac:dyDescent="0.15">
      <c r="A299" s="32" t="s">
        <v>5874</v>
      </c>
      <c r="B299" s="32" t="s">
        <v>5874</v>
      </c>
      <c r="C299" s="32" t="s">
        <v>1133</v>
      </c>
      <c r="D299" s="32" t="s">
        <v>3260</v>
      </c>
      <c r="E299" s="32" t="s">
        <v>3261</v>
      </c>
      <c r="F299" s="32" t="s">
        <v>2164</v>
      </c>
      <c r="G299" s="32" t="s">
        <v>3262</v>
      </c>
      <c r="H299" s="32" t="s">
        <v>3015</v>
      </c>
      <c r="I299" s="32">
        <v>2019</v>
      </c>
      <c r="J299" s="32" t="b">
        <v>1</v>
      </c>
    </row>
    <row r="300" spans="1:10" x14ac:dyDescent="0.15">
      <c r="A300" s="32" t="s">
        <v>5875</v>
      </c>
      <c r="B300" s="32" t="s">
        <v>5875</v>
      </c>
      <c r="C300" s="32" t="s">
        <v>1133</v>
      </c>
      <c r="D300" s="32" t="s">
        <v>3266</v>
      </c>
      <c r="E300" s="32" t="s">
        <v>3267</v>
      </c>
      <c r="F300" s="32" t="s">
        <v>3268</v>
      </c>
      <c r="G300" s="32" t="s">
        <v>3269</v>
      </c>
      <c r="H300" s="32" t="s">
        <v>1518</v>
      </c>
      <c r="I300" s="32">
        <v>2021</v>
      </c>
      <c r="J300" s="32" t="b">
        <v>0</v>
      </c>
    </row>
    <row r="301" spans="1:10" x14ac:dyDescent="0.15">
      <c r="A301" s="32" t="s">
        <v>5876</v>
      </c>
      <c r="B301" s="32" t="s">
        <v>5876</v>
      </c>
      <c r="C301" s="32" t="s">
        <v>1133</v>
      </c>
      <c r="D301" s="32" t="s">
        <v>3272</v>
      </c>
      <c r="E301" s="32" t="s">
        <v>3273</v>
      </c>
      <c r="F301" s="32" t="s">
        <v>3274</v>
      </c>
      <c r="G301" s="32" t="s">
        <v>3275</v>
      </c>
      <c r="H301" s="32" t="s">
        <v>3276</v>
      </c>
      <c r="I301" s="32">
        <v>2022</v>
      </c>
      <c r="J301" s="32" t="b">
        <v>0</v>
      </c>
    </row>
    <row r="302" spans="1:10" x14ac:dyDescent="0.15">
      <c r="A302" s="32" t="s">
        <v>5877</v>
      </c>
      <c r="B302" s="32" t="s">
        <v>5877</v>
      </c>
      <c r="C302" s="32" t="s">
        <v>1133</v>
      </c>
      <c r="D302" s="32" t="s">
        <v>3279</v>
      </c>
      <c r="E302" s="32" t="s">
        <v>3280</v>
      </c>
      <c r="F302" s="32" t="s">
        <v>502</v>
      </c>
      <c r="G302" s="32" t="s">
        <v>3281</v>
      </c>
      <c r="H302" s="32" t="s">
        <v>3282</v>
      </c>
      <c r="I302" s="32">
        <v>2020</v>
      </c>
      <c r="J302" s="32" t="b">
        <v>1</v>
      </c>
    </row>
    <row r="303" spans="1:10" x14ac:dyDescent="0.15">
      <c r="A303" s="32" t="s">
        <v>5878</v>
      </c>
      <c r="B303" s="32" t="s">
        <v>5878</v>
      </c>
      <c r="C303" s="32" t="s">
        <v>1133</v>
      </c>
      <c r="D303" s="32" t="s">
        <v>3286</v>
      </c>
      <c r="E303" s="32" t="s">
        <v>3287</v>
      </c>
      <c r="F303" s="32" t="s">
        <v>1562</v>
      </c>
      <c r="G303" s="32" t="s">
        <v>3288</v>
      </c>
      <c r="H303" s="32" t="s">
        <v>3289</v>
      </c>
      <c r="I303" s="32">
        <v>2015</v>
      </c>
      <c r="J303" s="32" t="b">
        <v>1</v>
      </c>
    </row>
    <row r="304" spans="1:10" x14ac:dyDescent="0.15">
      <c r="A304" s="32" t="s">
        <v>5879</v>
      </c>
      <c r="B304" s="32" t="s">
        <v>5879</v>
      </c>
      <c r="C304" s="32" t="s">
        <v>1133</v>
      </c>
      <c r="D304" s="32" t="s">
        <v>3293</v>
      </c>
      <c r="E304" s="32" t="s">
        <v>3294</v>
      </c>
      <c r="F304" s="32" t="s">
        <v>3240</v>
      </c>
      <c r="G304" s="32" t="s">
        <v>3295</v>
      </c>
      <c r="H304" s="32" t="e">
        <v>#N/A</v>
      </c>
      <c r="I304" s="32">
        <v>2019</v>
      </c>
      <c r="J304" s="32" t="b">
        <v>1</v>
      </c>
    </row>
    <row r="305" spans="1:10" x14ac:dyDescent="0.15">
      <c r="A305" s="32" t="s">
        <v>5880</v>
      </c>
      <c r="B305" s="32" t="s">
        <v>5880</v>
      </c>
      <c r="C305" s="32" t="s">
        <v>1133</v>
      </c>
      <c r="D305" s="32" t="s">
        <v>3299</v>
      </c>
      <c r="E305" s="32" t="s">
        <v>3300</v>
      </c>
      <c r="F305" s="32" t="s">
        <v>3301</v>
      </c>
      <c r="G305" s="32" t="s">
        <v>3302</v>
      </c>
      <c r="H305" s="32" t="s">
        <v>3303</v>
      </c>
      <c r="I305" s="32">
        <v>2022</v>
      </c>
      <c r="J305" s="32" t="b">
        <v>1</v>
      </c>
    </row>
    <row r="306" spans="1:10" x14ac:dyDescent="0.15">
      <c r="A306" s="32" t="s">
        <v>5881</v>
      </c>
      <c r="B306" s="32" t="s">
        <v>5881</v>
      </c>
      <c r="C306" s="32" t="s">
        <v>1133</v>
      </c>
      <c r="D306" s="32" t="s">
        <v>3307</v>
      </c>
      <c r="E306" s="32" t="s">
        <v>3308</v>
      </c>
      <c r="F306" s="32" t="s">
        <v>89</v>
      </c>
      <c r="G306" s="32" t="s">
        <v>3309</v>
      </c>
      <c r="H306" s="32" t="s">
        <v>3310</v>
      </c>
      <c r="I306" s="32">
        <v>2021</v>
      </c>
      <c r="J306" s="32" t="b">
        <v>1</v>
      </c>
    </row>
    <row r="307" spans="1:10" x14ac:dyDescent="0.15">
      <c r="A307" s="32" t="s">
        <v>5882</v>
      </c>
      <c r="B307" s="32" t="s">
        <v>5882</v>
      </c>
      <c r="C307" s="32" t="s">
        <v>1133</v>
      </c>
      <c r="D307" s="32" t="s">
        <v>3314</v>
      </c>
      <c r="E307" s="32" t="s">
        <v>3315</v>
      </c>
      <c r="F307" s="32" t="s">
        <v>2164</v>
      </c>
      <c r="G307" s="32" t="s">
        <v>3316</v>
      </c>
      <c r="H307" s="32" t="s">
        <v>3317</v>
      </c>
      <c r="I307" s="32">
        <v>2022</v>
      </c>
      <c r="J307" s="32" t="b">
        <v>1</v>
      </c>
    </row>
    <row r="308" spans="1:10" x14ac:dyDescent="0.15">
      <c r="A308" s="32" t="s">
        <v>5883</v>
      </c>
      <c r="B308" s="32" t="s">
        <v>5883</v>
      </c>
      <c r="C308" s="32" t="s">
        <v>1133</v>
      </c>
      <c r="D308" s="32" t="s">
        <v>3321</v>
      </c>
      <c r="E308" s="32" t="s">
        <v>3322</v>
      </c>
      <c r="F308" s="32" t="s">
        <v>3323</v>
      </c>
      <c r="G308" s="32" t="s">
        <v>3324</v>
      </c>
      <c r="H308" s="32" t="s">
        <v>3325</v>
      </c>
      <c r="I308" s="32">
        <v>2018</v>
      </c>
      <c r="J308" s="32" t="b">
        <v>0</v>
      </c>
    </row>
    <row r="309" spans="1:10" x14ac:dyDescent="0.15">
      <c r="A309" s="32" t="s">
        <v>5884</v>
      </c>
      <c r="B309" s="32" t="s">
        <v>5884</v>
      </c>
      <c r="C309" s="32" t="s">
        <v>1133</v>
      </c>
      <c r="D309" s="32" t="s">
        <v>3329</v>
      </c>
      <c r="E309" s="32" t="s">
        <v>3330</v>
      </c>
      <c r="F309" s="32" t="s">
        <v>114</v>
      </c>
      <c r="G309" s="32" t="s">
        <v>3331</v>
      </c>
      <c r="H309" s="32" t="s">
        <v>3332</v>
      </c>
      <c r="I309" s="32" t="e">
        <v>#N/A</v>
      </c>
      <c r="J309" s="32" t="b">
        <v>1</v>
      </c>
    </row>
    <row r="310" spans="1:10" x14ac:dyDescent="0.15">
      <c r="A310" s="32" t="s">
        <v>5885</v>
      </c>
      <c r="B310" s="32" t="s">
        <v>5885</v>
      </c>
      <c r="C310" s="32" t="s">
        <v>1133</v>
      </c>
      <c r="D310" s="32" t="s">
        <v>3337</v>
      </c>
      <c r="E310" s="32" t="s">
        <v>3338</v>
      </c>
      <c r="F310" s="32" t="s">
        <v>502</v>
      </c>
      <c r="G310" s="32" t="s">
        <v>3339</v>
      </c>
      <c r="H310" s="32" t="s">
        <v>3340</v>
      </c>
      <c r="I310" s="32">
        <v>2015</v>
      </c>
      <c r="J310" s="32" t="b">
        <v>1</v>
      </c>
    </row>
    <row r="311" spans="1:10" x14ac:dyDescent="0.15">
      <c r="A311" s="32" t="s">
        <v>5886</v>
      </c>
      <c r="B311" s="32" t="s">
        <v>5886</v>
      </c>
      <c r="C311" s="32" t="s">
        <v>1133</v>
      </c>
      <c r="D311" s="32" t="s">
        <v>3344</v>
      </c>
      <c r="E311" s="32" t="s">
        <v>3345</v>
      </c>
      <c r="F311" s="32" t="s">
        <v>1451</v>
      </c>
      <c r="G311" s="32" t="s">
        <v>3346</v>
      </c>
      <c r="H311" s="32" t="s">
        <v>3347</v>
      </c>
      <c r="I311" s="32">
        <v>2016</v>
      </c>
      <c r="J311" s="32" t="b">
        <v>0</v>
      </c>
    </row>
    <row r="312" spans="1:10" x14ac:dyDescent="0.15">
      <c r="A312" s="32" t="s">
        <v>5887</v>
      </c>
      <c r="B312" s="32" t="s">
        <v>5887</v>
      </c>
      <c r="C312" s="32" t="s">
        <v>1133</v>
      </c>
      <c r="D312" s="32" t="s">
        <v>3351</v>
      </c>
      <c r="E312" s="32" t="s">
        <v>3352</v>
      </c>
      <c r="F312" s="32" t="s">
        <v>114</v>
      </c>
      <c r="G312" s="32" t="s">
        <v>3353</v>
      </c>
      <c r="H312" s="32" t="s">
        <v>3354</v>
      </c>
      <c r="I312" s="32" t="e">
        <v>#N/A</v>
      </c>
      <c r="J312" s="32" t="b">
        <v>1</v>
      </c>
    </row>
    <row r="313" spans="1:10" x14ac:dyDescent="0.15">
      <c r="A313" s="32" t="s">
        <v>5888</v>
      </c>
      <c r="B313" s="32" t="s">
        <v>5888</v>
      </c>
      <c r="C313" s="32" t="s">
        <v>1133</v>
      </c>
      <c r="D313" s="32" t="s">
        <v>3358</v>
      </c>
      <c r="E313" s="32" t="s">
        <v>3359</v>
      </c>
      <c r="F313" s="32" t="s">
        <v>3360</v>
      </c>
      <c r="G313" s="32" t="s">
        <v>3361</v>
      </c>
      <c r="H313" s="32" t="s">
        <v>3362</v>
      </c>
      <c r="I313" s="32">
        <v>2020</v>
      </c>
      <c r="J313" s="32" t="b">
        <v>1</v>
      </c>
    </row>
    <row r="314" spans="1:10" x14ac:dyDescent="0.15">
      <c r="A314" s="32" t="s">
        <v>5889</v>
      </c>
      <c r="B314" s="32" t="s">
        <v>5889</v>
      </c>
      <c r="C314" s="32" t="s">
        <v>1133</v>
      </c>
      <c r="D314" s="32" t="s">
        <v>3367</v>
      </c>
      <c r="E314" s="32" t="s">
        <v>3368</v>
      </c>
      <c r="F314" s="32" t="s">
        <v>572</v>
      </c>
      <c r="G314" s="32" t="s">
        <v>3369</v>
      </c>
      <c r="H314" s="32" t="e">
        <v>#N/A</v>
      </c>
      <c r="I314" s="32">
        <v>2016</v>
      </c>
      <c r="J314" s="32" t="b">
        <v>1</v>
      </c>
    </row>
    <row r="315" spans="1:10" x14ac:dyDescent="0.15">
      <c r="A315" s="32" t="s">
        <v>5890</v>
      </c>
      <c r="B315" s="32" t="s">
        <v>5890</v>
      </c>
      <c r="C315" s="32" t="s">
        <v>1133</v>
      </c>
      <c r="D315" s="32" t="s">
        <v>3373</v>
      </c>
      <c r="E315" s="32" t="s">
        <v>3374</v>
      </c>
      <c r="F315" s="32" t="s">
        <v>863</v>
      </c>
      <c r="G315" s="32" t="s">
        <v>3375</v>
      </c>
      <c r="H315" s="32" t="s">
        <v>3376</v>
      </c>
      <c r="I315" s="32">
        <v>2015</v>
      </c>
      <c r="J315" s="32" t="b">
        <v>1</v>
      </c>
    </row>
    <row r="316" spans="1:10" x14ac:dyDescent="0.15">
      <c r="A316" s="32" t="s">
        <v>5891</v>
      </c>
      <c r="B316" s="32" t="s">
        <v>5891</v>
      </c>
      <c r="C316" s="32" t="s">
        <v>1133</v>
      </c>
      <c r="D316" s="32" t="s">
        <v>3380</v>
      </c>
      <c r="E316" s="32" t="s">
        <v>3381</v>
      </c>
      <c r="F316" s="32" t="s">
        <v>553</v>
      </c>
      <c r="G316" s="32" t="s">
        <v>3382</v>
      </c>
      <c r="H316" s="32" t="s">
        <v>3383</v>
      </c>
      <c r="I316" s="32">
        <v>2017</v>
      </c>
      <c r="J316" s="32" t="b">
        <v>1</v>
      </c>
    </row>
    <row r="317" spans="1:10" x14ac:dyDescent="0.15">
      <c r="A317" s="32" t="s">
        <v>5892</v>
      </c>
      <c r="B317" s="32" t="s">
        <v>5892</v>
      </c>
      <c r="C317" s="32" t="s">
        <v>1133</v>
      </c>
      <c r="D317" s="32" t="s">
        <v>3387</v>
      </c>
      <c r="E317" s="32" t="s">
        <v>3388</v>
      </c>
      <c r="F317" s="32" t="s">
        <v>422</v>
      </c>
      <c r="G317" s="32" t="s">
        <v>3389</v>
      </c>
      <c r="H317" s="32" t="s">
        <v>3390</v>
      </c>
      <c r="I317" s="32">
        <v>2021</v>
      </c>
      <c r="J317" s="32" t="b">
        <v>1</v>
      </c>
    </row>
    <row r="318" spans="1:10" x14ac:dyDescent="0.15">
      <c r="A318" s="32" t="s">
        <v>5893</v>
      </c>
      <c r="B318" s="32" t="s">
        <v>5893</v>
      </c>
      <c r="C318" s="32" t="s">
        <v>1133</v>
      </c>
      <c r="D318" s="32" t="s">
        <v>3394</v>
      </c>
      <c r="E318" s="32" t="s">
        <v>3395</v>
      </c>
      <c r="F318" s="32" t="s">
        <v>97</v>
      </c>
      <c r="G318" s="32" t="s">
        <v>3396</v>
      </c>
      <c r="H318" s="32" t="s">
        <v>3397</v>
      </c>
      <c r="I318" s="32">
        <v>2018</v>
      </c>
      <c r="J318" s="32" t="b">
        <v>1</v>
      </c>
    </row>
    <row r="319" spans="1:10" x14ac:dyDescent="0.15">
      <c r="A319" s="32" t="s">
        <v>5894</v>
      </c>
      <c r="B319" s="32" t="s">
        <v>5894</v>
      </c>
      <c r="C319" s="32" t="s">
        <v>1133</v>
      </c>
      <c r="D319" s="32" t="s">
        <v>3401</v>
      </c>
      <c r="E319" s="32" t="s">
        <v>3402</v>
      </c>
      <c r="F319" s="32" t="s">
        <v>371</v>
      </c>
      <c r="G319" s="32" t="s">
        <v>3403</v>
      </c>
      <c r="H319" s="32" t="s">
        <v>3404</v>
      </c>
      <c r="I319" s="32">
        <v>2020</v>
      </c>
      <c r="J319" s="32" t="b">
        <v>1</v>
      </c>
    </row>
    <row r="320" spans="1:10" x14ac:dyDescent="0.15">
      <c r="A320" s="32" t="s">
        <v>5895</v>
      </c>
      <c r="B320" s="32" t="s">
        <v>5895</v>
      </c>
      <c r="C320" s="32" t="s">
        <v>1133</v>
      </c>
      <c r="D320" s="32" t="s">
        <v>3408</v>
      </c>
      <c r="E320" s="32" t="s">
        <v>3409</v>
      </c>
      <c r="F320" s="32" t="s">
        <v>3360</v>
      </c>
      <c r="G320" s="32" t="s">
        <v>3410</v>
      </c>
      <c r="H320" s="32" t="s">
        <v>3411</v>
      </c>
      <c r="I320" s="32">
        <v>2021</v>
      </c>
      <c r="J320" s="32" t="b">
        <v>1</v>
      </c>
    </row>
    <row r="321" spans="1:10" x14ac:dyDescent="0.15">
      <c r="A321" s="32" t="s">
        <v>5896</v>
      </c>
      <c r="B321" s="32" t="s">
        <v>5896</v>
      </c>
      <c r="C321" s="32" t="s">
        <v>1133</v>
      </c>
      <c r="D321" s="32" t="s">
        <v>3415</v>
      </c>
      <c r="E321" s="32" t="s">
        <v>3416</v>
      </c>
      <c r="F321" s="32" t="s">
        <v>114</v>
      </c>
      <c r="G321" s="32" t="s">
        <v>3417</v>
      </c>
      <c r="H321" s="32" t="s">
        <v>3418</v>
      </c>
      <c r="I321" s="32">
        <v>2022</v>
      </c>
      <c r="J321" s="32" t="b">
        <v>1</v>
      </c>
    </row>
    <row r="322" spans="1:10" x14ac:dyDescent="0.15">
      <c r="A322" s="32" t="s">
        <v>5897</v>
      </c>
      <c r="B322" s="32" t="s">
        <v>5897</v>
      </c>
      <c r="C322" s="32" t="s">
        <v>1133</v>
      </c>
      <c r="D322" s="32" t="s">
        <v>3422</v>
      </c>
      <c r="E322" s="32" t="s">
        <v>3423</v>
      </c>
      <c r="F322" s="32" t="s">
        <v>89</v>
      </c>
      <c r="G322" s="32" t="s">
        <v>3424</v>
      </c>
      <c r="H322" s="32" t="s">
        <v>3425</v>
      </c>
      <c r="I322" s="32">
        <v>2017</v>
      </c>
      <c r="J322" s="32" t="b">
        <v>1</v>
      </c>
    </row>
    <row r="323" spans="1:10" x14ac:dyDescent="0.15">
      <c r="A323" s="32" t="s">
        <v>5898</v>
      </c>
      <c r="B323" s="32" t="s">
        <v>5898</v>
      </c>
      <c r="C323" s="32" t="s">
        <v>1133</v>
      </c>
      <c r="D323" s="32" t="s">
        <v>3429</v>
      </c>
      <c r="E323" s="32" t="s">
        <v>3430</v>
      </c>
      <c r="F323" s="32" t="s">
        <v>3431</v>
      </c>
      <c r="G323" s="32" t="s">
        <v>3432</v>
      </c>
      <c r="H323" s="32" t="s">
        <v>3433</v>
      </c>
      <c r="I323" s="32">
        <v>2018</v>
      </c>
      <c r="J323" s="32" t="b">
        <v>1</v>
      </c>
    </row>
    <row r="324" spans="1:10" x14ac:dyDescent="0.15">
      <c r="A324" s="32" t="s">
        <v>5899</v>
      </c>
      <c r="B324" s="32" t="s">
        <v>5899</v>
      </c>
      <c r="C324" s="32" t="s">
        <v>1133</v>
      </c>
      <c r="D324" s="32" t="s">
        <v>3438</v>
      </c>
      <c r="E324" s="32" t="s">
        <v>3439</v>
      </c>
      <c r="F324" s="32" t="s">
        <v>3440</v>
      </c>
      <c r="G324" s="32" t="s">
        <v>3441</v>
      </c>
      <c r="H324" s="32" t="s">
        <v>3442</v>
      </c>
      <c r="I324" s="32">
        <v>2019</v>
      </c>
      <c r="J324" s="32" t="b">
        <v>1</v>
      </c>
    </row>
    <row r="325" spans="1:10" x14ac:dyDescent="0.15">
      <c r="A325" s="32" t="s">
        <v>5900</v>
      </c>
      <c r="B325" s="32" t="s">
        <v>5900</v>
      </c>
      <c r="C325" s="32" t="s">
        <v>1133</v>
      </c>
      <c r="D325" s="32" t="s">
        <v>3447</v>
      </c>
      <c r="E325" s="32" t="s">
        <v>3448</v>
      </c>
      <c r="F325" s="32" t="s">
        <v>89</v>
      </c>
      <c r="G325" s="32" t="s">
        <v>3449</v>
      </c>
      <c r="H325" s="32" t="s">
        <v>3450</v>
      </c>
      <c r="I325" s="32">
        <v>2014</v>
      </c>
      <c r="J325" s="32" t="b">
        <v>1</v>
      </c>
    </row>
    <row r="326" spans="1:10" x14ac:dyDescent="0.15">
      <c r="A326" s="32" t="s">
        <v>5901</v>
      </c>
      <c r="B326" s="32" t="s">
        <v>5901</v>
      </c>
      <c r="C326" s="32" t="s">
        <v>1133</v>
      </c>
      <c r="D326" s="32" t="s">
        <v>3454</v>
      </c>
      <c r="E326" s="32" t="s">
        <v>3455</v>
      </c>
      <c r="F326" s="32" t="s">
        <v>73</v>
      </c>
      <c r="G326" s="32" t="s">
        <v>3456</v>
      </c>
      <c r="H326" s="32" t="s">
        <v>3457</v>
      </c>
      <c r="I326" s="32">
        <v>2020</v>
      </c>
      <c r="J326" s="32" t="b">
        <v>1</v>
      </c>
    </row>
    <row r="327" spans="1:10" x14ac:dyDescent="0.15">
      <c r="A327" s="32" t="s">
        <v>5902</v>
      </c>
      <c r="B327" s="32" t="s">
        <v>5902</v>
      </c>
      <c r="C327" s="32" t="s">
        <v>1133</v>
      </c>
      <c r="D327" s="32" t="s">
        <v>3461</v>
      </c>
      <c r="E327" s="32" t="s">
        <v>3462</v>
      </c>
      <c r="F327" s="32" t="s">
        <v>3463</v>
      </c>
      <c r="G327" s="32" t="s">
        <v>3464</v>
      </c>
      <c r="H327" s="32" t="s">
        <v>3465</v>
      </c>
      <c r="I327" s="32">
        <v>2019</v>
      </c>
      <c r="J327" s="32" t="b">
        <v>0</v>
      </c>
    </row>
    <row r="328" spans="1:10" x14ac:dyDescent="0.15">
      <c r="A328" s="32" t="s">
        <v>5903</v>
      </c>
      <c r="B328" s="32" t="s">
        <v>5903</v>
      </c>
      <c r="C328" s="32" t="s">
        <v>1133</v>
      </c>
      <c r="D328" s="32" t="s">
        <v>3470</v>
      </c>
      <c r="E328" s="32" t="s">
        <v>3471</v>
      </c>
      <c r="F328" s="32" t="s">
        <v>1794</v>
      </c>
      <c r="G328" s="32" t="s">
        <v>3472</v>
      </c>
      <c r="H328" s="32" t="s">
        <v>3473</v>
      </c>
      <c r="I328" s="32">
        <v>2021</v>
      </c>
      <c r="J328" s="32" t="b">
        <v>1</v>
      </c>
    </row>
    <row r="329" spans="1:10" x14ac:dyDescent="0.15">
      <c r="A329" s="32" t="s">
        <v>5904</v>
      </c>
      <c r="B329" s="32" t="s">
        <v>5904</v>
      </c>
      <c r="C329" s="32" t="s">
        <v>1133</v>
      </c>
      <c r="D329" s="32" t="s">
        <v>3478</v>
      </c>
      <c r="E329" s="32" t="s">
        <v>3479</v>
      </c>
      <c r="F329" s="32" t="s">
        <v>422</v>
      </c>
      <c r="G329" s="32" t="s">
        <v>3480</v>
      </c>
      <c r="H329" s="32" t="e">
        <v>#N/A</v>
      </c>
      <c r="I329" s="32">
        <v>2017</v>
      </c>
      <c r="J329" s="32" t="b">
        <v>1</v>
      </c>
    </row>
    <row r="330" spans="1:10" x14ac:dyDescent="0.15">
      <c r="A330" s="32" t="s">
        <v>5905</v>
      </c>
      <c r="B330" s="32" t="s">
        <v>5905</v>
      </c>
      <c r="C330" s="32" t="s">
        <v>1133</v>
      </c>
      <c r="D330" s="32" t="s">
        <v>3484</v>
      </c>
      <c r="E330" s="32" t="s">
        <v>3485</v>
      </c>
      <c r="F330" s="32" t="s">
        <v>228</v>
      </c>
      <c r="G330" s="32" t="s">
        <v>3486</v>
      </c>
      <c r="H330" s="32" t="s">
        <v>3487</v>
      </c>
      <c r="I330" s="32">
        <v>2017</v>
      </c>
      <c r="J330" s="32" t="b">
        <v>1</v>
      </c>
    </row>
    <row r="331" spans="1:10" x14ac:dyDescent="0.15">
      <c r="A331" s="32" t="s">
        <v>5906</v>
      </c>
      <c r="B331" s="32" t="s">
        <v>5906</v>
      </c>
      <c r="C331" s="32" t="s">
        <v>1133</v>
      </c>
      <c r="D331" s="32" t="s">
        <v>3492</v>
      </c>
      <c r="E331" s="32" t="s">
        <v>3493</v>
      </c>
      <c r="F331" s="32" t="s">
        <v>124</v>
      </c>
      <c r="G331" s="32" t="s">
        <v>3494</v>
      </c>
      <c r="H331" s="32" t="s">
        <v>3495</v>
      </c>
      <c r="I331" s="32">
        <v>2016</v>
      </c>
      <c r="J331" s="32" t="b">
        <v>1</v>
      </c>
    </row>
    <row r="332" spans="1:10" x14ac:dyDescent="0.15">
      <c r="A332" s="32" t="s">
        <v>5907</v>
      </c>
      <c r="B332" s="32" t="s">
        <v>5907</v>
      </c>
      <c r="C332" s="32" t="s">
        <v>1133</v>
      </c>
      <c r="D332" s="32" t="s">
        <v>3499</v>
      </c>
      <c r="E332" s="32" t="s">
        <v>3500</v>
      </c>
      <c r="F332" s="32" t="s">
        <v>3501</v>
      </c>
      <c r="G332" s="32" t="s">
        <v>3502</v>
      </c>
      <c r="H332" s="32" t="s">
        <v>3503</v>
      </c>
      <c r="I332" s="32">
        <v>2019</v>
      </c>
      <c r="J332" s="32" t="b">
        <v>0</v>
      </c>
    </row>
    <row r="333" spans="1:10" x14ac:dyDescent="0.15">
      <c r="A333" s="32" t="s">
        <v>5908</v>
      </c>
      <c r="B333" s="32" t="s">
        <v>5908</v>
      </c>
      <c r="C333" s="32" t="s">
        <v>1133</v>
      </c>
      <c r="D333" s="32" t="s">
        <v>3507</v>
      </c>
      <c r="E333" s="32" t="s">
        <v>3508</v>
      </c>
      <c r="F333" s="32" t="s">
        <v>882</v>
      </c>
      <c r="G333" s="32" t="s">
        <v>3509</v>
      </c>
      <c r="H333" s="32" t="s">
        <v>3510</v>
      </c>
      <c r="I333" s="32">
        <v>2018</v>
      </c>
      <c r="J333" s="32" t="b">
        <v>1</v>
      </c>
    </row>
    <row r="334" spans="1:10" x14ac:dyDescent="0.15">
      <c r="A334" s="32" t="s">
        <v>5909</v>
      </c>
      <c r="B334" s="32" t="s">
        <v>5909</v>
      </c>
      <c r="C334" s="32" t="s">
        <v>1133</v>
      </c>
      <c r="D334" s="32" t="s">
        <v>3515</v>
      </c>
      <c r="E334" s="32" t="s">
        <v>3516</v>
      </c>
      <c r="F334" s="32" t="s">
        <v>3517</v>
      </c>
      <c r="G334" s="32" t="s">
        <v>3518</v>
      </c>
      <c r="H334" s="32" t="e">
        <v>#N/A</v>
      </c>
      <c r="I334" s="32">
        <v>2018</v>
      </c>
      <c r="J334" s="32" t="b">
        <v>1</v>
      </c>
    </row>
    <row r="335" spans="1:10" x14ac:dyDescent="0.15">
      <c r="A335" s="32" t="s">
        <v>5910</v>
      </c>
      <c r="B335" s="32" t="s">
        <v>5910</v>
      </c>
      <c r="C335" s="32" t="s">
        <v>1133</v>
      </c>
      <c r="D335" s="32" t="s">
        <v>3522</v>
      </c>
      <c r="E335" s="32" t="s">
        <v>3523</v>
      </c>
      <c r="F335" s="32" t="s">
        <v>124</v>
      </c>
      <c r="G335" s="32" t="s">
        <v>3524</v>
      </c>
      <c r="H335" s="32" t="s">
        <v>3525</v>
      </c>
      <c r="I335" s="32">
        <v>2018</v>
      </c>
      <c r="J335" s="32" t="b">
        <v>1</v>
      </c>
    </row>
    <row r="336" spans="1:10" x14ac:dyDescent="0.15">
      <c r="A336" s="32" t="s">
        <v>5911</v>
      </c>
      <c r="B336" s="32" t="s">
        <v>5911</v>
      </c>
      <c r="C336" s="32" t="s">
        <v>1133</v>
      </c>
      <c r="D336" s="32" t="s">
        <v>3529</v>
      </c>
      <c r="E336" s="32" t="s">
        <v>3530</v>
      </c>
      <c r="F336" s="32" t="s">
        <v>89</v>
      </c>
      <c r="G336" s="32" t="s">
        <v>3531</v>
      </c>
      <c r="H336" s="32" t="s">
        <v>502</v>
      </c>
      <c r="I336" s="32">
        <v>2017</v>
      </c>
      <c r="J336" s="32" t="b">
        <v>1</v>
      </c>
    </row>
    <row r="337" spans="1:10" x14ac:dyDescent="0.15">
      <c r="A337" s="32" t="s">
        <v>5912</v>
      </c>
      <c r="B337" s="32" t="s">
        <v>5912</v>
      </c>
      <c r="C337" s="32" t="s">
        <v>1133</v>
      </c>
      <c r="D337" s="32" t="s">
        <v>3535</v>
      </c>
      <c r="E337" s="32" t="s">
        <v>3536</v>
      </c>
      <c r="F337" s="32" t="s">
        <v>1451</v>
      </c>
      <c r="G337" s="32" t="s">
        <v>3537</v>
      </c>
      <c r="H337" s="32" t="s">
        <v>3538</v>
      </c>
      <c r="I337" s="32">
        <v>2015</v>
      </c>
      <c r="J337" s="32" t="b">
        <v>0</v>
      </c>
    </row>
    <row r="338" spans="1:10" x14ac:dyDescent="0.15">
      <c r="A338" s="32" t="s">
        <v>5913</v>
      </c>
      <c r="B338" s="32" t="s">
        <v>5913</v>
      </c>
      <c r="C338" s="32" t="s">
        <v>1133</v>
      </c>
      <c r="D338" s="32" t="s">
        <v>3542</v>
      </c>
      <c r="E338" s="32" t="s">
        <v>3543</v>
      </c>
      <c r="F338" s="32" t="s">
        <v>1562</v>
      </c>
      <c r="G338" s="32" t="s">
        <v>3544</v>
      </c>
      <c r="H338" s="32" t="s">
        <v>3545</v>
      </c>
      <c r="I338" s="32">
        <v>2016</v>
      </c>
      <c r="J338" s="32" t="b">
        <v>1</v>
      </c>
    </row>
    <row r="339" spans="1:10" x14ac:dyDescent="0.15">
      <c r="A339" s="32" t="s">
        <v>5914</v>
      </c>
      <c r="B339" s="32" t="s">
        <v>5914</v>
      </c>
      <c r="C339" s="32" t="s">
        <v>1133</v>
      </c>
      <c r="D339" s="32" t="s">
        <v>3550</v>
      </c>
      <c r="E339" s="32" t="s">
        <v>3551</v>
      </c>
      <c r="F339" s="32" t="s">
        <v>2193</v>
      </c>
      <c r="G339" s="32" t="s">
        <v>3552</v>
      </c>
      <c r="H339" s="32" t="e">
        <v>#N/A</v>
      </c>
      <c r="I339" s="32" t="e">
        <v>#N/A</v>
      </c>
      <c r="J339" s="32" t="b">
        <v>1</v>
      </c>
    </row>
    <row r="340" spans="1:10" x14ac:dyDescent="0.15">
      <c r="A340" s="32" t="s">
        <v>5915</v>
      </c>
      <c r="B340" s="32" t="s">
        <v>5915</v>
      </c>
      <c r="C340" s="32" t="s">
        <v>1133</v>
      </c>
      <c r="D340" s="32" t="s">
        <v>3557</v>
      </c>
      <c r="E340" s="32" t="s">
        <v>3558</v>
      </c>
      <c r="F340" s="32" t="s">
        <v>422</v>
      </c>
      <c r="G340" s="32" t="s">
        <v>3559</v>
      </c>
      <c r="H340" s="32" t="s">
        <v>3560</v>
      </c>
      <c r="I340" s="32">
        <v>2019</v>
      </c>
      <c r="J340" s="32" t="b">
        <v>1</v>
      </c>
    </row>
    <row r="341" spans="1:10" x14ac:dyDescent="0.15">
      <c r="A341" s="32" t="s">
        <v>5916</v>
      </c>
      <c r="B341" s="32" t="s">
        <v>5916</v>
      </c>
      <c r="C341" s="32" t="s">
        <v>1133</v>
      </c>
      <c r="D341" s="32" t="s">
        <v>3564</v>
      </c>
      <c r="E341" s="32" t="s">
        <v>3565</v>
      </c>
      <c r="F341" s="32" t="s">
        <v>124</v>
      </c>
      <c r="G341" s="32" t="s">
        <v>3566</v>
      </c>
      <c r="H341" s="32" t="s">
        <v>3015</v>
      </c>
      <c r="I341" s="32">
        <v>2015</v>
      </c>
      <c r="J341" s="32" t="b">
        <v>0</v>
      </c>
    </row>
    <row r="342" spans="1:10" x14ac:dyDescent="0.15">
      <c r="A342" s="32" t="s">
        <v>5917</v>
      </c>
      <c r="B342" s="32" t="s">
        <v>5917</v>
      </c>
      <c r="C342" s="32" t="s">
        <v>1133</v>
      </c>
      <c r="D342" s="32" t="s">
        <v>3570</v>
      </c>
      <c r="E342" s="32" t="s">
        <v>3571</v>
      </c>
      <c r="F342" s="32" t="s">
        <v>3572</v>
      </c>
      <c r="G342" s="32" t="s">
        <v>3573</v>
      </c>
      <c r="H342" s="32" t="s">
        <v>3574</v>
      </c>
      <c r="I342" s="32" t="e">
        <v>#N/A</v>
      </c>
      <c r="J342" s="32" t="b">
        <v>0</v>
      </c>
    </row>
    <row r="343" spans="1:10" x14ac:dyDescent="0.15">
      <c r="A343" s="32" t="s">
        <v>5918</v>
      </c>
      <c r="B343" s="32" t="s">
        <v>5918</v>
      </c>
      <c r="C343" s="32" t="s">
        <v>1133</v>
      </c>
      <c r="D343" s="32" t="s">
        <v>3578</v>
      </c>
      <c r="E343" s="32" t="s">
        <v>3579</v>
      </c>
      <c r="F343" s="32" t="s">
        <v>97</v>
      </c>
      <c r="G343" s="32" t="s">
        <v>3580</v>
      </c>
      <c r="H343" s="32" t="s">
        <v>3581</v>
      </c>
      <c r="I343" s="32">
        <v>2021</v>
      </c>
      <c r="J343" s="32" t="b">
        <v>1</v>
      </c>
    </row>
    <row r="344" spans="1:10" x14ac:dyDescent="0.15">
      <c r="A344" s="32" t="s">
        <v>5919</v>
      </c>
      <c r="B344" s="32" t="s">
        <v>5919</v>
      </c>
      <c r="C344" s="32" t="s">
        <v>1133</v>
      </c>
      <c r="D344" s="32" t="s">
        <v>3585</v>
      </c>
      <c r="E344" s="32" t="s">
        <v>3586</v>
      </c>
      <c r="F344" s="32" t="s">
        <v>422</v>
      </c>
      <c r="G344" s="32" t="s">
        <v>3587</v>
      </c>
      <c r="H344" s="32" t="s">
        <v>3588</v>
      </c>
      <c r="I344" s="32">
        <v>2020</v>
      </c>
      <c r="J344" s="32" t="b">
        <v>1</v>
      </c>
    </row>
    <row r="345" spans="1:10" x14ac:dyDescent="0.15">
      <c r="A345" s="32" t="s">
        <v>5920</v>
      </c>
      <c r="B345" s="32" t="s">
        <v>5920</v>
      </c>
      <c r="C345" s="32" t="s">
        <v>1133</v>
      </c>
      <c r="D345" s="32" t="s">
        <v>3592</v>
      </c>
      <c r="E345" s="32" t="s">
        <v>3593</v>
      </c>
      <c r="F345" s="32" t="s">
        <v>228</v>
      </c>
      <c r="G345" s="32" t="s">
        <v>3594</v>
      </c>
      <c r="H345" s="32" t="s">
        <v>3595</v>
      </c>
      <c r="I345" s="32">
        <v>2020</v>
      </c>
      <c r="J345" s="32" t="b">
        <v>1</v>
      </c>
    </row>
    <row r="346" spans="1:10" x14ac:dyDescent="0.15">
      <c r="A346" s="32" t="s">
        <v>5921</v>
      </c>
      <c r="B346" s="32" t="s">
        <v>5921</v>
      </c>
      <c r="C346" s="32" t="s">
        <v>1133</v>
      </c>
      <c r="D346" s="32" t="s">
        <v>3600</v>
      </c>
      <c r="E346" s="32" t="s">
        <v>3601</v>
      </c>
      <c r="F346" s="32" t="s">
        <v>1484</v>
      </c>
      <c r="G346" s="32" t="s">
        <v>3602</v>
      </c>
      <c r="H346" s="32" t="e">
        <v>#N/A</v>
      </c>
      <c r="I346" s="32">
        <v>2021</v>
      </c>
      <c r="J346" s="32" t="b">
        <v>1</v>
      </c>
    </row>
    <row r="347" spans="1:10" x14ac:dyDescent="0.15">
      <c r="A347" s="32" t="s">
        <v>5922</v>
      </c>
      <c r="B347" s="32" t="s">
        <v>5922</v>
      </c>
      <c r="C347" s="32" t="s">
        <v>1133</v>
      </c>
      <c r="D347" s="32" t="s">
        <v>3607</v>
      </c>
      <c r="E347" s="32" t="s">
        <v>3608</v>
      </c>
      <c r="F347" s="32" t="s">
        <v>124</v>
      </c>
      <c r="G347" s="32" t="s">
        <v>3609</v>
      </c>
      <c r="H347" s="32" t="e">
        <v>#N/A</v>
      </c>
      <c r="I347" s="32">
        <v>2012</v>
      </c>
      <c r="J347" s="32" t="b">
        <v>1</v>
      </c>
    </row>
    <row r="348" spans="1:10" x14ac:dyDescent="0.15">
      <c r="A348" s="32" t="s">
        <v>5923</v>
      </c>
      <c r="B348" s="32" t="s">
        <v>5923</v>
      </c>
      <c r="C348" s="32" t="s">
        <v>1133</v>
      </c>
      <c r="D348" s="32" t="s">
        <v>3613</v>
      </c>
      <c r="E348" s="32" t="s">
        <v>3614</v>
      </c>
      <c r="F348" s="32" t="s">
        <v>1451</v>
      </c>
      <c r="G348" s="32" t="s">
        <v>3615</v>
      </c>
      <c r="H348" s="32" t="s">
        <v>3616</v>
      </c>
      <c r="I348" s="32">
        <v>2016</v>
      </c>
      <c r="J348" s="32" t="b">
        <v>0</v>
      </c>
    </row>
    <row r="349" spans="1:10" x14ac:dyDescent="0.15">
      <c r="A349" s="32" t="s">
        <v>5924</v>
      </c>
      <c r="B349" s="32" t="s">
        <v>5924</v>
      </c>
      <c r="C349" s="32" t="s">
        <v>1133</v>
      </c>
      <c r="D349" s="32" t="s">
        <v>3620</v>
      </c>
      <c r="E349" s="32" t="s">
        <v>3621</v>
      </c>
      <c r="F349" s="32" t="s">
        <v>313</v>
      </c>
      <c r="G349" s="32" t="s">
        <v>3622</v>
      </c>
      <c r="H349" s="32" t="s">
        <v>3623</v>
      </c>
      <c r="I349" s="32">
        <v>2022</v>
      </c>
      <c r="J349" s="32" t="b">
        <v>1</v>
      </c>
    </row>
    <row r="350" spans="1:10" x14ac:dyDescent="0.15">
      <c r="A350" s="32" t="s">
        <v>5925</v>
      </c>
      <c r="B350" s="32" t="s">
        <v>5925</v>
      </c>
      <c r="C350" s="32" t="s">
        <v>1133</v>
      </c>
      <c r="D350" s="32" t="s">
        <v>3627</v>
      </c>
      <c r="E350" s="32" t="s">
        <v>3628</v>
      </c>
      <c r="F350" s="32" t="s">
        <v>422</v>
      </c>
      <c r="G350" s="32" t="s">
        <v>3629</v>
      </c>
      <c r="H350" s="32" t="s">
        <v>3630</v>
      </c>
      <c r="I350" s="32">
        <v>2022</v>
      </c>
      <c r="J350" s="32" t="b">
        <v>1</v>
      </c>
    </row>
    <row r="351" spans="1:10" x14ac:dyDescent="0.15">
      <c r="A351" s="32" t="s">
        <v>5926</v>
      </c>
      <c r="B351" s="32" t="s">
        <v>5926</v>
      </c>
      <c r="C351" s="32" t="s">
        <v>1133</v>
      </c>
      <c r="D351" s="32" t="s">
        <v>3634</v>
      </c>
      <c r="E351" s="32" t="s">
        <v>3635</v>
      </c>
      <c r="F351" s="32" t="s">
        <v>97</v>
      </c>
      <c r="G351" s="32" t="s">
        <v>3636</v>
      </c>
      <c r="H351" s="32" t="s">
        <v>3637</v>
      </c>
      <c r="I351" s="32">
        <v>2019</v>
      </c>
      <c r="J351" s="32" t="b">
        <v>1</v>
      </c>
    </row>
    <row r="352" spans="1:10" x14ac:dyDescent="0.15">
      <c r="A352" s="32" t="s">
        <v>5927</v>
      </c>
      <c r="B352" s="32" t="s">
        <v>5927</v>
      </c>
      <c r="C352" s="32" t="s">
        <v>1133</v>
      </c>
      <c r="D352" s="32" t="s">
        <v>3641</v>
      </c>
      <c r="E352" s="32" t="s">
        <v>3642</v>
      </c>
      <c r="F352" s="32" t="s">
        <v>422</v>
      </c>
      <c r="G352" s="32" t="s">
        <v>3643</v>
      </c>
      <c r="H352" s="32" t="e">
        <v>#N/A</v>
      </c>
      <c r="I352" s="32">
        <v>2020</v>
      </c>
      <c r="J352" s="32" t="b">
        <v>1</v>
      </c>
    </row>
    <row r="353" spans="1:10" x14ac:dyDescent="0.15">
      <c r="A353" s="32" t="s">
        <v>5928</v>
      </c>
      <c r="B353" s="32" t="s">
        <v>5928</v>
      </c>
      <c r="C353" s="32" t="s">
        <v>1133</v>
      </c>
      <c r="D353" s="32" t="s">
        <v>3647</v>
      </c>
      <c r="E353" s="32" t="s">
        <v>3648</v>
      </c>
      <c r="F353" s="32" t="s">
        <v>3649</v>
      </c>
      <c r="G353" s="32" t="s">
        <v>3650</v>
      </c>
      <c r="H353" s="32" t="s">
        <v>3651</v>
      </c>
      <c r="I353" s="32">
        <v>2022</v>
      </c>
      <c r="J353" s="32" t="b">
        <v>1</v>
      </c>
    </row>
    <row r="354" spans="1:10" x14ac:dyDescent="0.15">
      <c r="A354" s="32" t="s">
        <v>5929</v>
      </c>
      <c r="B354" s="32" t="s">
        <v>5929</v>
      </c>
      <c r="C354" s="32" t="s">
        <v>1133</v>
      </c>
      <c r="D354" s="32" t="s">
        <v>3655</v>
      </c>
      <c r="E354" s="32" t="s">
        <v>3656</v>
      </c>
      <c r="F354" s="32" t="s">
        <v>313</v>
      </c>
      <c r="G354" s="32" t="s">
        <v>3657</v>
      </c>
      <c r="H354" s="32" t="s">
        <v>3658</v>
      </c>
      <c r="I354" s="32">
        <v>2014</v>
      </c>
      <c r="J354" s="32" t="b">
        <v>1</v>
      </c>
    </row>
    <row r="355" spans="1:10" x14ac:dyDescent="0.15">
      <c r="A355" s="32" t="s">
        <v>5930</v>
      </c>
      <c r="B355" s="32" t="s">
        <v>5930</v>
      </c>
      <c r="C355" s="32" t="s">
        <v>1133</v>
      </c>
      <c r="D355" s="32" t="s">
        <v>3662</v>
      </c>
      <c r="E355" s="32" t="s">
        <v>3663</v>
      </c>
      <c r="F355" s="32" t="s">
        <v>2044</v>
      </c>
      <c r="G355" s="32" t="s">
        <v>3664</v>
      </c>
      <c r="H355" s="32" t="s">
        <v>3665</v>
      </c>
      <c r="I355" s="32">
        <v>2022</v>
      </c>
      <c r="J355" s="32" t="b">
        <v>1</v>
      </c>
    </row>
    <row r="356" spans="1:10" x14ac:dyDescent="0.15">
      <c r="A356" s="32" t="s">
        <v>5931</v>
      </c>
      <c r="B356" s="32" t="s">
        <v>5931</v>
      </c>
      <c r="C356" s="32" t="s">
        <v>1133</v>
      </c>
      <c r="D356" s="32" t="s">
        <v>1905</v>
      </c>
      <c r="E356" s="32" t="s">
        <v>3668</v>
      </c>
      <c r="F356" s="32" t="s">
        <v>124</v>
      </c>
      <c r="G356" s="32" t="s">
        <v>3669</v>
      </c>
      <c r="H356" s="32" t="s">
        <v>3670</v>
      </c>
      <c r="I356" s="32">
        <v>2019</v>
      </c>
      <c r="J356" s="32" t="b">
        <v>1</v>
      </c>
    </row>
    <row r="357" spans="1:10" x14ac:dyDescent="0.15">
      <c r="A357" s="32" t="s">
        <v>5932</v>
      </c>
      <c r="B357" s="32" t="s">
        <v>5932</v>
      </c>
      <c r="C357" s="32" t="s">
        <v>1133</v>
      </c>
      <c r="D357" s="32" t="s">
        <v>3674</v>
      </c>
      <c r="E357" s="32" t="s">
        <v>3675</v>
      </c>
      <c r="F357" s="32" t="s">
        <v>313</v>
      </c>
      <c r="G357" s="32" t="s">
        <v>3676</v>
      </c>
      <c r="H357" s="32" t="s">
        <v>2318</v>
      </c>
      <c r="I357" s="32">
        <v>2021</v>
      </c>
      <c r="J357" s="32" t="b">
        <v>1</v>
      </c>
    </row>
    <row r="358" spans="1:10" x14ac:dyDescent="0.15">
      <c r="A358" s="32" t="s">
        <v>5933</v>
      </c>
      <c r="B358" s="32" t="s">
        <v>5933</v>
      </c>
      <c r="C358" s="32" t="s">
        <v>1133</v>
      </c>
      <c r="D358" s="32" t="s">
        <v>3680</v>
      </c>
      <c r="E358" s="32" t="s">
        <v>3681</v>
      </c>
      <c r="F358" s="32" t="s">
        <v>3682</v>
      </c>
      <c r="G358" s="32" t="s">
        <v>3683</v>
      </c>
      <c r="H358" s="32" t="e">
        <v>#N/A</v>
      </c>
      <c r="I358" s="32">
        <v>2017</v>
      </c>
      <c r="J358" s="32" t="b">
        <v>0</v>
      </c>
    </row>
    <row r="359" spans="1:10" x14ac:dyDescent="0.15">
      <c r="A359" s="32" t="s">
        <v>5934</v>
      </c>
      <c r="B359" s="32" t="s">
        <v>5934</v>
      </c>
      <c r="C359" s="32" t="s">
        <v>1133</v>
      </c>
      <c r="D359" s="32" t="s">
        <v>3687</v>
      </c>
      <c r="E359" s="32" t="s">
        <v>3688</v>
      </c>
      <c r="F359" s="32" t="s">
        <v>97</v>
      </c>
      <c r="G359" s="32" t="s">
        <v>3689</v>
      </c>
      <c r="H359" s="32" t="s">
        <v>1259</v>
      </c>
      <c r="I359" s="32">
        <v>2022</v>
      </c>
      <c r="J359" s="32" t="b">
        <v>1</v>
      </c>
    </row>
    <row r="360" spans="1:10" x14ac:dyDescent="0.15">
      <c r="A360" s="32" t="s">
        <v>5935</v>
      </c>
      <c r="B360" s="32" t="s">
        <v>5935</v>
      </c>
      <c r="C360" s="32" t="s">
        <v>1133</v>
      </c>
      <c r="D360" s="32" t="s">
        <v>3693</v>
      </c>
      <c r="E360" s="32" t="s">
        <v>3694</v>
      </c>
      <c r="F360" s="32" t="s">
        <v>114</v>
      </c>
      <c r="G360" s="32" t="s">
        <v>3695</v>
      </c>
      <c r="H360" s="32" t="s">
        <v>3696</v>
      </c>
      <c r="I360" s="32">
        <v>2021</v>
      </c>
      <c r="J360" s="32" t="b">
        <v>1</v>
      </c>
    </row>
    <row r="361" spans="1:10" x14ac:dyDescent="0.15">
      <c r="A361" s="32" t="s">
        <v>5936</v>
      </c>
      <c r="B361" s="32" t="s">
        <v>5936</v>
      </c>
      <c r="C361" s="32" t="s">
        <v>1133</v>
      </c>
      <c r="D361" s="32" t="s">
        <v>3700</v>
      </c>
      <c r="E361" s="32" t="s">
        <v>3701</v>
      </c>
      <c r="F361" s="32" t="s">
        <v>3702</v>
      </c>
      <c r="G361" s="32" t="s">
        <v>3703</v>
      </c>
      <c r="H361" s="32" t="s">
        <v>3704</v>
      </c>
      <c r="I361" s="32">
        <v>2021</v>
      </c>
      <c r="J361" s="32" t="b">
        <v>0</v>
      </c>
    </row>
    <row r="362" spans="1:10" x14ac:dyDescent="0.15">
      <c r="A362" s="32" t="s">
        <v>5937</v>
      </c>
      <c r="B362" s="32" t="s">
        <v>5937</v>
      </c>
      <c r="C362" s="32" t="s">
        <v>1133</v>
      </c>
      <c r="D362" s="32" t="s">
        <v>3708</v>
      </c>
      <c r="E362" s="32" t="s">
        <v>3709</v>
      </c>
      <c r="F362" s="32" t="s">
        <v>2051</v>
      </c>
      <c r="G362" s="32" t="s">
        <v>3710</v>
      </c>
      <c r="H362" s="32" t="s">
        <v>3711</v>
      </c>
      <c r="I362" s="32">
        <v>2020</v>
      </c>
      <c r="J362" s="32" t="b">
        <v>1</v>
      </c>
    </row>
    <row r="363" spans="1:10" x14ac:dyDescent="0.15">
      <c r="A363" s="32" t="s">
        <v>5938</v>
      </c>
      <c r="B363" s="32" t="s">
        <v>5938</v>
      </c>
      <c r="C363" s="32" t="s">
        <v>1133</v>
      </c>
      <c r="D363" s="32" t="s">
        <v>3715</v>
      </c>
      <c r="E363" s="32" t="s">
        <v>3716</v>
      </c>
      <c r="F363" s="32" t="s">
        <v>1698</v>
      </c>
      <c r="G363" s="32" t="s">
        <v>3717</v>
      </c>
      <c r="H363" s="32" t="s">
        <v>2148</v>
      </c>
      <c r="I363" s="32">
        <v>2019</v>
      </c>
      <c r="J363" s="32" t="b">
        <v>1</v>
      </c>
    </row>
    <row r="364" spans="1:10" x14ac:dyDescent="0.15">
      <c r="A364" s="32" t="s">
        <v>5939</v>
      </c>
      <c r="B364" s="32" t="s">
        <v>5939</v>
      </c>
      <c r="C364" s="32" t="s">
        <v>1133</v>
      </c>
      <c r="D364" s="32" t="s">
        <v>3721</v>
      </c>
      <c r="E364" s="32" t="s">
        <v>3722</v>
      </c>
      <c r="F364" s="32" t="s">
        <v>114</v>
      </c>
      <c r="G364" s="32" t="s">
        <v>3723</v>
      </c>
      <c r="H364" s="32" t="s">
        <v>3724</v>
      </c>
      <c r="I364" s="32">
        <v>2022</v>
      </c>
      <c r="J364" s="32" t="b">
        <v>1</v>
      </c>
    </row>
    <row r="365" spans="1:10" x14ac:dyDescent="0.15">
      <c r="A365" s="32" t="s">
        <v>5940</v>
      </c>
      <c r="B365" s="32" t="s">
        <v>5940</v>
      </c>
      <c r="C365" s="32" t="s">
        <v>1133</v>
      </c>
      <c r="D365" s="32" t="s">
        <v>3728</v>
      </c>
      <c r="E365" s="32" t="s">
        <v>3729</v>
      </c>
      <c r="F365" s="32" t="s">
        <v>68</v>
      </c>
      <c r="G365" s="32" t="s">
        <v>3730</v>
      </c>
      <c r="H365" s="32" t="s">
        <v>3731</v>
      </c>
      <c r="I365" s="32">
        <v>2019</v>
      </c>
      <c r="J365" s="32" t="b">
        <v>1</v>
      </c>
    </row>
    <row r="366" spans="1:10" x14ac:dyDescent="0.15">
      <c r="A366" s="32" t="s">
        <v>5941</v>
      </c>
      <c r="B366" s="32" t="s">
        <v>5941</v>
      </c>
      <c r="C366" s="32" t="s">
        <v>1133</v>
      </c>
      <c r="D366" s="32" t="s">
        <v>3735</v>
      </c>
      <c r="E366" s="32" t="s">
        <v>3736</v>
      </c>
      <c r="F366" s="32" t="s">
        <v>68</v>
      </c>
      <c r="G366" s="32" t="s">
        <v>3737</v>
      </c>
      <c r="H366" s="32" t="s">
        <v>3738</v>
      </c>
      <c r="I366" s="32">
        <v>2022</v>
      </c>
      <c r="J366" s="32" t="b">
        <v>1</v>
      </c>
    </row>
    <row r="367" spans="1:10" x14ac:dyDescent="0.15">
      <c r="A367" s="32" t="s">
        <v>5942</v>
      </c>
      <c r="B367" s="32" t="s">
        <v>5942</v>
      </c>
      <c r="C367" s="32" t="s">
        <v>1133</v>
      </c>
      <c r="D367" s="32" t="s">
        <v>3742</v>
      </c>
      <c r="E367" s="32" t="s">
        <v>3743</v>
      </c>
      <c r="F367" s="32" t="s">
        <v>1743</v>
      </c>
      <c r="G367" s="32" t="s">
        <v>3744</v>
      </c>
      <c r="H367" s="32" t="s">
        <v>3745</v>
      </c>
      <c r="I367" s="32">
        <v>2020</v>
      </c>
      <c r="J367" s="32" t="b">
        <v>1</v>
      </c>
    </row>
    <row r="368" spans="1:10" x14ac:dyDescent="0.15">
      <c r="A368" s="32" t="s">
        <v>5943</v>
      </c>
      <c r="B368" s="32" t="s">
        <v>5943</v>
      </c>
      <c r="C368" s="32" t="s">
        <v>1133</v>
      </c>
      <c r="D368" s="32" t="s">
        <v>3749</v>
      </c>
      <c r="E368" s="32" t="s">
        <v>3750</v>
      </c>
      <c r="F368" s="32" t="s">
        <v>124</v>
      </c>
      <c r="G368" s="32" t="s">
        <v>3751</v>
      </c>
      <c r="H368" s="32" t="s">
        <v>3752</v>
      </c>
      <c r="I368" s="32">
        <v>2022</v>
      </c>
      <c r="J368" s="32" t="b">
        <v>1</v>
      </c>
    </row>
    <row r="369" spans="1:10" x14ac:dyDescent="0.15">
      <c r="A369" s="32" t="s">
        <v>5944</v>
      </c>
      <c r="B369" s="32" t="s">
        <v>5944</v>
      </c>
      <c r="C369" s="32" t="s">
        <v>1133</v>
      </c>
      <c r="D369" s="32" t="s">
        <v>3756</v>
      </c>
      <c r="E369" s="32" t="s">
        <v>3757</v>
      </c>
      <c r="F369" s="32" t="s">
        <v>3758</v>
      </c>
      <c r="G369" s="32" t="s">
        <v>3759</v>
      </c>
      <c r="H369" s="32" t="s">
        <v>3760</v>
      </c>
      <c r="I369" s="32">
        <v>2019</v>
      </c>
      <c r="J369" s="32" t="b">
        <v>0</v>
      </c>
    </row>
    <row r="370" spans="1:10" x14ac:dyDescent="0.15">
      <c r="A370" s="32" t="s">
        <v>5945</v>
      </c>
      <c r="B370" s="32" t="s">
        <v>5945</v>
      </c>
      <c r="C370" s="32" t="s">
        <v>1133</v>
      </c>
      <c r="D370" s="32" t="s">
        <v>3764</v>
      </c>
      <c r="E370" s="32" t="s">
        <v>3765</v>
      </c>
      <c r="F370" s="32" t="s">
        <v>124</v>
      </c>
      <c r="G370" s="32" t="s">
        <v>3766</v>
      </c>
      <c r="H370" s="32" t="s">
        <v>3767</v>
      </c>
      <c r="I370" s="32">
        <v>2021</v>
      </c>
      <c r="J370" s="32" t="b">
        <v>1</v>
      </c>
    </row>
    <row r="371" spans="1:10" x14ac:dyDescent="0.15">
      <c r="A371" s="32" t="s">
        <v>5946</v>
      </c>
      <c r="B371" s="32" t="s">
        <v>5946</v>
      </c>
      <c r="C371" s="32" t="s">
        <v>1133</v>
      </c>
      <c r="D371" s="32" t="s">
        <v>3771</v>
      </c>
      <c r="E371" s="32" t="s">
        <v>3772</v>
      </c>
      <c r="F371" s="32" t="s">
        <v>1743</v>
      </c>
      <c r="G371" s="32" t="s">
        <v>3773</v>
      </c>
      <c r="H371" s="32" t="s">
        <v>3774</v>
      </c>
      <c r="I371" s="32">
        <v>2020</v>
      </c>
      <c r="J371" s="32" t="b">
        <v>1</v>
      </c>
    </row>
    <row r="372" spans="1:10" x14ac:dyDescent="0.15">
      <c r="A372" s="32" t="s">
        <v>5947</v>
      </c>
      <c r="B372" s="32" t="s">
        <v>5947</v>
      </c>
      <c r="C372" s="32" t="s">
        <v>1133</v>
      </c>
      <c r="D372" s="32" t="s">
        <v>3778</v>
      </c>
      <c r="E372" s="32" t="s">
        <v>3779</v>
      </c>
      <c r="F372" s="32" t="s">
        <v>422</v>
      </c>
      <c r="G372" s="32" t="s">
        <v>3780</v>
      </c>
      <c r="H372" s="32" t="s">
        <v>3781</v>
      </c>
      <c r="I372" s="32">
        <v>2022</v>
      </c>
      <c r="J372" s="32" t="b">
        <v>1</v>
      </c>
    </row>
    <row r="373" spans="1:10" x14ac:dyDescent="0.15">
      <c r="A373" s="32" t="s">
        <v>5948</v>
      </c>
      <c r="B373" s="32" t="s">
        <v>5948</v>
      </c>
      <c r="C373" s="32" t="s">
        <v>1133</v>
      </c>
      <c r="D373" s="32" t="s">
        <v>3785</v>
      </c>
      <c r="E373" s="32" t="s">
        <v>3786</v>
      </c>
      <c r="F373" s="32" t="s">
        <v>114</v>
      </c>
      <c r="G373" s="32" t="s">
        <v>3787</v>
      </c>
      <c r="H373" s="32" t="s">
        <v>3788</v>
      </c>
      <c r="I373" s="32" t="e">
        <v>#N/A</v>
      </c>
      <c r="J373" s="32" t="b">
        <v>1</v>
      </c>
    </row>
    <row r="374" spans="1:10" x14ac:dyDescent="0.15">
      <c r="A374" s="32" t="s">
        <v>5949</v>
      </c>
      <c r="B374" s="32" t="s">
        <v>5949</v>
      </c>
      <c r="C374" s="32" t="s">
        <v>1133</v>
      </c>
      <c r="D374" s="32" t="s">
        <v>3792</v>
      </c>
      <c r="E374" s="32" t="s">
        <v>3793</v>
      </c>
      <c r="F374" s="32" t="s">
        <v>2051</v>
      </c>
      <c r="G374" s="32" t="s">
        <v>3794</v>
      </c>
      <c r="H374" s="32" t="e">
        <v>#N/A</v>
      </c>
      <c r="I374" s="32">
        <v>2022</v>
      </c>
      <c r="J374" s="32" t="b">
        <v>1</v>
      </c>
    </row>
    <row r="375" spans="1:10" x14ac:dyDescent="0.15">
      <c r="A375" s="32" t="s">
        <v>5950</v>
      </c>
      <c r="B375" s="32" t="s">
        <v>5950</v>
      </c>
      <c r="C375" s="32" t="s">
        <v>1133</v>
      </c>
      <c r="D375" s="32" t="s">
        <v>3798</v>
      </c>
      <c r="E375" s="32" t="s">
        <v>3799</v>
      </c>
      <c r="F375" s="32" t="s">
        <v>278</v>
      </c>
      <c r="G375" s="32" t="s">
        <v>3800</v>
      </c>
      <c r="H375" s="32" t="s">
        <v>3801</v>
      </c>
      <c r="I375" s="32">
        <v>2020</v>
      </c>
      <c r="J375" s="32" t="b">
        <v>0</v>
      </c>
    </row>
    <row r="376" spans="1:10" x14ac:dyDescent="0.15">
      <c r="A376" s="32" t="s">
        <v>5951</v>
      </c>
      <c r="B376" s="32" t="s">
        <v>5951</v>
      </c>
      <c r="C376" s="32" t="s">
        <v>1133</v>
      </c>
      <c r="D376" s="32" t="s">
        <v>3805</v>
      </c>
      <c r="E376" s="32" t="s">
        <v>3806</v>
      </c>
      <c r="F376" s="32" t="s">
        <v>3050</v>
      </c>
      <c r="G376" s="32" t="s">
        <v>3807</v>
      </c>
      <c r="H376" s="32" t="s">
        <v>3808</v>
      </c>
      <c r="I376" s="32">
        <v>2021</v>
      </c>
      <c r="J376" s="32" t="b">
        <v>0</v>
      </c>
    </row>
    <row r="377" spans="1:10" x14ac:dyDescent="0.15">
      <c r="A377" s="32" t="s">
        <v>5952</v>
      </c>
      <c r="B377" s="32" t="s">
        <v>5952</v>
      </c>
      <c r="C377" s="32" t="s">
        <v>1133</v>
      </c>
      <c r="D377" s="32" t="s">
        <v>3812</v>
      </c>
      <c r="E377" s="32" t="s">
        <v>3813</v>
      </c>
      <c r="F377" s="32" t="s">
        <v>2044</v>
      </c>
      <c r="G377" s="32" t="s">
        <v>3814</v>
      </c>
      <c r="H377" s="32" t="s">
        <v>3815</v>
      </c>
      <c r="I377" s="32">
        <v>2019</v>
      </c>
      <c r="J377" s="32" t="b">
        <v>1</v>
      </c>
    </row>
    <row r="378" spans="1:10" x14ac:dyDescent="0.15">
      <c r="A378" s="32" t="s">
        <v>5953</v>
      </c>
      <c r="B378" s="32" t="s">
        <v>5953</v>
      </c>
      <c r="C378" s="32" t="s">
        <v>1133</v>
      </c>
      <c r="D378" s="32" t="s">
        <v>2697</v>
      </c>
      <c r="E378" s="32" t="s">
        <v>3818</v>
      </c>
      <c r="F378" s="32" t="s">
        <v>3360</v>
      </c>
      <c r="G378" s="32" t="s">
        <v>3819</v>
      </c>
      <c r="H378" s="32" t="s">
        <v>3820</v>
      </c>
      <c r="I378" s="32">
        <v>2015</v>
      </c>
      <c r="J378" s="32" t="b">
        <v>1</v>
      </c>
    </row>
    <row r="379" spans="1:10" x14ac:dyDescent="0.15">
      <c r="A379" s="32" t="s">
        <v>5954</v>
      </c>
      <c r="B379" s="32" t="s">
        <v>5954</v>
      </c>
      <c r="C379" s="32" t="s">
        <v>1133</v>
      </c>
      <c r="D379" s="32" t="s">
        <v>3824</v>
      </c>
      <c r="E379" s="32" t="s">
        <v>3825</v>
      </c>
      <c r="F379" s="32" t="s">
        <v>3826</v>
      </c>
      <c r="G379" s="32" t="s">
        <v>3827</v>
      </c>
      <c r="H379" s="32" t="s">
        <v>3828</v>
      </c>
      <c r="I379" s="32">
        <v>2014</v>
      </c>
      <c r="J379" s="32" t="b">
        <v>0</v>
      </c>
    </row>
    <row r="380" spans="1:10" x14ac:dyDescent="0.15">
      <c r="A380" s="32" t="s">
        <v>5955</v>
      </c>
      <c r="B380" s="32" t="s">
        <v>5955</v>
      </c>
      <c r="C380" s="32" t="s">
        <v>1133</v>
      </c>
      <c r="D380" s="32" t="s">
        <v>3832</v>
      </c>
      <c r="E380" s="32" t="s">
        <v>3833</v>
      </c>
      <c r="F380" s="32" t="s">
        <v>313</v>
      </c>
      <c r="G380" s="32" t="s">
        <v>3834</v>
      </c>
      <c r="H380" s="32" t="s">
        <v>3835</v>
      </c>
      <c r="I380" s="32">
        <v>2014</v>
      </c>
      <c r="J380" s="32" t="b">
        <v>1</v>
      </c>
    </row>
    <row r="381" spans="1:10" x14ac:dyDescent="0.15">
      <c r="A381" s="32" t="s">
        <v>5956</v>
      </c>
      <c r="B381" s="32" t="s">
        <v>5956</v>
      </c>
      <c r="C381" s="32" t="s">
        <v>1133</v>
      </c>
      <c r="D381" s="32" t="s">
        <v>3839</v>
      </c>
      <c r="E381" s="32" t="s">
        <v>3840</v>
      </c>
      <c r="F381" s="32" t="s">
        <v>68</v>
      </c>
      <c r="G381" s="32" t="s">
        <v>3841</v>
      </c>
      <c r="H381" s="32" t="s">
        <v>3842</v>
      </c>
      <c r="I381" s="32">
        <v>2022</v>
      </c>
      <c r="J381" s="32" t="b">
        <v>1</v>
      </c>
    </row>
    <row r="382" spans="1:10" x14ac:dyDescent="0.15">
      <c r="A382" s="32" t="s">
        <v>5957</v>
      </c>
      <c r="B382" s="32" t="s">
        <v>5957</v>
      </c>
      <c r="C382" s="32" t="s">
        <v>1133</v>
      </c>
      <c r="D382" s="32" t="s">
        <v>3846</v>
      </c>
      <c r="E382" s="32" t="s">
        <v>3847</v>
      </c>
      <c r="F382" s="32" t="s">
        <v>2051</v>
      </c>
      <c r="G382" s="32" t="s">
        <v>3848</v>
      </c>
      <c r="H382" s="32" t="s">
        <v>3849</v>
      </c>
      <c r="I382" s="32">
        <v>2018</v>
      </c>
      <c r="J382" s="32" t="b">
        <v>1</v>
      </c>
    </row>
    <row r="383" spans="1:10" x14ac:dyDescent="0.15">
      <c r="A383" s="32" t="s">
        <v>5958</v>
      </c>
      <c r="B383" s="32" t="s">
        <v>5958</v>
      </c>
      <c r="C383" s="32" t="s">
        <v>1133</v>
      </c>
      <c r="D383" s="32" t="s">
        <v>3853</v>
      </c>
      <c r="E383" s="32" t="s">
        <v>3854</v>
      </c>
      <c r="F383" s="32" t="s">
        <v>1803</v>
      </c>
      <c r="G383" s="32" t="s">
        <v>3855</v>
      </c>
      <c r="H383" s="32" t="s">
        <v>3856</v>
      </c>
      <c r="I383" s="32">
        <v>2019</v>
      </c>
      <c r="J383" s="32" t="b">
        <v>1</v>
      </c>
    </row>
    <row r="384" spans="1:10" x14ac:dyDescent="0.15">
      <c r="A384" s="32" t="s">
        <v>5959</v>
      </c>
      <c r="B384" s="32" t="s">
        <v>5959</v>
      </c>
      <c r="C384" s="32" t="s">
        <v>1133</v>
      </c>
      <c r="D384" s="32" t="s">
        <v>3861</v>
      </c>
      <c r="E384" s="32" t="s">
        <v>3862</v>
      </c>
      <c r="F384" s="32" t="s">
        <v>1634</v>
      </c>
      <c r="G384" s="32" t="s">
        <v>3863</v>
      </c>
      <c r="H384" s="32" t="s">
        <v>3864</v>
      </c>
      <c r="I384" s="32">
        <v>2019</v>
      </c>
      <c r="J384" s="32" t="b">
        <v>1</v>
      </c>
    </row>
    <row r="385" spans="1:10" x14ac:dyDescent="0.15">
      <c r="A385" s="32" t="s">
        <v>5960</v>
      </c>
      <c r="B385" s="32" t="s">
        <v>5960</v>
      </c>
      <c r="C385" s="32" t="s">
        <v>1133</v>
      </c>
      <c r="D385" s="32" t="s">
        <v>3868</v>
      </c>
      <c r="E385" s="32" t="s">
        <v>3869</v>
      </c>
      <c r="F385" s="32" t="s">
        <v>1634</v>
      </c>
      <c r="G385" s="32" t="s">
        <v>3870</v>
      </c>
      <c r="H385" s="32" t="s">
        <v>3871</v>
      </c>
      <c r="I385" s="32">
        <v>2022</v>
      </c>
      <c r="J385" s="32" t="b">
        <v>1</v>
      </c>
    </row>
    <row r="386" spans="1:10" x14ac:dyDescent="0.15">
      <c r="A386" s="32" t="s">
        <v>5961</v>
      </c>
      <c r="B386" s="32" t="s">
        <v>5961</v>
      </c>
      <c r="C386" s="32" t="s">
        <v>1133</v>
      </c>
      <c r="D386" s="32" t="s">
        <v>3875</v>
      </c>
      <c r="E386" s="32" t="s">
        <v>3876</v>
      </c>
      <c r="F386" s="32" t="s">
        <v>2164</v>
      </c>
      <c r="G386" s="32" t="s">
        <v>3877</v>
      </c>
      <c r="H386" s="32" t="s">
        <v>3878</v>
      </c>
      <c r="I386" s="32">
        <v>2014</v>
      </c>
      <c r="J386" s="32" t="b">
        <v>1</v>
      </c>
    </row>
    <row r="387" spans="1:10" x14ac:dyDescent="0.15">
      <c r="A387" s="32" t="s">
        <v>5962</v>
      </c>
      <c r="B387" s="32" t="s">
        <v>5962</v>
      </c>
      <c r="C387" s="32" t="s">
        <v>1133</v>
      </c>
      <c r="D387" s="32" t="s">
        <v>3882</v>
      </c>
      <c r="E387" s="32" t="s">
        <v>3883</v>
      </c>
      <c r="F387" s="32" t="s">
        <v>124</v>
      </c>
      <c r="G387" s="32" t="s">
        <v>3884</v>
      </c>
      <c r="H387" s="32" t="s">
        <v>3885</v>
      </c>
      <c r="I387" s="32">
        <v>2019</v>
      </c>
      <c r="J387" s="32" t="b">
        <v>1</v>
      </c>
    </row>
    <row r="388" spans="1:10" x14ac:dyDescent="0.15">
      <c r="A388" s="32" t="s">
        <v>5963</v>
      </c>
      <c r="B388" s="32" t="s">
        <v>5963</v>
      </c>
      <c r="C388" s="32" t="s">
        <v>1133</v>
      </c>
      <c r="D388" s="32" t="s">
        <v>3889</v>
      </c>
      <c r="E388" s="32" t="s">
        <v>3890</v>
      </c>
      <c r="F388" s="32" t="s">
        <v>3891</v>
      </c>
      <c r="G388" s="32" t="s">
        <v>3892</v>
      </c>
      <c r="H388" s="32" t="s">
        <v>3893</v>
      </c>
      <c r="I388" s="32">
        <v>2014</v>
      </c>
      <c r="J388" s="32" t="b">
        <v>0</v>
      </c>
    </row>
    <row r="389" spans="1:10" x14ac:dyDescent="0.15">
      <c r="A389" s="32" t="s">
        <v>5964</v>
      </c>
      <c r="B389" s="32" t="s">
        <v>5964</v>
      </c>
      <c r="C389" s="32" t="s">
        <v>1133</v>
      </c>
      <c r="D389" s="32" t="s">
        <v>3897</v>
      </c>
      <c r="E389" s="32" t="s">
        <v>3898</v>
      </c>
      <c r="F389" s="32" t="s">
        <v>124</v>
      </c>
      <c r="G389" s="32" t="s">
        <v>3899</v>
      </c>
      <c r="H389" s="32" t="s">
        <v>3900</v>
      </c>
      <c r="I389" s="32">
        <v>2018</v>
      </c>
      <c r="J389" s="32" t="b">
        <v>1</v>
      </c>
    </row>
    <row r="390" spans="1:10" x14ac:dyDescent="0.15">
      <c r="A390" s="32" t="s">
        <v>5965</v>
      </c>
      <c r="B390" s="32" t="s">
        <v>5965</v>
      </c>
      <c r="C390" s="32" t="s">
        <v>1133</v>
      </c>
      <c r="D390" s="32" t="s">
        <v>3904</v>
      </c>
      <c r="E390" s="32" t="s">
        <v>3905</v>
      </c>
      <c r="F390" s="32" t="s">
        <v>124</v>
      </c>
      <c r="G390" s="32" t="s">
        <v>3906</v>
      </c>
      <c r="H390" s="32" t="s">
        <v>3907</v>
      </c>
      <c r="I390" s="32">
        <v>2017</v>
      </c>
      <c r="J390" s="32" t="b">
        <v>1</v>
      </c>
    </row>
    <row r="391" spans="1:10" x14ac:dyDescent="0.15">
      <c r="A391" s="32" t="s">
        <v>5966</v>
      </c>
      <c r="B391" s="32" t="s">
        <v>5966</v>
      </c>
      <c r="C391" s="32" t="s">
        <v>1133</v>
      </c>
      <c r="D391" s="32" t="s">
        <v>3911</v>
      </c>
      <c r="E391" s="32" t="s">
        <v>3912</v>
      </c>
      <c r="F391" s="32" t="s">
        <v>124</v>
      </c>
      <c r="G391" s="32" t="s">
        <v>3913</v>
      </c>
      <c r="H391" s="32" t="s">
        <v>3914</v>
      </c>
      <c r="I391" s="32">
        <v>2021</v>
      </c>
      <c r="J391" s="32" t="b">
        <v>1</v>
      </c>
    </row>
    <row r="392" spans="1:10" x14ac:dyDescent="0.15">
      <c r="A392" s="32" t="s">
        <v>5967</v>
      </c>
      <c r="B392" s="32" t="s">
        <v>5967</v>
      </c>
      <c r="C392" s="32" t="s">
        <v>1133</v>
      </c>
      <c r="D392" s="32" t="s">
        <v>3918</v>
      </c>
      <c r="E392" s="32" t="s">
        <v>3919</v>
      </c>
      <c r="F392" s="32" t="s">
        <v>1484</v>
      </c>
      <c r="G392" s="32" t="s">
        <v>3920</v>
      </c>
      <c r="H392" s="32" t="s">
        <v>3921</v>
      </c>
      <c r="I392" s="32">
        <v>2021</v>
      </c>
      <c r="J392" s="32" t="b">
        <v>1</v>
      </c>
    </row>
    <row r="393" spans="1:10" x14ac:dyDescent="0.15">
      <c r="A393" s="32" t="s">
        <v>5968</v>
      </c>
      <c r="B393" s="32" t="s">
        <v>5968</v>
      </c>
      <c r="C393" s="32" t="s">
        <v>1133</v>
      </c>
      <c r="D393" s="32" t="s">
        <v>3926</v>
      </c>
      <c r="E393" s="32" t="s">
        <v>3927</v>
      </c>
      <c r="F393" s="32" t="s">
        <v>3360</v>
      </c>
      <c r="G393" s="32" t="s">
        <v>3928</v>
      </c>
      <c r="H393" s="32" t="s">
        <v>3929</v>
      </c>
      <c r="I393" s="32">
        <v>2020</v>
      </c>
      <c r="J393" s="32" t="b">
        <v>1</v>
      </c>
    </row>
    <row r="394" spans="1:10" x14ac:dyDescent="0.15">
      <c r="A394" s="32" t="s">
        <v>5969</v>
      </c>
      <c r="B394" s="32" t="s">
        <v>5969</v>
      </c>
      <c r="C394" s="32" t="s">
        <v>1133</v>
      </c>
      <c r="D394" s="32" t="s">
        <v>3933</v>
      </c>
      <c r="E394" s="32" t="s">
        <v>3934</v>
      </c>
      <c r="F394" s="32" t="s">
        <v>1530</v>
      </c>
      <c r="G394" s="32" t="s">
        <v>3935</v>
      </c>
      <c r="H394" s="32" t="s">
        <v>3936</v>
      </c>
      <c r="I394" s="32">
        <v>2019</v>
      </c>
      <c r="J394" s="32" t="b">
        <v>1</v>
      </c>
    </row>
    <row r="395" spans="1:10" x14ac:dyDescent="0.15">
      <c r="A395" s="32" t="s">
        <v>5970</v>
      </c>
      <c r="B395" s="32" t="s">
        <v>5970</v>
      </c>
      <c r="C395" s="32" t="s">
        <v>1133</v>
      </c>
      <c r="D395" s="32" t="s">
        <v>3940</v>
      </c>
      <c r="E395" s="32" t="s">
        <v>3941</v>
      </c>
      <c r="F395" s="32" t="s">
        <v>1586</v>
      </c>
      <c r="G395" s="32" t="s">
        <v>3942</v>
      </c>
      <c r="H395" s="32" t="s">
        <v>3943</v>
      </c>
      <c r="I395" s="32">
        <v>2021</v>
      </c>
      <c r="J395" s="32" t="b">
        <v>1</v>
      </c>
    </row>
    <row r="396" spans="1:10" x14ac:dyDescent="0.15">
      <c r="A396" s="32" t="s">
        <v>5971</v>
      </c>
      <c r="B396" s="32" t="s">
        <v>5971</v>
      </c>
      <c r="C396" s="32" t="s">
        <v>1133</v>
      </c>
      <c r="D396" s="32" t="s">
        <v>3947</v>
      </c>
      <c r="E396" s="32" t="s">
        <v>3948</v>
      </c>
      <c r="F396" s="32" t="s">
        <v>73</v>
      </c>
      <c r="G396" s="32" t="s">
        <v>3949</v>
      </c>
      <c r="H396" s="32" t="s">
        <v>3950</v>
      </c>
      <c r="I396" s="32">
        <v>2017</v>
      </c>
      <c r="J396" s="32" t="b">
        <v>1</v>
      </c>
    </row>
    <row r="397" spans="1:10" x14ac:dyDescent="0.15">
      <c r="A397" s="32" t="s">
        <v>5972</v>
      </c>
      <c r="B397" s="32" t="s">
        <v>5972</v>
      </c>
      <c r="C397" s="32" t="s">
        <v>1133</v>
      </c>
      <c r="D397" s="32" t="s">
        <v>3954</v>
      </c>
      <c r="E397" s="32" t="s">
        <v>3955</v>
      </c>
      <c r="F397" s="32" t="s">
        <v>422</v>
      </c>
      <c r="G397" s="32" t="s">
        <v>3956</v>
      </c>
      <c r="H397" s="32" t="s">
        <v>3957</v>
      </c>
      <c r="I397" s="32">
        <v>2020</v>
      </c>
      <c r="J397" s="32" t="b">
        <v>1</v>
      </c>
    </row>
    <row r="398" spans="1:10" x14ac:dyDescent="0.15">
      <c r="A398" s="32" t="s">
        <v>5973</v>
      </c>
      <c r="B398" s="32" t="s">
        <v>5973</v>
      </c>
      <c r="C398" s="32" t="s">
        <v>1133</v>
      </c>
      <c r="D398" s="32" t="s">
        <v>3961</v>
      </c>
      <c r="E398" s="32" t="s">
        <v>3962</v>
      </c>
      <c r="F398" s="32" t="s">
        <v>3963</v>
      </c>
      <c r="G398" s="32" t="s">
        <v>3964</v>
      </c>
      <c r="H398" s="32" t="s">
        <v>3965</v>
      </c>
      <c r="I398" s="32">
        <v>2019</v>
      </c>
      <c r="J398" s="32" t="b">
        <v>0</v>
      </c>
    </row>
    <row r="399" spans="1:10" x14ac:dyDescent="0.15">
      <c r="A399" s="32" t="s">
        <v>5974</v>
      </c>
      <c r="B399" s="32" t="s">
        <v>5974</v>
      </c>
      <c r="C399" s="32" t="s">
        <v>1133</v>
      </c>
      <c r="D399" s="32" t="s">
        <v>3969</v>
      </c>
      <c r="E399" s="32" t="s">
        <v>3970</v>
      </c>
      <c r="F399" s="32" t="s">
        <v>3517</v>
      </c>
      <c r="G399" s="32" t="s">
        <v>3971</v>
      </c>
      <c r="H399" s="32" t="s">
        <v>3885</v>
      </c>
      <c r="I399" s="32">
        <v>2018</v>
      </c>
      <c r="J399" s="32" t="b">
        <v>1</v>
      </c>
    </row>
    <row r="400" spans="1:10" x14ac:dyDescent="0.15">
      <c r="A400" s="32" t="s">
        <v>5975</v>
      </c>
      <c r="B400" s="32" t="s">
        <v>5975</v>
      </c>
      <c r="C400" s="32" t="s">
        <v>1133</v>
      </c>
      <c r="D400" s="32" t="s">
        <v>3975</v>
      </c>
      <c r="E400" s="32" t="s">
        <v>3976</v>
      </c>
      <c r="F400" s="32" t="s">
        <v>3977</v>
      </c>
      <c r="G400" s="32" t="s">
        <v>3978</v>
      </c>
      <c r="H400" s="32" t="s">
        <v>3979</v>
      </c>
      <c r="I400" s="32">
        <v>2019</v>
      </c>
      <c r="J400" s="32" t="b">
        <v>0</v>
      </c>
    </row>
    <row r="401" spans="1:10" x14ac:dyDescent="0.15">
      <c r="A401" s="32" t="s">
        <v>5976</v>
      </c>
      <c r="B401" s="32" t="s">
        <v>5976</v>
      </c>
      <c r="C401" s="32" t="s">
        <v>1133</v>
      </c>
      <c r="D401" s="32" t="s">
        <v>3983</v>
      </c>
      <c r="E401" s="32" t="s">
        <v>3984</v>
      </c>
      <c r="F401" s="32" t="s">
        <v>97</v>
      </c>
      <c r="G401" s="32" t="s">
        <v>3985</v>
      </c>
      <c r="H401" s="32" t="s">
        <v>3986</v>
      </c>
      <c r="I401" s="32">
        <v>2017</v>
      </c>
      <c r="J401" s="32" t="b">
        <v>1</v>
      </c>
    </row>
    <row r="402" spans="1:10" x14ac:dyDescent="0.15">
      <c r="A402" s="32" t="s">
        <v>5977</v>
      </c>
      <c r="B402" s="32" t="s">
        <v>5977</v>
      </c>
      <c r="C402" s="32" t="s">
        <v>1133</v>
      </c>
      <c r="D402" s="32" t="s">
        <v>2487</v>
      </c>
      <c r="E402" s="32" t="s">
        <v>3990</v>
      </c>
      <c r="F402" s="32" t="s">
        <v>3991</v>
      </c>
      <c r="G402" s="32" t="s">
        <v>3992</v>
      </c>
      <c r="H402" s="32" t="s">
        <v>3993</v>
      </c>
      <c r="I402" s="32">
        <v>2021</v>
      </c>
      <c r="J402" s="32" t="b">
        <v>0</v>
      </c>
    </row>
    <row r="403" spans="1:10" x14ac:dyDescent="0.15">
      <c r="A403" s="32" t="s">
        <v>5978</v>
      </c>
      <c r="B403" s="32" t="s">
        <v>5978</v>
      </c>
      <c r="C403" s="32" t="s">
        <v>1133</v>
      </c>
      <c r="D403" s="32" t="s">
        <v>3997</v>
      </c>
      <c r="E403" s="32" t="s">
        <v>3998</v>
      </c>
      <c r="F403" s="32" t="s">
        <v>2372</v>
      </c>
      <c r="G403" s="32" t="s">
        <v>3999</v>
      </c>
      <c r="H403" s="32" t="s">
        <v>4000</v>
      </c>
      <c r="I403" s="32">
        <v>2020</v>
      </c>
      <c r="J403" s="32" t="b">
        <v>1</v>
      </c>
    </row>
    <row r="404" spans="1:10" x14ac:dyDescent="0.15">
      <c r="A404" s="32" t="s">
        <v>5979</v>
      </c>
      <c r="B404" s="32" t="s">
        <v>5979</v>
      </c>
      <c r="C404" s="32" t="s">
        <v>1133</v>
      </c>
      <c r="D404" s="32" t="s">
        <v>4004</v>
      </c>
      <c r="E404" s="32" t="s">
        <v>4005</v>
      </c>
      <c r="F404" s="32" t="s">
        <v>502</v>
      </c>
      <c r="G404" s="32" t="s">
        <v>4006</v>
      </c>
      <c r="H404" s="32" t="s">
        <v>4007</v>
      </c>
      <c r="I404" s="32">
        <v>2015</v>
      </c>
      <c r="J404" s="32" t="b">
        <v>1</v>
      </c>
    </row>
    <row r="405" spans="1:10" x14ac:dyDescent="0.15">
      <c r="A405" s="32" t="s">
        <v>5980</v>
      </c>
      <c r="B405" s="32" t="s">
        <v>5980</v>
      </c>
      <c r="C405" s="32" t="s">
        <v>1133</v>
      </c>
      <c r="D405" s="32" t="s">
        <v>4011</v>
      </c>
      <c r="E405" s="32" t="s">
        <v>4012</v>
      </c>
      <c r="F405" s="32" t="s">
        <v>1322</v>
      </c>
      <c r="G405" s="32" t="s">
        <v>4013</v>
      </c>
      <c r="H405" s="32" t="s">
        <v>4014</v>
      </c>
      <c r="I405" s="32">
        <v>2015</v>
      </c>
      <c r="J405" s="32" t="b">
        <v>1</v>
      </c>
    </row>
    <row r="406" spans="1:10" x14ac:dyDescent="0.15">
      <c r="A406" s="32" t="s">
        <v>5981</v>
      </c>
      <c r="B406" s="32" t="s">
        <v>5981</v>
      </c>
      <c r="C406" s="32" t="s">
        <v>1133</v>
      </c>
      <c r="D406" s="32" t="s">
        <v>4018</v>
      </c>
      <c r="E406" s="32" t="s">
        <v>4019</v>
      </c>
      <c r="F406" s="32" t="s">
        <v>97</v>
      </c>
      <c r="G406" s="32" t="s">
        <v>4020</v>
      </c>
      <c r="H406" s="32" t="s">
        <v>4021</v>
      </c>
      <c r="I406" s="32">
        <v>2016</v>
      </c>
      <c r="J406" s="32" t="b">
        <v>1</v>
      </c>
    </row>
    <row r="407" spans="1:10" x14ac:dyDescent="0.15">
      <c r="A407" s="32" t="s">
        <v>5982</v>
      </c>
      <c r="B407" s="32" t="s">
        <v>5982</v>
      </c>
      <c r="C407" s="32" t="s">
        <v>1133</v>
      </c>
      <c r="D407" s="32" t="s">
        <v>4025</v>
      </c>
      <c r="E407" s="32" t="s">
        <v>4026</v>
      </c>
      <c r="F407" s="32" t="s">
        <v>89</v>
      </c>
      <c r="G407" s="32" t="s">
        <v>4027</v>
      </c>
      <c r="H407" s="32" t="s">
        <v>4028</v>
      </c>
      <c r="I407" s="32">
        <v>2022</v>
      </c>
      <c r="J407" s="32" t="b">
        <v>1</v>
      </c>
    </row>
    <row r="408" spans="1:10" x14ac:dyDescent="0.15">
      <c r="A408" s="32" t="s">
        <v>5983</v>
      </c>
      <c r="B408" s="32" t="s">
        <v>5983</v>
      </c>
      <c r="C408" s="32" t="s">
        <v>1133</v>
      </c>
      <c r="D408" s="32" t="s">
        <v>4032</v>
      </c>
      <c r="E408" s="32" t="s">
        <v>4033</v>
      </c>
      <c r="F408" s="32" t="s">
        <v>1372</v>
      </c>
      <c r="G408" s="32" t="s">
        <v>4034</v>
      </c>
      <c r="H408" s="32" t="e">
        <v>#N/A</v>
      </c>
      <c r="I408" s="32">
        <v>2020</v>
      </c>
      <c r="J408" s="32" t="b">
        <v>1</v>
      </c>
    </row>
    <row r="409" spans="1:10" x14ac:dyDescent="0.15">
      <c r="A409" s="32" t="s">
        <v>5984</v>
      </c>
      <c r="B409" s="32" t="s">
        <v>5984</v>
      </c>
      <c r="C409" s="32" t="s">
        <v>1133</v>
      </c>
      <c r="D409" s="32" t="s">
        <v>4038</v>
      </c>
      <c r="E409" s="32" t="s">
        <v>4039</v>
      </c>
      <c r="F409" s="32" t="s">
        <v>4040</v>
      </c>
      <c r="G409" s="32" t="s">
        <v>4041</v>
      </c>
      <c r="H409" s="32" t="s">
        <v>4042</v>
      </c>
      <c r="I409" s="32">
        <v>2022</v>
      </c>
      <c r="J409" s="32" t="b">
        <v>0</v>
      </c>
    </row>
    <row r="410" spans="1:10" x14ac:dyDescent="0.15">
      <c r="A410" s="32" t="s">
        <v>5985</v>
      </c>
      <c r="B410" s="32" t="s">
        <v>5985</v>
      </c>
      <c r="C410" s="32" t="s">
        <v>1133</v>
      </c>
      <c r="D410" s="32" t="s">
        <v>4047</v>
      </c>
      <c r="E410" s="32" t="s">
        <v>4048</v>
      </c>
      <c r="F410" s="32" t="s">
        <v>68</v>
      </c>
      <c r="G410" s="32" t="s">
        <v>4049</v>
      </c>
      <c r="H410" s="32" t="s">
        <v>4050</v>
      </c>
      <c r="I410" s="32">
        <v>2021</v>
      </c>
      <c r="J410" s="32" t="b">
        <v>1</v>
      </c>
    </row>
    <row r="411" spans="1:10" x14ac:dyDescent="0.15">
      <c r="A411" s="32" t="s">
        <v>5986</v>
      </c>
      <c r="B411" s="32" t="s">
        <v>5986</v>
      </c>
      <c r="C411" s="32" t="s">
        <v>1133</v>
      </c>
      <c r="D411" s="32" t="s">
        <v>4054</v>
      </c>
      <c r="E411" s="32" t="s">
        <v>4055</v>
      </c>
      <c r="F411" s="32" t="s">
        <v>124</v>
      </c>
      <c r="G411" s="32" t="s">
        <v>4056</v>
      </c>
      <c r="H411" s="32" t="s">
        <v>4057</v>
      </c>
      <c r="I411" s="32">
        <v>2015</v>
      </c>
      <c r="J411" s="32" t="b">
        <v>0</v>
      </c>
    </row>
    <row r="412" spans="1:10" x14ac:dyDescent="0.15">
      <c r="A412" s="32" t="s">
        <v>5987</v>
      </c>
      <c r="B412" s="32" t="s">
        <v>5987</v>
      </c>
      <c r="C412" s="32" t="s">
        <v>1133</v>
      </c>
      <c r="D412" s="32" t="s">
        <v>4061</v>
      </c>
      <c r="E412" s="32" t="s">
        <v>4062</v>
      </c>
      <c r="F412" s="32" t="s">
        <v>3301</v>
      </c>
      <c r="G412" s="32" t="s">
        <v>4063</v>
      </c>
      <c r="H412" s="32" t="s">
        <v>4064</v>
      </c>
      <c r="I412" s="32">
        <v>2021</v>
      </c>
      <c r="J412" s="32" t="b">
        <v>1</v>
      </c>
    </row>
    <row r="413" spans="1:10" x14ac:dyDescent="0.15">
      <c r="A413" s="32" t="s">
        <v>5988</v>
      </c>
      <c r="B413" s="32" t="s">
        <v>5988</v>
      </c>
      <c r="C413" s="32" t="s">
        <v>1133</v>
      </c>
      <c r="D413" s="32" t="s">
        <v>4068</v>
      </c>
      <c r="E413" s="32" t="s">
        <v>4069</v>
      </c>
      <c r="F413" s="32" t="s">
        <v>4070</v>
      </c>
      <c r="G413" s="32" t="s">
        <v>4071</v>
      </c>
      <c r="H413" s="32" t="s">
        <v>4072</v>
      </c>
      <c r="I413" s="32">
        <v>2019</v>
      </c>
      <c r="J413" s="32" t="b">
        <v>0</v>
      </c>
    </row>
    <row r="414" spans="1:10" x14ac:dyDescent="0.15">
      <c r="A414" s="32" t="s">
        <v>5989</v>
      </c>
      <c r="B414" s="32" t="s">
        <v>5989</v>
      </c>
      <c r="C414" s="32" t="s">
        <v>1133</v>
      </c>
      <c r="D414" s="32" t="s">
        <v>4076</v>
      </c>
      <c r="E414" s="32" t="s">
        <v>4077</v>
      </c>
      <c r="F414" s="32" t="s">
        <v>1743</v>
      </c>
      <c r="G414" s="32" t="s">
        <v>4078</v>
      </c>
      <c r="H414" s="32" t="s">
        <v>4079</v>
      </c>
      <c r="I414" s="32">
        <v>2020</v>
      </c>
      <c r="J414" s="32" t="b">
        <v>1</v>
      </c>
    </row>
    <row r="415" spans="1:10" x14ac:dyDescent="0.15">
      <c r="A415" s="32" t="s">
        <v>5990</v>
      </c>
      <c r="B415" s="32" t="s">
        <v>5990</v>
      </c>
      <c r="C415" s="32" t="s">
        <v>1133</v>
      </c>
      <c r="D415" s="32" t="s">
        <v>4083</v>
      </c>
      <c r="E415" s="32" t="s">
        <v>4084</v>
      </c>
      <c r="F415" s="32" t="s">
        <v>2164</v>
      </c>
      <c r="G415" s="32" t="s">
        <v>4085</v>
      </c>
      <c r="H415" s="32" t="s">
        <v>4086</v>
      </c>
      <c r="I415" s="32">
        <v>2019</v>
      </c>
      <c r="J415" s="32" t="b">
        <v>1</v>
      </c>
    </row>
    <row r="416" spans="1:10" x14ac:dyDescent="0.15">
      <c r="A416" s="32" t="s">
        <v>5991</v>
      </c>
      <c r="B416" s="32" t="s">
        <v>5991</v>
      </c>
      <c r="C416" s="32" t="s">
        <v>1133</v>
      </c>
      <c r="D416" s="32" t="s">
        <v>4090</v>
      </c>
      <c r="E416" s="32" t="s">
        <v>4091</v>
      </c>
      <c r="F416" s="32" t="s">
        <v>1451</v>
      </c>
      <c r="G416" s="32" t="s">
        <v>4092</v>
      </c>
      <c r="H416" s="32" t="s">
        <v>4093</v>
      </c>
      <c r="I416" s="32">
        <v>2014</v>
      </c>
      <c r="J416" s="32" t="b">
        <v>0</v>
      </c>
    </row>
    <row r="417" spans="1:10" x14ac:dyDescent="0.15">
      <c r="A417" s="32" t="s">
        <v>5992</v>
      </c>
      <c r="B417" s="32" t="s">
        <v>5992</v>
      </c>
      <c r="C417" s="32" t="s">
        <v>1133</v>
      </c>
      <c r="D417" s="32" t="s">
        <v>4097</v>
      </c>
      <c r="E417" s="32" t="s">
        <v>4098</v>
      </c>
      <c r="F417" s="32" t="s">
        <v>4099</v>
      </c>
      <c r="G417" s="32" t="s">
        <v>4100</v>
      </c>
      <c r="H417" s="32" t="s">
        <v>4101</v>
      </c>
      <c r="I417" s="32">
        <v>2014</v>
      </c>
      <c r="J417" s="32" t="b">
        <v>1</v>
      </c>
    </row>
    <row r="418" spans="1:10" x14ac:dyDescent="0.15">
      <c r="A418" s="32" t="s">
        <v>5993</v>
      </c>
      <c r="B418" s="32" t="s">
        <v>5993</v>
      </c>
      <c r="C418" s="32" t="s">
        <v>1133</v>
      </c>
      <c r="D418" s="32" t="s">
        <v>4107</v>
      </c>
      <c r="E418" s="32" t="s">
        <v>4108</v>
      </c>
      <c r="F418" s="32" t="s">
        <v>1951</v>
      </c>
      <c r="G418" s="32" t="s">
        <v>4109</v>
      </c>
      <c r="H418" s="32" t="s">
        <v>2731</v>
      </c>
      <c r="I418" s="32">
        <v>2021</v>
      </c>
      <c r="J418" s="32" t="b">
        <v>1</v>
      </c>
    </row>
    <row r="419" spans="1:10" x14ac:dyDescent="0.15">
      <c r="A419" s="32" t="s">
        <v>5994</v>
      </c>
      <c r="B419" s="32" t="s">
        <v>5994</v>
      </c>
      <c r="C419" s="32" t="s">
        <v>1133</v>
      </c>
      <c r="D419" s="32" t="s">
        <v>4113</v>
      </c>
      <c r="E419" s="32" t="s">
        <v>4114</v>
      </c>
      <c r="F419" s="32" t="s">
        <v>89</v>
      </c>
      <c r="G419" s="32" t="s">
        <v>4115</v>
      </c>
      <c r="H419" s="32" t="s">
        <v>4116</v>
      </c>
      <c r="I419" s="32">
        <v>2015</v>
      </c>
      <c r="J419" s="32" t="b">
        <v>1</v>
      </c>
    </row>
    <row r="420" spans="1:10" x14ac:dyDescent="0.15">
      <c r="A420" s="32" t="s">
        <v>5995</v>
      </c>
      <c r="B420" s="32" t="s">
        <v>5995</v>
      </c>
      <c r="C420" s="32" t="s">
        <v>1133</v>
      </c>
      <c r="D420" s="32" t="s">
        <v>832</v>
      </c>
      <c r="E420" s="32" t="s">
        <v>831</v>
      </c>
      <c r="F420" s="32" t="s">
        <v>124</v>
      </c>
      <c r="G420" s="32" t="s">
        <v>834</v>
      </c>
      <c r="H420" s="32" t="s">
        <v>4120</v>
      </c>
      <c r="I420" s="32">
        <v>2021</v>
      </c>
      <c r="J420" s="32" t="b">
        <v>1</v>
      </c>
    </row>
    <row r="421" spans="1:10" x14ac:dyDescent="0.15">
      <c r="A421" s="32" t="s">
        <v>5996</v>
      </c>
      <c r="B421" s="32" t="s">
        <v>5996</v>
      </c>
      <c r="C421" s="32" t="s">
        <v>1133</v>
      </c>
      <c r="D421" s="32" t="s">
        <v>4123</v>
      </c>
      <c r="E421" s="32" t="s">
        <v>4124</v>
      </c>
      <c r="F421" s="32" t="s">
        <v>3360</v>
      </c>
      <c r="G421" s="32" t="s">
        <v>4125</v>
      </c>
      <c r="H421" s="32" t="s">
        <v>4126</v>
      </c>
      <c r="I421" s="32">
        <v>2019</v>
      </c>
      <c r="J421" s="32" t="b">
        <v>1</v>
      </c>
    </row>
    <row r="422" spans="1:10" x14ac:dyDescent="0.15">
      <c r="A422" s="32" t="s">
        <v>5997</v>
      </c>
      <c r="B422" s="32" t="s">
        <v>5997</v>
      </c>
      <c r="C422" s="32" t="s">
        <v>1133</v>
      </c>
      <c r="D422" s="32" t="s">
        <v>4130</v>
      </c>
      <c r="E422" s="32" t="s">
        <v>4131</v>
      </c>
      <c r="F422" s="32" t="s">
        <v>124</v>
      </c>
      <c r="G422" s="32" t="s">
        <v>4132</v>
      </c>
      <c r="H422" s="32" t="e">
        <v>#N/A</v>
      </c>
      <c r="I422" s="32">
        <v>2012</v>
      </c>
      <c r="J422" s="32" t="b">
        <v>1</v>
      </c>
    </row>
    <row r="423" spans="1:10" x14ac:dyDescent="0.15">
      <c r="A423" s="32" t="s">
        <v>5998</v>
      </c>
      <c r="B423" s="32" t="s">
        <v>5998</v>
      </c>
      <c r="C423" s="32" t="s">
        <v>1133</v>
      </c>
      <c r="D423" s="32" t="s">
        <v>4136</v>
      </c>
      <c r="E423" s="32" t="s">
        <v>4137</v>
      </c>
      <c r="F423" s="32" t="s">
        <v>4138</v>
      </c>
      <c r="G423" s="32" t="s">
        <v>4139</v>
      </c>
      <c r="H423" s="32" t="s">
        <v>4140</v>
      </c>
      <c r="I423" s="32" t="e">
        <v>#N/A</v>
      </c>
      <c r="J423" s="32" t="b">
        <v>0</v>
      </c>
    </row>
    <row r="424" spans="1:10" x14ac:dyDescent="0.15">
      <c r="A424" s="32" t="s">
        <v>5999</v>
      </c>
      <c r="B424" s="32" t="s">
        <v>5999</v>
      </c>
      <c r="C424" s="32" t="s">
        <v>1133</v>
      </c>
      <c r="D424" s="32" t="s">
        <v>4145</v>
      </c>
      <c r="E424" s="32" t="s">
        <v>4146</v>
      </c>
      <c r="F424" s="32" t="s">
        <v>1771</v>
      </c>
      <c r="G424" s="32" t="s">
        <v>4147</v>
      </c>
      <c r="H424" s="32" t="s">
        <v>4148</v>
      </c>
      <c r="I424" s="32">
        <v>2021</v>
      </c>
      <c r="J424" s="32" t="b">
        <v>1</v>
      </c>
    </row>
    <row r="425" spans="1:10" x14ac:dyDescent="0.15">
      <c r="A425" s="32" t="s">
        <v>6000</v>
      </c>
      <c r="B425" s="32" t="s">
        <v>6000</v>
      </c>
      <c r="C425" s="32" t="s">
        <v>1133</v>
      </c>
      <c r="D425" s="32" t="s">
        <v>4152</v>
      </c>
      <c r="E425" s="32" t="s">
        <v>4153</v>
      </c>
      <c r="F425" s="32" t="s">
        <v>2044</v>
      </c>
      <c r="G425" s="32" t="s">
        <v>4154</v>
      </c>
      <c r="H425" s="32" t="s">
        <v>4155</v>
      </c>
      <c r="I425" s="32">
        <v>2016</v>
      </c>
      <c r="J425" s="32" t="b">
        <v>1</v>
      </c>
    </row>
    <row r="426" spans="1:10" x14ac:dyDescent="0.15">
      <c r="A426" s="32" t="s">
        <v>6001</v>
      </c>
      <c r="B426" s="32" t="s">
        <v>6001</v>
      </c>
      <c r="C426" s="32" t="s">
        <v>1133</v>
      </c>
      <c r="D426" s="32" t="s">
        <v>4159</v>
      </c>
      <c r="E426" s="32" t="s">
        <v>4160</v>
      </c>
      <c r="F426" s="32" t="s">
        <v>4161</v>
      </c>
      <c r="G426" s="32" t="s">
        <v>4162</v>
      </c>
      <c r="H426" s="32" t="s">
        <v>4163</v>
      </c>
      <c r="I426" s="32">
        <v>2020</v>
      </c>
      <c r="J426" s="32" t="b">
        <v>0</v>
      </c>
    </row>
    <row r="427" spans="1:10" x14ac:dyDescent="0.15">
      <c r="A427" s="32" t="s">
        <v>6002</v>
      </c>
      <c r="B427" s="32" t="s">
        <v>6002</v>
      </c>
      <c r="C427" s="32" t="s">
        <v>1133</v>
      </c>
      <c r="D427" s="32" t="s">
        <v>4167</v>
      </c>
      <c r="E427" s="32" t="s">
        <v>4168</v>
      </c>
      <c r="F427" s="32" t="s">
        <v>2324</v>
      </c>
      <c r="G427" s="32" t="s">
        <v>4169</v>
      </c>
      <c r="H427" s="32" t="s">
        <v>4170</v>
      </c>
      <c r="I427" s="32">
        <v>2017</v>
      </c>
      <c r="J427" s="32" t="b">
        <v>1</v>
      </c>
    </row>
    <row r="428" spans="1:10" x14ac:dyDescent="0.15">
      <c r="A428" s="32" t="s">
        <v>6003</v>
      </c>
      <c r="B428" s="32" t="s">
        <v>6003</v>
      </c>
      <c r="C428" s="32" t="s">
        <v>1133</v>
      </c>
      <c r="D428" s="32" t="s">
        <v>4174</v>
      </c>
      <c r="E428" s="32" t="s">
        <v>4175</v>
      </c>
      <c r="F428" s="32" t="s">
        <v>422</v>
      </c>
      <c r="G428" s="32" t="s">
        <v>4176</v>
      </c>
      <c r="H428" s="32" t="e">
        <v>#N/A</v>
      </c>
      <c r="I428" s="32">
        <v>2012</v>
      </c>
      <c r="J428" s="32" t="b">
        <v>1</v>
      </c>
    </row>
    <row r="429" spans="1:10" x14ac:dyDescent="0.15">
      <c r="A429" s="32" t="s">
        <v>6004</v>
      </c>
      <c r="B429" s="32" t="s">
        <v>6004</v>
      </c>
      <c r="C429" s="32" t="s">
        <v>1133</v>
      </c>
      <c r="D429" s="32" t="s">
        <v>4180</v>
      </c>
      <c r="E429" s="32" t="s">
        <v>4181</v>
      </c>
      <c r="F429" s="32" t="s">
        <v>4182</v>
      </c>
      <c r="G429" s="32" t="s">
        <v>4183</v>
      </c>
      <c r="H429" s="32" t="s">
        <v>4184</v>
      </c>
      <c r="I429" s="32">
        <v>2013</v>
      </c>
      <c r="J429" s="32" t="b">
        <v>0</v>
      </c>
    </row>
    <row r="430" spans="1:10" x14ac:dyDescent="0.15">
      <c r="A430" s="32" t="s">
        <v>6005</v>
      </c>
      <c r="B430" s="32" t="s">
        <v>6005</v>
      </c>
      <c r="C430" s="32" t="s">
        <v>1133</v>
      </c>
      <c r="D430" s="32" t="s">
        <v>4188</v>
      </c>
      <c r="E430" s="32" t="s">
        <v>4189</v>
      </c>
      <c r="F430" s="32" t="s">
        <v>313</v>
      </c>
      <c r="G430" s="32" t="s">
        <v>4190</v>
      </c>
      <c r="H430" s="32" t="s">
        <v>4191</v>
      </c>
      <c r="I430" s="32">
        <v>2021</v>
      </c>
      <c r="J430" s="32" t="b">
        <v>1</v>
      </c>
    </row>
    <row r="431" spans="1:10" x14ac:dyDescent="0.15">
      <c r="A431" s="32" t="s">
        <v>6006</v>
      </c>
      <c r="B431" s="32" t="s">
        <v>6006</v>
      </c>
      <c r="C431" s="32" t="s">
        <v>1133</v>
      </c>
      <c r="D431" s="32" t="s">
        <v>4195</v>
      </c>
      <c r="E431" s="32" t="s">
        <v>4196</v>
      </c>
      <c r="F431" s="32" t="s">
        <v>1451</v>
      </c>
      <c r="G431" s="32" t="s">
        <v>4197</v>
      </c>
      <c r="H431" s="32" t="s">
        <v>4198</v>
      </c>
      <c r="I431" s="32">
        <v>2022</v>
      </c>
      <c r="J431" s="32" t="b">
        <v>0</v>
      </c>
    </row>
    <row r="432" spans="1:10" x14ac:dyDescent="0.15">
      <c r="A432" s="32" t="s">
        <v>6007</v>
      </c>
      <c r="B432" s="32" t="s">
        <v>6007</v>
      </c>
      <c r="C432" s="32" t="s">
        <v>1133</v>
      </c>
      <c r="D432" s="32" t="s">
        <v>4202</v>
      </c>
      <c r="E432" s="32" t="s">
        <v>4203</v>
      </c>
      <c r="F432" s="32" t="s">
        <v>124</v>
      </c>
      <c r="G432" s="32" t="s">
        <v>4204</v>
      </c>
      <c r="H432" s="32" t="s">
        <v>4205</v>
      </c>
      <c r="I432" s="32">
        <v>2012</v>
      </c>
      <c r="J432" s="32" t="b">
        <v>1</v>
      </c>
    </row>
    <row r="433" spans="1:10" x14ac:dyDescent="0.15">
      <c r="A433" s="32" t="s">
        <v>6008</v>
      </c>
      <c r="B433" s="32" t="s">
        <v>6008</v>
      </c>
      <c r="C433" s="32" t="s">
        <v>1133</v>
      </c>
      <c r="D433" s="32" t="s">
        <v>4209</v>
      </c>
      <c r="E433" s="32" t="s">
        <v>4210</v>
      </c>
      <c r="F433" s="32" t="s">
        <v>68</v>
      </c>
      <c r="G433" s="32" t="s">
        <v>4211</v>
      </c>
      <c r="H433" s="32" t="e">
        <v>#N/A</v>
      </c>
      <c r="I433" s="32">
        <v>2019</v>
      </c>
      <c r="J433" s="32" t="b">
        <v>1</v>
      </c>
    </row>
    <row r="434" spans="1:10" x14ac:dyDescent="0.15">
      <c r="A434" s="32" t="s">
        <v>6009</v>
      </c>
      <c r="B434" s="32" t="s">
        <v>6009</v>
      </c>
      <c r="C434" s="32" t="s">
        <v>1133</v>
      </c>
      <c r="D434" s="32" t="s">
        <v>4215</v>
      </c>
      <c r="E434" s="32" t="s">
        <v>4216</v>
      </c>
      <c r="F434" s="32" t="s">
        <v>2044</v>
      </c>
      <c r="G434" s="32" t="s">
        <v>4217</v>
      </c>
      <c r="H434" s="32" t="s">
        <v>4218</v>
      </c>
      <c r="I434" s="32">
        <v>2018</v>
      </c>
      <c r="J434" s="32" t="b">
        <v>1</v>
      </c>
    </row>
    <row r="435" spans="1:10" x14ac:dyDescent="0.15">
      <c r="A435" s="32" t="s">
        <v>6010</v>
      </c>
      <c r="B435" s="32" t="s">
        <v>6010</v>
      </c>
      <c r="C435" s="32" t="s">
        <v>1133</v>
      </c>
      <c r="D435" s="32" t="s">
        <v>4222</v>
      </c>
      <c r="E435" s="32" t="s">
        <v>4223</v>
      </c>
      <c r="F435" s="32" t="s">
        <v>2051</v>
      </c>
      <c r="G435" s="32" t="s">
        <v>4224</v>
      </c>
      <c r="H435" s="32" t="s">
        <v>4225</v>
      </c>
      <c r="I435" s="32">
        <v>2018</v>
      </c>
      <c r="J435" s="32" t="b">
        <v>1</v>
      </c>
    </row>
    <row r="436" spans="1:10" x14ac:dyDescent="0.15">
      <c r="A436" s="32" t="s">
        <v>6011</v>
      </c>
      <c r="B436" s="32" t="s">
        <v>6011</v>
      </c>
      <c r="C436" s="32" t="s">
        <v>1133</v>
      </c>
      <c r="D436" s="32" t="s">
        <v>1998</v>
      </c>
      <c r="E436" s="32" t="s">
        <v>4228</v>
      </c>
      <c r="F436" s="32" t="s">
        <v>849</v>
      </c>
      <c r="G436" s="32" t="s">
        <v>4229</v>
      </c>
      <c r="H436" s="32" t="s">
        <v>1259</v>
      </c>
      <c r="I436" s="32">
        <v>2017</v>
      </c>
      <c r="J436" s="32" t="b">
        <v>1</v>
      </c>
    </row>
    <row r="437" spans="1:10" x14ac:dyDescent="0.15">
      <c r="A437" s="32" t="s">
        <v>6012</v>
      </c>
      <c r="B437" s="32" t="s">
        <v>6012</v>
      </c>
      <c r="C437" s="32" t="s">
        <v>1133</v>
      </c>
      <c r="D437" s="32" t="s">
        <v>4233</v>
      </c>
      <c r="E437" s="32" t="s">
        <v>4234</v>
      </c>
      <c r="F437" s="32" t="s">
        <v>1634</v>
      </c>
      <c r="G437" s="32" t="s">
        <v>4235</v>
      </c>
      <c r="H437" s="32" t="s">
        <v>4236</v>
      </c>
      <c r="I437" s="32">
        <v>2019</v>
      </c>
      <c r="J437" s="32" t="b">
        <v>1</v>
      </c>
    </row>
    <row r="438" spans="1:10" x14ac:dyDescent="0.15">
      <c r="A438" s="32" t="s">
        <v>6013</v>
      </c>
      <c r="B438" s="32" t="s">
        <v>6013</v>
      </c>
      <c r="C438" s="32" t="s">
        <v>1133</v>
      </c>
      <c r="D438" s="32" t="s">
        <v>4241</v>
      </c>
      <c r="E438" s="32" t="s">
        <v>4242</v>
      </c>
      <c r="F438" s="32" t="s">
        <v>2164</v>
      </c>
      <c r="G438" s="32" t="s">
        <v>4243</v>
      </c>
      <c r="H438" s="32" t="s">
        <v>4244</v>
      </c>
      <c r="I438" s="32">
        <v>2022</v>
      </c>
      <c r="J438" s="32" t="b">
        <v>1</v>
      </c>
    </row>
    <row r="439" spans="1:10" x14ac:dyDescent="0.15">
      <c r="A439" s="32" t="s">
        <v>6014</v>
      </c>
      <c r="B439" s="32" t="s">
        <v>6014</v>
      </c>
      <c r="C439" s="32" t="s">
        <v>1133</v>
      </c>
      <c r="D439" s="32" t="s">
        <v>4248</v>
      </c>
      <c r="E439" s="32" t="s">
        <v>4249</v>
      </c>
      <c r="F439" s="32" t="s">
        <v>849</v>
      </c>
      <c r="G439" s="32" t="s">
        <v>4250</v>
      </c>
      <c r="H439" s="32" t="s">
        <v>4251</v>
      </c>
      <c r="I439" s="32">
        <v>2016</v>
      </c>
      <c r="J439" s="32" t="b">
        <v>1</v>
      </c>
    </row>
    <row r="440" spans="1:10" x14ac:dyDescent="0.15">
      <c r="A440" s="32" t="s">
        <v>6015</v>
      </c>
      <c r="B440" s="32" t="s">
        <v>6015</v>
      </c>
      <c r="C440" s="32" t="s">
        <v>1133</v>
      </c>
      <c r="D440" s="32" t="s">
        <v>4255</v>
      </c>
      <c r="E440" s="32" t="s">
        <v>4256</v>
      </c>
      <c r="F440" s="32" t="s">
        <v>4099</v>
      </c>
      <c r="G440" s="32" t="s">
        <v>4257</v>
      </c>
      <c r="H440" s="32" t="s">
        <v>4258</v>
      </c>
      <c r="I440" s="32">
        <v>2018</v>
      </c>
      <c r="J440" s="32" t="b">
        <v>1</v>
      </c>
    </row>
    <row r="441" spans="1:10" x14ac:dyDescent="0.15">
      <c r="A441" s="32" t="s">
        <v>6016</v>
      </c>
      <c r="B441" s="32" t="s">
        <v>6016</v>
      </c>
      <c r="C441" s="32" t="s">
        <v>1133</v>
      </c>
      <c r="D441" s="32" t="s">
        <v>4263</v>
      </c>
      <c r="E441" s="32" t="s">
        <v>4264</v>
      </c>
      <c r="F441" s="32" t="s">
        <v>4265</v>
      </c>
      <c r="G441" s="32" t="s">
        <v>4266</v>
      </c>
      <c r="H441" s="32" t="s">
        <v>4267</v>
      </c>
      <c r="I441" s="32">
        <v>2017</v>
      </c>
      <c r="J441" s="32" t="b">
        <v>0</v>
      </c>
    </row>
    <row r="442" spans="1:10" x14ac:dyDescent="0.15">
      <c r="A442" s="32" t="s">
        <v>6017</v>
      </c>
      <c r="B442" s="32" t="s">
        <v>6017</v>
      </c>
      <c r="C442" s="32" t="s">
        <v>1133</v>
      </c>
      <c r="D442" s="32" t="s">
        <v>4272</v>
      </c>
      <c r="E442" s="32" t="s">
        <v>4273</v>
      </c>
      <c r="F442" s="32" t="s">
        <v>2051</v>
      </c>
      <c r="G442" s="32" t="s">
        <v>4274</v>
      </c>
      <c r="H442" s="32" t="s">
        <v>1518</v>
      </c>
      <c r="I442" s="32">
        <v>2021</v>
      </c>
      <c r="J442" s="32" t="b">
        <v>1</v>
      </c>
    </row>
    <row r="443" spans="1:10" x14ac:dyDescent="0.15">
      <c r="A443" s="32" t="s">
        <v>6018</v>
      </c>
      <c r="B443" s="32" t="s">
        <v>6018</v>
      </c>
      <c r="C443" s="32" t="s">
        <v>1133</v>
      </c>
      <c r="D443" s="32" t="s">
        <v>4278</v>
      </c>
      <c r="E443" s="32" t="s">
        <v>4279</v>
      </c>
      <c r="F443" s="32" t="s">
        <v>1322</v>
      </c>
      <c r="G443" s="32" t="s">
        <v>4280</v>
      </c>
      <c r="H443" s="32" t="e">
        <v>#N/A</v>
      </c>
      <c r="I443" s="32">
        <v>2021</v>
      </c>
      <c r="J443" s="32" t="b">
        <v>1</v>
      </c>
    </row>
    <row r="444" spans="1:10" x14ac:dyDescent="0.15">
      <c r="A444" s="32" t="s">
        <v>6019</v>
      </c>
      <c r="B444" s="32" t="s">
        <v>6019</v>
      </c>
      <c r="C444" s="32" t="s">
        <v>1133</v>
      </c>
      <c r="D444" s="32" t="s">
        <v>4284</v>
      </c>
      <c r="E444" s="32" t="s">
        <v>4285</v>
      </c>
      <c r="F444" s="32" t="s">
        <v>422</v>
      </c>
      <c r="G444" s="32" t="s">
        <v>4286</v>
      </c>
      <c r="H444" s="32" t="e">
        <v>#N/A</v>
      </c>
      <c r="I444" s="32">
        <v>2019</v>
      </c>
      <c r="J444" s="32" t="b">
        <v>1</v>
      </c>
    </row>
    <row r="445" spans="1:10" x14ac:dyDescent="0.15">
      <c r="A445" s="32" t="s">
        <v>6020</v>
      </c>
      <c r="B445" s="32" t="s">
        <v>6020</v>
      </c>
      <c r="C445" s="32" t="s">
        <v>1133</v>
      </c>
      <c r="D445" s="32" t="s">
        <v>4290</v>
      </c>
      <c r="E445" s="32" t="s">
        <v>4291</v>
      </c>
      <c r="F445" s="32" t="s">
        <v>502</v>
      </c>
      <c r="G445" s="32" t="s">
        <v>4292</v>
      </c>
      <c r="H445" s="32" t="s">
        <v>4293</v>
      </c>
      <c r="I445" s="32">
        <v>2017</v>
      </c>
      <c r="J445" s="32" t="b">
        <v>1</v>
      </c>
    </row>
    <row r="446" spans="1:10" x14ac:dyDescent="0.15">
      <c r="A446" s="32" t="s">
        <v>6021</v>
      </c>
      <c r="B446" s="32" t="s">
        <v>6021</v>
      </c>
      <c r="C446" s="32" t="s">
        <v>1133</v>
      </c>
      <c r="D446" s="32" t="s">
        <v>4297</v>
      </c>
      <c r="E446" s="32" t="s">
        <v>4298</v>
      </c>
      <c r="F446" s="32" t="s">
        <v>502</v>
      </c>
      <c r="G446" s="32" t="s">
        <v>4299</v>
      </c>
      <c r="H446" s="32" t="s">
        <v>4300</v>
      </c>
      <c r="I446" s="32">
        <v>2016</v>
      </c>
      <c r="J446" s="32" t="b">
        <v>1</v>
      </c>
    </row>
    <row r="447" spans="1:10" x14ac:dyDescent="0.15">
      <c r="A447" s="32" t="s">
        <v>6022</v>
      </c>
      <c r="B447" s="32" t="s">
        <v>6022</v>
      </c>
      <c r="C447" s="32" t="s">
        <v>1133</v>
      </c>
      <c r="D447" s="32" t="s">
        <v>4304</v>
      </c>
      <c r="E447" s="32" t="s">
        <v>4305</v>
      </c>
      <c r="F447" s="32" t="s">
        <v>313</v>
      </c>
      <c r="G447" s="32" t="s">
        <v>4306</v>
      </c>
      <c r="H447" s="32" t="s">
        <v>4307</v>
      </c>
      <c r="I447" s="32">
        <v>2019</v>
      </c>
      <c r="J447" s="32" t="b">
        <v>1</v>
      </c>
    </row>
    <row r="448" spans="1:10" x14ac:dyDescent="0.15">
      <c r="A448" s="32" t="s">
        <v>6023</v>
      </c>
      <c r="B448" s="32" t="s">
        <v>6023</v>
      </c>
      <c r="C448" s="32" t="s">
        <v>1133</v>
      </c>
      <c r="D448" s="32" t="s">
        <v>4311</v>
      </c>
      <c r="E448" s="32" t="s">
        <v>4312</v>
      </c>
      <c r="F448" s="32" t="s">
        <v>97</v>
      </c>
      <c r="G448" s="32" t="s">
        <v>4313</v>
      </c>
      <c r="H448" s="32" t="s">
        <v>4314</v>
      </c>
      <c r="I448" s="32">
        <v>2018</v>
      </c>
      <c r="J448" s="32" t="b">
        <v>1</v>
      </c>
    </row>
    <row r="449" spans="1:10" x14ac:dyDescent="0.15">
      <c r="A449" s="32" t="s">
        <v>6024</v>
      </c>
      <c r="B449" s="32" t="s">
        <v>6024</v>
      </c>
      <c r="C449" s="32" t="s">
        <v>1133</v>
      </c>
      <c r="D449" s="32" t="s">
        <v>4318</v>
      </c>
      <c r="E449" s="32" t="s">
        <v>4319</v>
      </c>
      <c r="F449" s="32" t="s">
        <v>422</v>
      </c>
      <c r="G449" s="32" t="s">
        <v>4320</v>
      </c>
      <c r="H449" s="32" t="e">
        <v>#N/A</v>
      </c>
      <c r="I449" s="32">
        <v>2018</v>
      </c>
      <c r="J449" s="32" t="b">
        <v>1</v>
      </c>
    </row>
    <row r="450" spans="1:10" x14ac:dyDescent="0.15">
      <c r="A450" s="32" t="s">
        <v>6025</v>
      </c>
      <c r="B450" s="32" t="s">
        <v>6025</v>
      </c>
      <c r="C450" s="32" t="s">
        <v>1133</v>
      </c>
      <c r="D450" s="32" t="s">
        <v>4324</v>
      </c>
      <c r="E450" s="32" t="s">
        <v>4325</v>
      </c>
      <c r="F450" s="32" t="s">
        <v>422</v>
      </c>
      <c r="G450" s="32" t="s">
        <v>4326</v>
      </c>
      <c r="H450" s="32" t="s">
        <v>4327</v>
      </c>
      <c r="I450" s="32">
        <v>2020</v>
      </c>
      <c r="J450" s="32" t="b">
        <v>0</v>
      </c>
    </row>
    <row r="451" spans="1:10" x14ac:dyDescent="0.15">
      <c r="A451" s="32" t="s">
        <v>6026</v>
      </c>
      <c r="B451" s="32" t="s">
        <v>6026</v>
      </c>
      <c r="C451" s="32" t="s">
        <v>1133</v>
      </c>
      <c r="D451" s="32" t="s">
        <v>4331</v>
      </c>
      <c r="E451" s="32" t="s">
        <v>4332</v>
      </c>
      <c r="F451" s="32" t="s">
        <v>313</v>
      </c>
      <c r="G451" s="32" t="s">
        <v>4333</v>
      </c>
      <c r="H451" s="32" t="s">
        <v>4334</v>
      </c>
      <c r="I451" s="32">
        <v>2022</v>
      </c>
      <c r="J451" s="32" t="b">
        <v>1</v>
      </c>
    </row>
    <row r="452" spans="1:10" x14ac:dyDescent="0.15">
      <c r="A452" s="32" t="s">
        <v>6027</v>
      </c>
      <c r="B452" s="32" t="s">
        <v>6027</v>
      </c>
      <c r="C452" s="32" t="s">
        <v>1133</v>
      </c>
      <c r="D452" s="32" t="s">
        <v>4338</v>
      </c>
      <c r="E452" s="32" t="s">
        <v>4339</v>
      </c>
      <c r="F452" s="32" t="s">
        <v>124</v>
      </c>
      <c r="G452" s="32" t="s">
        <v>4340</v>
      </c>
      <c r="H452" s="32" t="s">
        <v>4341</v>
      </c>
      <c r="I452" s="32">
        <v>2017</v>
      </c>
      <c r="J452" s="32" t="b">
        <v>1</v>
      </c>
    </row>
    <row r="453" spans="1:10" x14ac:dyDescent="0.15">
      <c r="A453" s="32" t="s">
        <v>6028</v>
      </c>
      <c r="B453" s="32" t="s">
        <v>6028</v>
      </c>
      <c r="C453" s="32" t="s">
        <v>1133</v>
      </c>
      <c r="D453" s="32" t="s">
        <v>4345</v>
      </c>
      <c r="E453" s="32" t="s">
        <v>4346</v>
      </c>
      <c r="F453" s="32" t="s">
        <v>3360</v>
      </c>
      <c r="G453" s="32" t="s">
        <v>4347</v>
      </c>
      <c r="H453" s="32" t="s">
        <v>4348</v>
      </c>
      <c r="I453" s="32">
        <v>2021</v>
      </c>
      <c r="J453" s="32" t="b">
        <v>1</v>
      </c>
    </row>
    <row r="454" spans="1:10" x14ac:dyDescent="0.15">
      <c r="A454" s="32" t="s">
        <v>6029</v>
      </c>
      <c r="B454" s="32" t="s">
        <v>6029</v>
      </c>
      <c r="C454" s="32" t="s">
        <v>1133</v>
      </c>
      <c r="D454" s="32" t="s">
        <v>4352</v>
      </c>
      <c r="E454" s="32" t="s">
        <v>4353</v>
      </c>
      <c r="F454" s="32" t="s">
        <v>124</v>
      </c>
      <c r="G454" s="32" t="s">
        <v>4354</v>
      </c>
      <c r="H454" s="32" t="s">
        <v>3332</v>
      </c>
      <c r="I454" s="32">
        <v>2019</v>
      </c>
      <c r="J454" s="32" t="b">
        <v>1</v>
      </c>
    </row>
    <row r="455" spans="1:10" x14ac:dyDescent="0.15">
      <c r="A455" s="32" t="s">
        <v>6030</v>
      </c>
      <c r="B455" s="32" t="s">
        <v>6030</v>
      </c>
      <c r="C455" s="32" t="s">
        <v>1133</v>
      </c>
      <c r="D455" s="32" t="s">
        <v>4358</v>
      </c>
      <c r="E455" s="32" t="s">
        <v>4359</v>
      </c>
      <c r="F455" s="32" t="s">
        <v>1484</v>
      </c>
      <c r="G455" s="32" t="s">
        <v>4360</v>
      </c>
      <c r="H455" s="32" t="s">
        <v>4361</v>
      </c>
      <c r="I455" s="32">
        <v>2021</v>
      </c>
      <c r="J455" s="32" t="b">
        <v>1</v>
      </c>
    </row>
    <row r="456" spans="1:10" x14ac:dyDescent="0.15">
      <c r="A456" s="32" t="s">
        <v>6031</v>
      </c>
      <c r="B456" s="32" t="s">
        <v>6031</v>
      </c>
      <c r="C456" s="32" t="s">
        <v>1133</v>
      </c>
      <c r="D456" s="32" t="s">
        <v>4366</v>
      </c>
      <c r="E456" s="32" t="s">
        <v>4367</v>
      </c>
      <c r="F456" s="32" t="s">
        <v>97</v>
      </c>
      <c r="G456" s="32" t="s">
        <v>4368</v>
      </c>
      <c r="H456" s="32" t="s">
        <v>4369</v>
      </c>
      <c r="I456" s="32">
        <v>2019</v>
      </c>
      <c r="J456" s="32" t="b">
        <v>0</v>
      </c>
    </row>
    <row r="457" spans="1:10" x14ac:dyDescent="0.15">
      <c r="A457" s="32" t="s">
        <v>6032</v>
      </c>
      <c r="B457" s="32" t="s">
        <v>6032</v>
      </c>
      <c r="C457" s="32" t="s">
        <v>1133</v>
      </c>
      <c r="D457" s="32" t="s">
        <v>4373</v>
      </c>
      <c r="E457" s="32" t="s">
        <v>4374</v>
      </c>
      <c r="F457" s="32" t="s">
        <v>4375</v>
      </c>
      <c r="G457" s="32" t="s">
        <v>4376</v>
      </c>
      <c r="H457" s="32" t="s">
        <v>4377</v>
      </c>
      <c r="I457" s="32">
        <v>2021</v>
      </c>
      <c r="J457" s="32" t="b">
        <v>0</v>
      </c>
    </row>
    <row r="458" spans="1:10" x14ac:dyDescent="0.15">
      <c r="A458" s="32" t="s">
        <v>6033</v>
      </c>
      <c r="B458" s="32" t="s">
        <v>6033</v>
      </c>
      <c r="C458" s="32" t="s">
        <v>1133</v>
      </c>
      <c r="D458" s="32" t="s">
        <v>4381</v>
      </c>
      <c r="E458" s="32" t="s">
        <v>4382</v>
      </c>
      <c r="F458" s="32" t="s">
        <v>124</v>
      </c>
      <c r="G458" s="32" t="s">
        <v>4383</v>
      </c>
      <c r="H458" s="32" t="s">
        <v>4384</v>
      </c>
      <c r="I458" s="32">
        <v>2022</v>
      </c>
      <c r="J458" s="32" t="b">
        <v>1</v>
      </c>
    </row>
    <row r="459" spans="1:10" x14ac:dyDescent="0.15">
      <c r="A459" s="32" t="s">
        <v>6034</v>
      </c>
      <c r="B459" s="32" t="s">
        <v>6034</v>
      </c>
      <c r="C459" s="32" t="s">
        <v>1133</v>
      </c>
      <c r="D459" s="32" t="s">
        <v>4388</v>
      </c>
      <c r="E459" s="32" t="s">
        <v>4389</v>
      </c>
      <c r="F459" s="32" t="s">
        <v>124</v>
      </c>
      <c r="G459" s="32" t="s">
        <v>4390</v>
      </c>
      <c r="H459" s="32" t="s">
        <v>4391</v>
      </c>
      <c r="I459" s="32">
        <v>2021</v>
      </c>
      <c r="J459" s="32" t="b">
        <v>1</v>
      </c>
    </row>
    <row r="460" spans="1:10" x14ac:dyDescent="0.15">
      <c r="A460" s="32" t="s">
        <v>6035</v>
      </c>
      <c r="B460" s="32" t="s">
        <v>6035</v>
      </c>
      <c r="C460" s="32" t="s">
        <v>1133</v>
      </c>
      <c r="D460" s="32" t="s">
        <v>4395</v>
      </c>
      <c r="E460" s="32" t="s">
        <v>4396</v>
      </c>
      <c r="F460" s="32" t="s">
        <v>68</v>
      </c>
      <c r="G460" s="32" t="s">
        <v>4397</v>
      </c>
      <c r="H460" s="32" t="s">
        <v>4398</v>
      </c>
      <c r="I460" s="32">
        <v>2019</v>
      </c>
      <c r="J460" s="32" t="b">
        <v>1</v>
      </c>
    </row>
    <row r="461" spans="1:10" x14ac:dyDescent="0.15">
      <c r="A461" s="32" t="s">
        <v>6036</v>
      </c>
      <c r="B461" s="32" t="s">
        <v>6036</v>
      </c>
      <c r="C461" s="32" t="s">
        <v>1133</v>
      </c>
      <c r="D461" s="32" t="s">
        <v>4402</v>
      </c>
      <c r="E461" s="32" t="s">
        <v>4403</v>
      </c>
      <c r="F461" s="32" t="s">
        <v>422</v>
      </c>
      <c r="G461" s="32" t="s">
        <v>4404</v>
      </c>
      <c r="H461" s="32" t="s">
        <v>4405</v>
      </c>
      <c r="I461" s="32">
        <v>2017</v>
      </c>
      <c r="J461" s="32" t="b">
        <v>1</v>
      </c>
    </row>
    <row r="462" spans="1:10" x14ac:dyDescent="0.15">
      <c r="A462" s="32" t="s">
        <v>6037</v>
      </c>
      <c r="B462" s="32" t="s">
        <v>6037</v>
      </c>
      <c r="C462" s="32" t="s">
        <v>1133</v>
      </c>
      <c r="D462" s="32" t="s">
        <v>4409</v>
      </c>
      <c r="E462" s="32" t="s">
        <v>4410</v>
      </c>
      <c r="F462" s="32" t="s">
        <v>422</v>
      </c>
      <c r="G462" s="32" t="s">
        <v>4411</v>
      </c>
      <c r="H462" s="32" t="s">
        <v>4412</v>
      </c>
      <c r="I462" s="32">
        <v>2020</v>
      </c>
      <c r="J462" s="32" t="b">
        <v>1</v>
      </c>
    </row>
    <row r="463" spans="1:10" x14ac:dyDescent="0.15">
      <c r="A463" s="32" t="s">
        <v>6038</v>
      </c>
      <c r="B463" s="32" t="s">
        <v>6038</v>
      </c>
      <c r="C463" s="32" t="s">
        <v>1133</v>
      </c>
      <c r="D463" s="32" t="s">
        <v>4416</v>
      </c>
      <c r="E463" s="32" t="s">
        <v>4417</v>
      </c>
      <c r="F463" s="32" t="s">
        <v>1743</v>
      </c>
      <c r="G463" s="32" t="s">
        <v>4418</v>
      </c>
      <c r="H463" s="32" t="s">
        <v>4419</v>
      </c>
      <c r="I463" s="32">
        <v>2020</v>
      </c>
      <c r="J463" s="32" t="b">
        <v>1</v>
      </c>
    </row>
    <row r="464" spans="1:10" x14ac:dyDescent="0.15">
      <c r="A464" s="32" t="s">
        <v>6039</v>
      </c>
      <c r="B464" s="32" t="s">
        <v>6039</v>
      </c>
      <c r="C464" s="32" t="s">
        <v>1133</v>
      </c>
      <c r="D464" s="32" t="s">
        <v>4423</v>
      </c>
      <c r="E464" s="32" t="s">
        <v>4424</v>
      </c>
      <c r="F464" s="32" t="s">
        <v>4425</v>
      </c>
      <c r="G464" s="32" t="s">
        <v>4426</v>
      </c>
      <c r="H464" s="32" t="e">
        <v>#N/A</v>
      </c>
      <c r="I464" s="32">
        <v>2020</v>
      </c>
      <c r="J464" s="32" t="b">
        <v>0</v>
      </c>
    </row>
    <row r="465" spans="1:10" x14ac:dyDescent="0.15">
      <c r="A465" s="32" t="s">
        <v>6040</v>
      </c>
      <c r="B465" s="32" t="s">
        <v>6040</v>
      </c>
      <c r="C465" s="32" t="s">
        <v>1133</v>
      </c>
      <c r="D465" s="32" t="s">
        <v>4430</v>
      </c>
      <c r="E465" s="32" t="s">
        <v>4431</v>
      </c>
      <c r="F465" s="32" t="s">
        <v>4432</v>
      </c>
      <c r="G465" s="32" t="s">
        <v>4433</v>
      </c>
      <c r="H465" s="32" t="s">
        <v>4434</v>
      </c>
      <c r="I465" s="32">
        <v>2014</v>
      </c>
      <c r="J465" s="32" t="b">
        <v>0</v>
      </c>
    </row>
    <row r="466" spans="1:10" x14ac:dyDescent="0.15">
      <c r="A466" s="32" t="s">
        <v>6041</v>
      </c>
      <c r="B466" s="32" t="s">
        <v>6041</v>
      </c>
      <c r="C466" s="32" t="s">
        <v>1133</v>
      </c>
      <c r="D466" s="32" t="s">
        <v>4438</v>
      </c>
      <c r="E466" s="32" t="s">
        <v>4439</v>
      </c>
      <c r="F466" s="32" t="s">
        <v>422</v>
      </c>
      <c r="G466" s="32" t="s">
        <v>4440</v>
      </c>
      <c r="H466" s="32" t="s">
        <v>4441</v>
      </c>
      <c r="I466" s="32">
        <v>2021</v>
      </c>
      <c r="J466" s="32" t="b">
        <v>1</v>
      </c>
    </row>
    <row r="467" spans="1:10" x14ac:dyDescent="0.15">
      <c r="A467" s="32" t="s">
        <v>6042</v>
      </c>
      <c r="B467" s="32" t="s">
        <v>6042</v>
      </c>
      <c r="C467" s="32" t="s">
        <v>1133</v>
      </c>
      <c r="D467" s="32" t="s">
        <v>4445</v>
      </c>
      <c r="E467" s="32" t="s">
        <v>4446</v>
      </c>
      <c r="F467" s="32" t="s">
        <v>97</v>
      </c>
      <c r="G467" s="32" t="s">
        <v>4447</v>
      </c>
      <c r="H467" s="32" t="s">
        <v>4448</v>
      </c>
      <c r="I467" s="32">
        <v>2019</v>
      </c>
      <c r="J467" s="32" t="b">
        <v>1</v>
      </c>
    </row>
    <row r="468" spans="1:10" x14ac:dyDescent="0.15">
      <c r="A468" s="32" t="s">
        <v>6043</v>
      </c>
      <c r="B468" s="32" t="s">
        <v>6043</v>
      </c>
      <c r="C468" s="32" t="s">
        <v>1133</v>
      </c>
      <c r="D468" s="32" t="s">
        <v>4452</v>
      </c>
      <c r="E468" s="32" t="s">
        <v>4453</v>
      </c>
      <c r="F468" s="32" t="s">
        <v>124</v>
      </c>
      <c r="G468" s="32" t="s">
        <v>4454</v>
      </c>
      <c r="H468" s="32" t="e">
        <v>#N/A</v>
      </c>
      <c r="I468" s="32">
        <v>2020</v>
      </c>
      <c r="J468" s="32" t="b">
        <v>1</v>
      </c>
    </row>
    <row r="469" spans="1:10" x14ac:dyDescent="0.15">
      <c r="A469" s="32" t="s">
        <v>6044</v>
      </c>
      <c r="B469" s="32" t="s">
        <v>6044</v>
      </c>
      <c r="C469" s="32" t="s">
        <v>1133</v>
      </c>
      <c r="D469" s="32" t="s">
        <v>4458</v>
      </c>
      <c r="E469" s="32" t="s">
        <v>4459</v>
      </c>
      <c r="F469" s="32" t="s">
        <v>124</v>
      </c>
      <c r="G469" s="32" t="s">
        <v>4460</v>
      </c>
      <c r="H469" s="32" t="s">
        <v>4461</v>
      </c>
      <c r="I469" s="32">
        <v>2019</v>
      </c>
      <c r="J469" s="32" t="b">
        <v>1</v>
      </c>
    </row>
    <row r="470" spans="1:10" x14ac:dyDescent="0.15">
      <c r="A470" s="32" t="s">
        <v>6045</v>
      </c>
      <c r="B470" s="32" t="s">
        <v>6045</v>
      </c>
      <c r="C470" s="32" t="s">
        <v>1133</v>
      </c>
      <c r="D470" s="32" t="s">
        <v>4465</v>
      </c>
      <c r="E470" s="32" t="s">
        <v>4466</v>
      </c>
      <c r="F470" s="32" t="s">
        <v>4467</v>
      </c>
      <c r="G470" s="32" t="s">
        <v>4468</v>
      </c>
      <c r="H470" s="32" t="s">
        <v>4469</v>
      </c>
      <c r="I470" s="32">
        <v>2021</v>
      </c>
      <c r="J470" s="32" t="b">
        <v>0</v>
      </c>
    </row>
    <row r="471" spans="1:10" x14ac:dyDescent="0.15">
      <c r="A471" s="32" t="s">
        <v>6046</v>
      </c>
      <c r="B471" s="32" t="s">
        <v>6046</v>
      </c>
      <c r="C471" s="32" t="s">
        <v>1133</v>
      </c>
      <c r="D471" s="32" t="s">
        <v>4473</v>
      </c>
      <c r="E471" s="32" t="s">
        <v>4474</v>
      </c>
      <c r="F471" s="32" t="s">
        <v>97</v>
      </c>
      <c r="G471" s="32" t="s">
        <v>4475</v>
      </c>
      <c r="H471" s="32" t="s">
        <v>4476</v>
      </c>
      <c r="I471" s="32">
        <v>2022</v>
      </c>
      <c r="J471" s="32" t="b">
        <v>1</v>
      </c>
    </row>
    <row r="472" spans="1:10" x14ac:dyDescent="0.15">
      <c r="A472" s="32" t="s">
        <v>6047</v>
      </c>
      <c r="B472" s="32" t="s">
        <v>6047</v>
      </c>
      <c r="C472" s="32" t="s">
        <v>1133</v>
      </c>
      <c r="D472" s="32" t="s">
        <v>4480</v>
      </c>
      <c r="E472" s="32" t="s">
        <v>4481</v>
      </c>
      <c r="F472" s="32" t="s">
        <v>849</v>
      </c>
      <c r="G472" s="32" t="s">
        <v>4482</v>
      </c>
      <c r="H472" s="32" t="s">
        <v>4483</v>
      </c>
      <c r="I472" s="32">
        <v>2021</v>
      </c>
      <c r="J472" s="32" t="b">
        <v>1</v>
      </c>
    </row>
    <row r="473" spans="1:10" x14ac:dyDescent="0.15">
      <c r="A473" s="32" t="s">
        <v>6048</v>
      </c>
      <c r="B473" s="32" t="s">
        <v>6048</v>
      </c>
      <c r="C473" s="32" t="s">
        <v>1133</v>
      </c>
      <c r="D473" s="32" t="s">
        <v>4487</v>
      </c>
      <c r="E473" s="32" t="s">
        <v>4488</v>
      </c>
      <c r="F473" s="32" t="s">
        <v>553</v>
      </c>
      <c r="G473" s="32" t="s">
        <v>4489</v>
      </c>
      <c r="H473" s="32" t="s">
        <v>4490</v>
      </c>
      <c r="I473" s="32">
        <v>2020</v>
      </c>
      <c r="J473" s="32" t="b">
        <v>1</v>
      </c>
    </row>
    <row r="474" spans="1:10" x14ac:dyDescent="0.15">
      <c r="A474" s="32" t="s">
        <v>6049</v>
      </c>
      <c r="B474" s="32" t="s">
        <v>6049</v>
      </c>
      <c r="C474" s="32" t="s">
        <v>1133</v>
      </c>
      <c r="D474" s="32" t="s">
        <v>4494</v>
      </c>
      <c r="E474" s="32" t="s">
        <v>4495</v>
      </c>
      <c r="F474" s="32" t="s">
        <v>68</v>
      </c>
      <c r="G474" s="32" t="s">
        <v>4496</v>
      </c>
      <c r="H474" s="32" t="s">
        <v>4497</v>
      </c>
      <c r="I474" s="32">
        <v>2020</v>
      </c>
      <c r="J474" s="32" t="b">
        <v>1</v>
      </c>
    </row>
    <row r="475" spans="1:10" x14ac:dyDescent="0.15">
      <c r="A475" s="32" t="s">
        <v>6050</v>
      </c>
      <c r="B475" s="32" t="s">
        <v>6050</v>
      </c>
      <c r="C475" s="32" t="s">
        <v>1133</v>
      </c>
      <c r="D475" s="32" t="s">
        <v>4501</v>
      </c>
      <c r="E475" s="32" t="s">
        <v>4502</v>
      </c>
      <c r="F475" s="32" t="s">
        <v>124</v>
      </c>
      <c r="G475" s="32" t="s">
        <v>4503</v>
      </c>
      <c r="H475" s="32" t="e">
        <v>#N/A</v>
      </c>
      <c r="I475" s="32">
        <v>2022</v>
      </c>
      <c r="J475" s="32" t="b">
        <v>1</v>
      </c>
    </row>
    <row r="476" spans="1:10" x14ac:dyDescent="0.15">
      <c r="A476" s="32" t="s">
        <v>6051</v>
      </c>
      <c r="B476" s="32" t="s">
        <v>6051</v>
      </c>
      <c r="C476" s="32" t="s">
        <v>1133</v>
      </c>
      <c r="D476" s="32" t="s">
        <v>4507</v>
      </c>
      <c r="E476" s="32" t="s">
        <v>4508</v>
      </c>
      <c r="F476" s="32" t="s">
        <v>1771</v>
      </c>
      <c r="G476" s="32" t="s">
        <v>4509</v>
      </c>
      <c r="H476" s="32" t="s">
        <v>4510</v>
      </c>
      <c r="I476" s="32">
        <v>2021</v>
      </c>
      <c r="J476" s="32" t="b">
        <v>1</v>
      </c>
    </row>
    <row r="477" spans="1:10" x14ac:dyDescent="0.15">
      <c r="A477" s="32" t="s">
        <v>6052</v>
      </c>
      <c r="B477" s="32" t="s">
        <v>6052</v>
      </c>
      <c r="C477" s="32" t="s">
        <v>1133</v>
      </c>
      <c r="D477" s="32" t="s">
        <v>4514</v>
      </c>
      <c r="E477" s="32" t="s">
        <v>4515</v>
      </c>
      <c r="F477" s="32" t="s">
        <v>89</v>
      </c>
      <c r="G477" s="32" t="s">
        <v>4516</v>
      </c>
      <c r="H477" s="32" t="s">
        <v>4517</v>
      </c>
      <c r="I477" s="32">
        <v>2019</v>
      </c>
      <c r="J477" s="32" t="b">
        <v>1</v>
      </c>
    </row>
    <row r="478" spans="1:10" x14ac:dyDescent="0.15">
      <c r="A478" s="32" t="s">
        <v>6053</v>
      </c>
      <c r="B478" s="32" t="s">
        <v>6053</v>
      </c>
      <c r="C478" s="32" t="s">
        <v>1133</v>
      </c>
      <c r="D478" s="32" t="s">
        <v>4521</v>
      </c>
      <c r="E478" s="32" t="s">
        <v>4522</v>
      </c>
      <c r="F478" s="32" t="s">
        <v>97</v>
      </c>
      <c r="G478" s="32" t="s">
        <v>4523</v>
      </c>
      <c r="H478" s="32" t="s">
        <v>4524</v>
      </c>
      <c r="I478" s="32">
        <v>2016</v>
      </c>
      <c r="J478" s="32" t="b">
        <v>1</v>
      </c>
    </row>
    <row r="479" spans="1:10" x14ac:dyDescent="0.15">
      <c r="A479" s="32" t="s">
        <v>6054</v>
      </c>
      <c r="B479" s="32" t="s">
        <v>6054</v>
      </c>
      <c r="C479" s="32" t="s">
        <v>1133</v>
      </c>
      <c r="D479" s="32" t="s">
        <v>4528</v>
      </c>
      <c r="E479" s="32" t="s">
        <v>4529</v>
      </c>
      <c r="F479" s="32" t="s">
        <v>2684</v>
      </c>
      <c r="G479" s="32" t="s">
        <v>4530</v>
      </c>
      <c r="H479" s="32" t="s">
        <v>4531</v>
      </c>
      <c r="I479" s="32">
        <v>2015</v>
      </c>
      <c r="J479" s="32" t="b">
        <v>0</v>
      </c>
    </row>
    <row r="480" spans="1:10" x14ac:dyDescent="0.15">
      <c r="A480" s="32" t="s">
        <v>6055</v>
      </c>
      <c r="B480" s="32" t="s">
        <v>6055</v>
      </c>
      <c r="C480" s="32" t="s">
        <v>1133</v>
      </c>
      <c r="D480" s="32" t="s">
        <v>4535</v>
      </c>
      <c r="E480" s="32" t="s">
        <v>4536</v>
      </c>
      <c r="F480" s="32" t="s">
        <v>1634</v>
      </c>
      <c r="G480" s="32" t="s">
        <v>4537</v>
      </c>
      <c r="H480" s="32" t="e">
        <v>#N/A</v>
      </c>
      <c r="I480" s="32">
        <v>2020</v>
      </c>
      <c r="J480" s="32" t="b">
        <v>1</v>
      </c>
    </row>
    <row r="481" spans="1:10" x14ac:dyDescent="0.15">
      <c r="A481" s="32" t="s">
        <v>6056</v>
      </c>
      <c r="B481" s="32" t="s">
        <v>6056</v>
      </c>
      <c r="C481" s="32" t="s">
        <v>1133</v>
      </c>
      <c r="D481" s="32" t="s">
        <v>4514</v>
      </c>
      <c r="E481" s="32" t="s">
        <v>4540</v>
      </c>
      <c r="F481" s="32" t="s">
        <v>313</v>
      </c>
      <c r="G481" s="32" t="s">
        <v>4541</v>
      </c>
      <c r="H481" s="32" t="s">
        <v>4542</v>
      </c>
      <c r="I481" s="32">
        <v>2019</v>
      </c>
      <c r="J481" s="32" t="b">
        <v>0</v>
      </c>
    </row>
    <row r="482" spans="1:10" x14ac:dyDescent="0.15">
      <c r="A482" s="32" t="s">
        <v>6057</v>
      </c>
      <c r="B482" s="32" t="s">
        <v>6057</v>
      </c>
      <c r="C482" s="32" t="s">
        <v>1133</v>
      </c>
      <c r="D482" s="32" t="s">
        <v>4546</v>
      </c>
      <c r="E482" s="32" t="s">
        <v>4547</v>
      </c>
      <c r="F482" s="32" t="s">
        <v>97</v>
      </c>
      <c r="G482" s="32" t="s">
        <v>4548</v>
      </c>
      <c r="H482" s="32" t="s">
        <v>4549</v>
      </c>
      <c r="I482" s="32">
        <v>2022</v>
      </c>
      <c r="J482" s="32" t="b">
        <v>1</v>
      </c>
    </row>
    <row r="483" spans="1:10" x14ac:dyDescent="0.15">
      <c r="A483" s="32" t="s">
        <v>6058</v>
      </c>
      <c r="B483" s="32" t="s">
        <v>6058</v>
      </c>
      <c r="C483" s="32" t="s">
        <v>1133</v>
      </c>
      <c r="D483" s="32" t="s">
        <v>4553</v>
      </c>
      <c r="E483" s="32" t="s">
        <v>4554</v>
      </c>
      <c r="F483" s="32" t="s">
        <v>1803</v>
      </c>
      <c r="G483" s="32" t="s">
        <v>4555</v>
      </c>
      <c r="H483" s="32" t="s">
        <v>4556</v>
      </c>
      <c r="I483" s="32">
        <v>2021</v>
      </c>
      <c r="J483" s="32" t="b">
        <v>1</v>
      </c>
    </row>
    <row r="484" spans="1:10" x14ac:dyDescent="0.15">
      <c r="A484" s="32" t="s">
        <v>6059</v>
      </c>
      <c r="B484" s="32" t="s">
        <v>6059</v>
      </c>
      <c r="C484" s="32" t="s">
        <v>1133</v>
      </c>
      <c r="D484" s="32" t="s">
        <v>3522</v>
      </c>
      <c r="E484" s="32" t="s">
        <v>4560</v>
      </c>
      <c r="F484" s="32" t="s">
        <v>124</v>
      </c>
      <c r="G484" s="32" t="s">
        <v>4561</v>
      </c>
      <c r="H484" s="32" t="s">
        <v>4562</v>
      </c>
      <c r="I484" s="32">
        <v>2018</v>
      </c>
      <c r="J484" s="32" t="b">
        <v>1</v>
      </c>
    </row>
    <row r="485" spans="1:10" x14ac:dyDescent="0.15">
      <c r="A485" s="32" t="s">
        <v>6060</v>
      </c>
      <c r="B485" s="32" t="s">
        <v>6060</v>
      </c>
      <c r="C485" s="32" t="s">
        <v>1133</v>
      </c>
      <c r="D485" s="32" t="s">
        <v>4566</v>
      </c>
      <c r="E485" s="32" t="s">
        <v>4567</v>
      </c>
      <c r="F485" s="32" t="s">
        <v>2044</v>
      </c>
      <c r="G485" s="32" t="s">
        <v>4568</v>
      </c>
      <c r="H485" s="32" t="s">
        <v>4569</v>
      </c>
      <c r="I485" s="32">
        <v>2017</v>
      </c>
      <c r="J485" s="32" t="b">
        <v>1</v>
      </c>
    </row>
    <row r="486" spans="1:10" x14ac:dyDescent="0.15">
      <c r="A486" s="32" t="s">
        <v>6061</v>
      </c>
      <c r="B486" s="32" t="s">
        <v>6061</v>
      </c>
      <c r="C486" s="32" t="s">
        <v>1133</v>
      </c>
      <c r="D486" s="32" t="s">
        <v>4573</v>
      </c>
      <c r="E486" s="32" t="s">
        <v>4574</v>
      </c>
      <c r="F486" s="32" t="s">
        <v>1803</v>
      </c>
      <c r="G486" s="32" t="s">
        <v>4575</v>
      </c>
      <c r="H486" s="32" t="e">
        <v>#N/A</v>
      </c>
      <c r="I486" s="32">
        <v>2012</v>
      </c>
      <c r="J486" s="32" t="b">
        <v>1</v>
      </c>
    </row>
    <row r="487" spans="1:10" x14ac:dyDescent="0.15">
      <c r="A487" s="32" t="s">
        <v>6062</v>
      </c>
      <c r="B487" s="32" t="s">
        <v>6062</v>
      </c>
      <c r="C487" s="32" t="s">
        <v>1133</v>
      </c>
      <c r="D487" s="32" t="s">
        <v>4579</v>
      </c>
      <c r="E487" s="32" t="s">
        <v>4580</v>
      </c>
      <c r="F487" s="32" t="s">
        <v>3649</v>
      </c>
      <c r="G487" s="32" t="s">
        <v>4581</v>
      </c>
      <c r="H487" s="32" t="s">
        <v>4582</v>
      </c>
      <c r="I487" s="32">
        <v>2020</v>
      </c>
      <c r="J487" s="32" t="b">
        <v>1</v>
      </c>
    </row>
    <row r="488" spans="1:10" x14ac:dyDescent="0.15">
      <c r="A488" s="32" t="s">
        <v>6063</v>
      </c>
      <c r="B488" s="32" t="s">
        <v>6063</v>
      </c>
      <c r="C488" s="32" t="s">
        <v>1133</v>
      </c>
      <c r="D488" s="32" t="s">
        <v>4586</v>
      </c>
      <c r="E488" s="32" t="s">
        <v>4587</v>
      </c>
      <c r="F488" s="32" t="s">
        <v>124</v>
      </c>
      <c r="G488" s="32" t="s">
        <v>4588</v>
      </c>
      <c r="H488" s="32" t="s">
        <v>4589</v>
      </c>
      <c r="I488" s="32">
        <v>2020</v>
      </c>
      <c r="J488" s="32" t="b">
        <v>1</v>
      </c>
    </row>
    <row r="489" spans="1:10" x14ac:dyDescent="0.15">
      <c r="A489" s="32" t="s">
        <v>6064</v>
      </c>
      <c r="B489" s="32" t="s">
        <v>6064</v>
      </c>
      <c r="C489" s="32" t="s">
        <v>1133</v>
      </c>
      <c r="D489" s="32" t="s">
        <v>4593</v>
      </c>
      <c r="E489" s="32" t="s">
        <v>4594</v>
      </c>
      <c r="F489" s="32" t="s">
        <v>422</v>
      </c>
      <c r="G489" s="32" t="s">
        <v>4595</v>
      </c>
      <c r="H489" s="32" t="e">
        <v>#N/A</v>
      </c>
      <c r="I489" s="32">
        <v>2021</v>
      </c>
      <c r="J489" s="32" t="b">
        <v>1</v>
      </c>
    </row>
    <row r="490" spans="1:10" x14ac:dyDescent="0.15">
      <c r="A490" s="32" t="s">
        <v>6065</v>
      </c>
      <c r="B490" s="32" t="s">
        <v>6065</v>
      </c>
      <c r="C490" s="32" t="s">
        <v>1133</v>
      </c>
      <c r="D490" s="32" t="s">
        <v>4599</v>
      </c>
      <c r="E490" s="32" t="s">
        <v>4600</v>
      </c>
      <c r="F490" s="32" t="s">
        <v>89</v>
      </c>
      <c r="G490" s="32" t="s">
        <v>4601</v>
      </c>
      <c r="H490" s="32" t="e">
        <v>#N/A</v>
      </c>
      <c r="I490" s="32">
        <v>2022</v>
      </c>
      <c r="J490" s="32" t="b">
        <v>1</v>
      </c>
    </row>
    <row r="491" spans="1:10" x14ac:dyDescent="0.15">
      <c r="A491" s="32" t="s">
        <v>6066</v>
      </c>
      <c r="B491" s="32" t="s">
        <v>6066</v>
      </c>
      <c r="C491" s="32" t="s">
        <v>1133</v>
      </c>
      <c r="D491" s="32" t="s">
        <v>4605</v>
      </c>
      <c r="E491" s="32" t="s">
        <v>4606</v>
      </c>
      <c r="F491" s="32" t="s">
        <v>124</v>
      </c>
      <c r="G491" s="32" t="s">
        <v>4607</v>
      </c>
      <c r="H491" s="32" t="s">
        <v>4608</v>
      </c>
      <c r="I491" s="32">
        <v>2020</v>
      </c>
      <c r="J491" s="32" t="b">
        <v>1</v>
      </c>
    </row>
    <row r="492" spans="1:10" x14ac:dyDescent="0.15">
      <c r="A492" s="32" t="s">
        <v>6067</v>
      </c>
      <c r="B492" s="32" t="s">
        <v>6067</v>
      </c>
      <c r="C492" s="32" t="s">
        <v>1133</v>
      </c>
      <c r="D492" s="32" t="s">
        <v>4612</v>
      </c>
      <c r="E492" s="32" t="s">
        <v>4613</v>
      </c>
      <c r="F492" s="32" t="s">
        <v>4614</v>
      </c>
      <c r="G492" s="32" t="s">
        <v>4615</v>
      </c>
      <c r="H492" s="32" t="s">
        <v>4616</v>
      </c>
      <c r="I492" s="32">
        <v>2019</v>
      </c>
      <c r="J492" s="32" t="b">
        <v>0</v>
      </c>
    </row>
    <row r="493" spans="1:10" x14ac:dyDescent="0.15">
      <c r="A493" s="32" t="s">
        <v>6068</v>
      </c>
      <c r="B493" s="32" t="s">
        <v>6068</v>
      </c>
      <c r="C493" s="32" t="s">
        <v>1133</v>
      </c>
      <c r="D493" s="32" t="s">
        <v>4621</v>
      </c>
      <c r="E493" s="32" t="s">
        <v>4622</v>
      </c>
      <c r="F493" s="32" t="s">
        <v>1484</v>
      </c>
      <c r="G493" s="32" t="s">
        <v>4623</v>
      </c>
      <c r="H493" s="32" t="s">
        <v>4624</v>
      </c>
      <c r="I493" s="32">
        <v>2021</v>
      </c>
      <c r="J493" s="32" t="b">
        <v>1</v>
      </c>
    </row>
    <row r="494" spans="1:10" x14ac:dyDescent="0.15">
      <c r="A494" s="32" t="s">
        <v>6069</v>
      </c>
      <c r="B494" s="32" t="s">
        <v>6069</v>
      </c>
      <c r="C494" s="32" t="s">
        <v>1133</v>
      </c>
      <c r="D494" s="32" t="s">
        <v>4629</v>
      </c>
      <c r="E494" s="32" t="s">
        <v>4630</v>
      </c>
      <c r="F494" s="32" t="s">
        <v>124</v>
      </c>
      <c r="G494" s="32" t="s">
        <v>4631</v>
      </c>
      <c r="H494" s="32" t="s">
        <v>4632</v>
      </c>
      <c r="I494" s="32">
        <v>2020</v>
      </c>
      <c r="J494" s="32" t="b">
        <v>1</v>
      </c>
    </row>
    <row r="495" spans="1:10" x14ac:dyDescent="0.15">
      <c r="A495" s="32" t="s">
        <v>6070</v>
      </c>
      <c r="B495" s="32" t="s">
        <v>6070</v>
      </c>
      <c r="C495" s="32" t="s">
        <v>1133</v>
      </c>
      <c r="D495" s="32" t="s">
        <v>4636</v>
      </c>
      <c r="E495" s="32" t="s">
        <v>4637</v>
      </c>
      <c r="F495" s="32" t="s">
        <v>114</v>
      </c>
      <c r="G495" s="32" t="s">
        <v>4638</v>
      </c>
      <c r="H495" s="32" t="s">
        <v>4639</v>
      </c>
      <c r="I495" s="32" t="e">
        <v>#N/A</v>
      </c>
      <c r="J495" s="32" t="b">
        <v>1</v>
      </c>
    </row>
    <row r="496" spans="1:10" x14ac:dyDescent="0.15">
      <c r="A496" s="32" t="s">
        <v>6071</v>
      </c>
      <c r="B496" s="32" t="s">
        <v>6071</v>
      </c>
      <c r="C496" s="32" t="s">
        <v>1133</v>
      </c>
      <c r="D496" s="32" t="s">
        <v>4643</v>
      </c>
      <c r="E496" s="32" t="s">
        <v>4644</v>
      </c>
      <c r="F496" s="32" t="s">
        <v>882</v>
      </c>
      <c r="G496" s="32" t="s">
        <v>4645</v>
      </c>
      <c r="H496" s="32" t="s">
        <v>4646</v>
      </c>
      <c r="I496" s="32">
        <v>2020</v>
      </c>
      <c r="J496" s="32" t="b">
        <v>1</v>
      </c>
    </row>
    <row r="497" spans="1:10" x14ac:dyDescent="0.15">
      <c r="A497" s="32" t="s">
        <v>6072</v>
      </c>
      <c r="B497" s="32" t="s">
        <v>6072</v>
      </c>
      <c r="C497" s="32" t="s">
        <v>1133</v>
      </c>
      <c r="D497" s="32" t="s">
        <v>4651</v>
      </c>
      <c r="E497" s="32" t="s">
        <v>4652</v>
      </c>
      <c r="F497" s="32" t="s">
        <v>3431</v>
      </c>
      <c r="G497" s="32" t="s">
        <v>4653</v>
      </c>
      <c r="H497" s="32" t="s">
        <v>3001</v>
      </c>
      <c r="I497" s="32">
        <v>2017</v>
      </c>
      <c r="J497" s="32" t="b">
        <v>1</v>
      </c>
    </row>
    <row r="498" spans="1:10" x14ac:dyDescent="0.15">
      <c r="A498" s="32" t="s">
        <v>6073</v>
      </c>
      <c r="B498" s="32" t="s">
        <v>6073</v>
      </c>
      <c r="C498" s="32" t="s">
        <v>1133</v>
      </c>
      <c r="D498" s="32" t="s">
        <v>4658</v>
      </c>
      <c r="E498" s="32" t="s">
        <v>4659</v>
      </c>
      <c r="F498" s="32" t="s">
        <v>882</v>
      </c>
      <c r="G498" s="32" t="s">
        <v>4660</v>
      </c>
      <c r="H498" s="32" t="s">
        <v>4661</v>
      </c>
      <c r="I498" s="32">
        <v>2019</v>
      </c>
      <c r="J498" s="32" t="b">
        <v>1</v>
      </c>
    </row>
    <row r="499" spans="1:10" x14ac:dyDescent="0.15">
      <c r="A499" s="32" t="s">
        <v>6074</v>
      </c>
      <c r="B499" s="32" t="s">
        <v>6074</v>
      </c>
      <c r="C499" s="32" t="s">
        <v>1133</v>
      </c>
      <c r="D499" s="32" t="s">
        <v>4665</v>
      </c>
      <c r="E499" s="32" t="s">
        <v>4666</v>
      </c>
      <c r="F499" s="32" t="s">
        <v>4667</v>
      </c>
      <c r="G499" s="32" t="s">
        <v>4668</v>
      </c>
      <c r="H499" s="32" t="s">
        <v>2731</v>
      </c>
      <c r="I499" s="32">
        <v>2021</v>
      </c>
      <c r="J499" s="32" t="b">
        <v>0</v>
      </c>
    </row>
    <row r="500" spans="1:10" x14ac:dyDescent="0.15">
      <c r="A500" s="32" t="s">
        <v>6075</v>
      </c>
      <c r="B500" s="32" t="s">
        <v>6075</v>
      </c>
      <c r="C500" s="32" t="s">
        <v>1133</v>
      </c>
      <c r="D500" s="32" t="s">
        <v>4671</v>
      </c>
      <c r="E500" s="32" t="s">
        <v>4672</v>
      </c>
      <c r="F500" s="32" t="s">
        <v>1986</v>
      </c>
      <c r="G500" s="32" t="s">
        <v>4673</v>
      </c>
      <c r="H500" s="32" t="e">
        <v>#N/A</v>
      </c>
      <c r="I500" s="32">
        <v>2013</v>
      </c>
      <c r="J500" s="32" t="b">
        <v>1</v>
      </c>
    </row>
    <row r="501" spans="1:10" x14ac:dyDescent="0.15">
      <c r="A501" s="32" t="s">
        <v>6076</v>
      </c>
      <c r="B501" s="32" t="s">
        <v>6076</v>
      </c>
      <c r="C501" s="32" t="s">
        <v>1133</v>
      </c>
      <c r="D501" s="32" t="s">
        <v>4678</v>
      </c>
      <c r="E501" s="32" t="s">
        <v>4679</v>
      </c>
      <c r="F501" s="32" t="s">
        <v>4680</v>
      </c>
      <c r="G501" s="32" t="s">
        <v>4681</v>
      </c>
      <c r="H501" s="32" t="s">
        <v>1259</v>
      </c>
      <c r="I501" s="32">
        <v>2021</v>
      </c>
      <c r="J501" s="32" t="b">
        <v>0</v>
      </c>
    </row>
    <row r="502" spans="1:10" x14ac:dyDescent="0.15">
      <c r="A502" s="32" t="s">
        <v>6077</v>
      </c>
      <c r="B502" s="32" t="s">
        <v>6077</v>
      </c>
      <c r="C502" s="32" t="s">
        <v>1133</v>
      </c>
      <c r="D502" s="32" t="s">
        <v>4686</v>
      </c>
      <c r="E502" s="32" t="s">
        <v>4687</v>
      </c>
      <c r="F502" s="32" t="s">
        <v>4688</v>
      </c>
      <c r="G502" s="32" t="s">
        <v>4689</v>
      </c>
      <c r="H502" s="32" t="s">
        <v>4690</v>
      </c>
      <c r="I502" s="32">
        <v>2022</v>
      </c>
      <c r="J502" s="32" t="b">
        <v>0</v>
      </c>
    </row>
    <row r="503" spans="1:10" x14ac:dyDescent="0.15">
      <c r="A503" s="32" t="s">
        <v>6078</v>
      </c>
      <c r="B503" s="32" t="s">
        <v>6078</v>
      </c>
      <c r="C503" s="32" t="s">
        <v>1133</v>
      </c>
      <c r="D503" s="32" t="s">
        <v>4694</v>
      </c>
      <c r="E503" s="32" t="s">
        <v>4695</v>
      </c>
      <c r="F503" s="32" t="s">
        <v>422</v>
      </c>
      <c r="G503" s="32" t="s">
        <v>4696</v>
      </c>
      <c r="H503" s="32" t="s">
        <v>4697</v>
      </c>
      <c r="I503" s="32">
        <v>2020</v>
      </c>
      <c r="J503" s="32" t="b">
        <v>1</v>
      </c>
    </row>
    <row r="504" spans="1:10" x14ac:dyDescent="0.15">
      <c r="A504" s="32" t="s">
        <v>6079</v>
      </c>
      <c r="B504" s="32" t="s">
        <v>6079</v>
      </c>
      <c r="C504" s="32" t="s">
        <v>1133</v>
      </c>
      <c r="D504" s="32" t="s">
        <v>4701</v>
      </c>
      <c r="E504" s="32" t="s">
        <v>4702</v>
      </c>
      <c r="F504" s="32" t="s">
        <v>849</v>
      </c>
      <c r="G504" s="32" t="s">
        <v>4703</v>
      </c>
      <c r="H504" s="32" t="e">
        <v>#N/A</v>
      </c>
      <c r="I504" s="32">
        <v>2013</v>
      </c>
      <c r="J504" s="32" t="b">
        <v>1</v>
      </c>
    </row>
    <row r="505" spans="1:10" x14ac:dyDescent="0.15">
      <c r="A505" s="32" t="s">
        <v>6080</v>
      </c>
      <c r="B505" s="32" t="s">
        <v>6080</v>
      </c>
      <c r="C505" s="32" t="s">
        <v>1133</v>
      </c>
      <c r="D505" s="32" t="s">
        <v>4707</v>
      </c>
      <c r="E505" s="32" t="s">
        <v>4708</v>
      </c>
      <c r="F505" s="32" t="s">
        <v>2051</v>
      </c>
      <c r="G505" s="32" t="s">
        <v>4709</v>
      </c>
      <c r="H505" s="32" t="s">
        <v>4710</v>
      </c>
      <c r="I505" s="32">
        <v>2018</v>
      </c>
      <c r="J505" s="32" t="b">
        <v>1</v>
      </c>
    </row>
    <row r="506" spans="1:10" x14ac:dyDescent="0.15">
      <c r="A506" s="32" t="s">
        <v>6081</v>
      </c>
      <c r="B506" s="32" t="s">
        <v>6081</v>
      </c>
      <c r="C506" s="32" t="s">
        <v>1133</v>
      </c>
      <c r="D506" s="32" t="s">
        <v>4714</v>
      </c>
      <c r="E506" s="32" t="s">
        <v>4715</v>
      </c>
      <c r="F506" s="32" t="s">
        <v>2051</v>
      </c>
      <c r="G506" s="32" t="s">
        <v>4716</v>
      </c>
      <c r="H506" s="32" t="s">
        <v>4717</v>
      </c>
      <c r="I506" s="32">
        <v>2022</v>
      </c>
      <c r="J506" s="32" t="b">
        <v>1</v>
      </c>
    </row>
    <row r="507" spans="1:10" x14ac:dyDescent="0.15">
      <c r="A507" s="32" t="s">
        <v>6082</v>
      </c>
      <c r="B507" s="32" t="s">
        <v>6082</v>
      </c>
      <c r="C507" s="32" t="s">
        <v>1133</v>
      </c>
      <c r="D507" s="32" t="s">
        <v>4721</v>
      </c>
      <c r="E507" s="32" t="s">
        <v>4722</v>
      </c>
      <c r="F507" s="32" t="s">
        <v>2051</v>
      </c>
      <c r="G507" s="32" t="s">
        <v>4723</v>
      </c>
      <c r="H507" s="32" t="s">
        <v>4724</v>
      </c>
      <c r="I507" s="32">
        <v>2022</v>
      </c>
      <c r="J507" s="32" t="b">
        <v>1</v>
      </c>
    </row>
    <row r="508" spans="1:10" x14ac:dyDescent="0.15">
      <c r="A508" s="32" t="s">
        <v>6083</v>
      </c>
      <c r="B508" s="32" t="s">
        <v>6083</v>
      </c>
      <c r="C508" s="32" t="s">
        <v>1133</v>
      </c>
      <c r="D508" s="32" t="s">
        <v>4728</v>
      </c>
      <c r="E508" s="32" t="s">
        <v>4729</v>
      </c>
      <c r="F508" s="32" t="s">
        <v>124</v>
      </c>
      <c r="G508" s="32" t="s">
        <v>4730</v>
      </c>
      <c r="H508" s="32" t="s">
        <v>4731</v>
      </c>
      <c r="I508" s="32">
        <v>2018</v>
      </c>
      <c r="J508" s="32" t="b">
        <v>1</v>
      </c>
    </row>
    <row r="509" spans="1:10" x14ac:dyDescent="0.15">
      <c r="A509" s="32" t="s">
        <v>6084</v>
      </c>
      <c r="B509" s="32" t="s">
        <v>6084</v>
      </c>
      <c r="C509" s="32" t="s">
        <v>1133</v>
      </c>
      <c r="D509" s="32" t="s">
        <v>4735</v>
      </c>
      <c r="E509" s="32" t="s">
        <v>4736</v>
      </c>
      <c r="F509" s="32" t="s">
        <v>1451</v>
      </c>
      <c r="G509" s="32" t="s">
        <v>4737</v>
      </c>
      <c r="H509" s="32" t="e">
        <v>#N/A</v>
      </c>
      <c r="I509" s="32">
        <v>2021</v>
      </c>
      <c r="J509" s="32" t="b">
        <v>0</v>
      </c>
    </row>
    <row r="510" spans="1:10" x14ac:dyDescent="0.15">
      <c r="A510" s="32" t="s">
        <v>6085</v>
      </c>
      <c r="B510" s="32" t="s">
        <v>6085</v>
      </c>
      <c r="C510" s="32" t="s">
        <v>1133</v>
      </c>
      <c r="D510" s="32" t="s">
        <v>4741</v>
      </c>
      <c r="E510" s="32" t="s">
        <v>4742</v>
      </c>
      <c r="F510" s="32" t="s">
        <v>849</v>
      </c>
      <c r="G510" s="32" t="s">
        <v>4743</v>
      </c>
      <c r="H510" s="32" t="s">
        <v>4744</v>
      </c>
      <c r="I510" s="32">
        <v>2015</v>
      </c>
      <c r="J510" s="32" t="b">
        <v>0</v>
      </c>
    </row>
    <row r="511" spans="1:10" x14ac:dyDescent="0.15">
      <c r="A511" s="32" t="s">
        <v>6086</v>
      </c>
      <c r="B511" s="32" t="s">
        <v>6086</v>
      </c>
      <c r="C511" s="32" t="s">
        <v>1133</v>
      </c>
      <c r="D511" s="32" t="s">
        <v>4748</v>
      </c>
      <c r="E511" s="32" t="s">
        <v>4749</v>
      </c>
      <c r="F511" s="32" t="s">
        <v>572</v>
      </c>
      <c r="G511" s="32" t="s">
        <v>4750</v>
      </c>
      <c r="H511" s="32" t="s">
        <v>4751</v>
      </c>
      <c r="I511" s="32">
        <v>2016</v>
      </c>
      <c r="J511" s="32" t="b">
        <v>1</v>
      </c>
    </row>
    <row r="512" spans="1:10" x14ac:dyDescent="0.15">
      <c r="A512" s="32" t="s">
        <v>6087</v>
      </c>
      <c r="B512" s="32" t="s">
        <v>6087</v>
      </c>
      <c r="C512" s="32" t="s">
        <v>1133</v>
      </c>
      <c r="D512" s="32" t="s">
        <v>4755</v>
      </c>
      <c r="E512" s="32" t="s">
        <v>4756</v>
      </c>
      <c r="F512" s="32" t="s">
        <v>1507</v>
      </c>
      <c r="G512" s="32" t="s">
        <v>4757</v>
      </c>
      <c r="H512" s="32" t="s">
        <v>4758</v>
      </c>
      <c r="I512" s="32">
        <v>2020</v>
      </c>
      <c r="J512" s="32" t="b">
        <v>1</v>
      </c>
    </row>
    <row r="513" spans="1:10" x14ac:dyDescent="0.15">
      <c r="A513" s="32" t="s">
        <v>6088</v>
      </c>
      <c r="B513" s="32" t="s">
        <v>6088</v>
      </c>
      <c r="C513" s="32" t="s">
        <v>1133</v>
      </c>
      <c r="D513" s="32" t="s">
        <v>4762</v>
      </c>
      <c r="E513" s="32" t="s">
        <v>4763</v>
      </c>
      <c r="F513" s="32" t="s">
        <v>4099</v>
      </c>
      <c r="G513" s="32" t="s">
        <v>4764</v>
      </c>
      <c r="H513" s="32" t="s">
        <v>4765</v>
      </c>
      <c r="I513" s="32">
        <v>2015</v>
      </c>
      <c r="J513" s="32" t="b">
        <v>1</v>
      </c>
    </row>
    <row r="514" spans="1:10" x14ac:dyDescent="0.15">
      <c r="A514" s="32" t="s">
        <v>6089</v>
      </c>
      <c r="B514" s="32" t="s">
        <v>6089</v>
      </c>
      <c r="C514" s="32" t="s">
        <v>1133</v>
      </c>
      <c r="D514" s="32" t="s">
        <v>4770</v>
      </c>
      <c r="E514" s="32" t="s">
        <v>4771</v>
      </c>
      <c r="F514" s="32" t="s">
        <v>422</v>
      </c>
      <c r="G514" s="32" t="s">
        <v>4772</v>
      </c>
      <c r="H514" s="32" t="s">
        <v>4773</v>
      </c>
      <c r="I514" s="32">
        <v>2019</v>
      </c>
      <c r="J514" s="32" t="b">
        <v>1</v>
      </c>
    </row>
    <row r="515" spans="1:10" x14ac:dyDescent="0.15">
      <c r="A515" s="32" t="s">
        <v>6090</v>
      </c>
      <c r="B515" s="32" t="s">
        <v>6090</v>
      </c>
      <c r="C515" s="32" t="s">
        <v>1133</v>
      </c>
      <c r="D515" s="32" t="s">
        <v>4778</v>
      </c>
      <c r="E515" s="32" t="s">
        <v>4779</v>
      </c>
      <c r="F515" s="32" t="s">
        <v>3360</v>
      </c>
      <c r="G515" s="32" t="s">
        <v>4780</v>
      </c>
      <c r="H515" s="32" t="s">
        <v>4781</v>
      </c>
      <c r="I515" s="32">
        <v>2019</v>
      </c>
      <c r="J515" s="32" t="b">
        <v>0</v>
      </c>
    </row>
    <row r="516" spans="1:10" x14ac:dyDescent="0.15">
      <c r="A516" s="32" t="s">
        <v>6091</v>
      </c>
      <c r="B516" s="32" t="s">
        <v>6091</v>
      </c>
      <c r="C516" s="32" t="s">
        <v>1133</v>
      </c>
      <c r="D516" s="32" t="s">
        <v>4785</v>
      </c>
      <c r="E516" s="32" t="s">
        <v>4786</v>
      </c>
      <c r="F516" s="32" t="s">
        <v>2302</v>
      </c>
      <c r="G516" s="32" t="s">
        <v>4787</v>
      </c>
      <c r="H516" s="32" t="s">
        <v>4788</v>
      </c>
      <c r="I516" s="32">
        <v>2019</v>
      </c>
      <c r="J516" s="32" t="b">
        <v>1</v>
      </c>
    </row>
    <row r="517" spans="1:10" x14ac:dyDescent="0.15">
      <c r="A517" s="32" t="s">
        <v>6092</v>
      </c>
      <c r="B517" s="32" t="s">
        <v>6092</v>
      </c>
      <c r="C517" s="32" t="s">
        <v>1133</v>
      </c>
      <c r="D517" s="32" t="s">
        <v>4792</v>
      </c>
      <c r="E517" s="32" t="s">
        <v>4793</v>
      </c>
      <c r="F517" s="32" t="s">
        <v>4794</v>
      </c>
      <c r="G517" s="32" t="s">
        <v>4795</v>
      </c>
      <c r="H517" s="32" t="s">
        <v>4796</v>
      </c>
      <c r="I517" s="32">
        <v>2022</v>
      </c>
      <c r="J517" s="32" t="b">
        <v>0</v>
      </c>
    </row>
    <row r="518" spans="1:10" x14ac:dyDescent="0.15">
      <c r="A518" s="32" t="s">
        <v>6093</v>
      </c>
      <c r="B518" s="32" t="s">
        <v>6093</v>
      </c>
      <c r="C518" s="32" t="s">
        <v>1133</v>
      </c>
      <c r="D518" s="32" t="s">
        <v>4800</v>
      </c>
      <c r="E518" s="32" t="s">
        <v>4801</v>
      </c>
      <c r="F518" s="32" t="s">
        <v>1743</v>
      </c>
      <c r="G518" s="32" t="s">
        <v>4802</v>
      </c>
      <c r="H518" s="32" t="s">
        <v>4803</v>
      </c>
      <c r="I518" s="32">
        <v>2020</v>
      </c>
      <c r="J518" s="32" t="b">
        <v>1</v>
      </c>
    </row>
    <row r="519" spans="1:10" x14ac:dyDescent="0.15">
      <c r="A519" s="32" t="s">
        <v>6094</v>
      </c>
      <c r="B519" s="32" t="s">
        <v>6094</v>
      </c>
      <c r="C519" s="32" t="s">
        <v>1133</v>
      </c>
      <c r="D519" s="32" t="s">
        <v>4808</v>
      </c>
      <c r="E519" s="32" t="s">
        <v>4809</v>
      </c>
      <c r="F519" s="32" t="s">
        <v>73</v>
      </c>
      <c r="G519" s="32" t="s">
        <v>4810</v>
      </c>
      <c r="H519" s="32" t="s">
        <v>4811</v>
      </c>
      <c r="I519" s="32">
        <v>2017</v>
      </c>
      <c r="J519" s="32" t="b">
        <v>1</v>
      </c>
    </row>
    <row r="520" spans="1:10" x14ac:dyDescent="0.15">
      <c r="A520" s="32" t="s">
        <v>6095</v>
      </c>
      <c r="B520" s="32" t="s">
        <v>6095</v>
      </c>
      <c r="C520" s="32" t="s">
        <v>1133</v>
      </c>
      <c r="D520" s="32" t="s">
        <v>4815</v>
      </c>
      <c r="E520" s="32" t="s">
        <v>4816</v>
      </c>
      <c r="F520" s="32" t="s">
        <v>124</v>
      </c>
      <c r="G520" s="32" t="s">
        <v>4817</v>
      </c>
      <c r="H520" s="32" t="s">
        <v>4818</v>
      </c>
      <c r="I520" s="32">
        <v>2020</v>
      </c>
      <c r="J520" s="32" t="b">
        <v>1</v>
      </c>
    </row>
    <row r="521" spans="1:10" x14ac:dyDescent="0.15">
      <c r="A521" s="32" t="s">
        <v>6096</v>
      </c>
      <c r="B521" s="32" t="s">
        <v>6096</v>
      </c>
      <c r="C521" s="32" t="s">
        <v>1133</v>
      </c>
      <c r="D521" s="32" t="s">
        <v>3771</v>
      </c>
      <c r="E521" s="32" t="s">
        <v>4821</v>
      </c>
      <c r="F521" s="32" t="s">
        <v>2302</v>
      </c>
      <c r="G521" s="32" t="s">
        <v>4822</v>
      </c>
      <c r="H521" s="32" t="s">
        <v>4823</v>
      </c>
      <c r="I521" s="32">
        <v>2020</v>
      </c>
      <c r="J521" s="32" t="b">
        <v>1</v>
      </c>
    </row>
    <row r="522" spans="1:10" x14ac:dyDescent="0.15">
      <c r="A522" s="32" t="s">
        <v>6097</v>
      </c>
      <c r="B522" s="32" t="s">
        <v>6097</v>
      </c>
      <c r="C522" s="32" t="s">
        <v>1133</v>
      </c>
      <c r="D522" s="32" t="s">
        <v>4827</v>
      </c>
      <c r="E522" s="32" t="s">
        <v>4828</v>
      </c>
      <c r="F522" s="32" t="s">
        <v>422</v>
      </c>
      <c r="G522" s="32" t="s">
        <v>4829</v>
      </c>
      <c r="H522" s="32" t="s">
        <v>4830</v>
      </c>
      <c r="I522" s="32">
        <v>2020</v>
      </c>
      <c r="J522" s="32" t="b">
        <v>1</v>
      </c>
    </row>
    <row r="523" spans="1:10" x14ac:dyDescent="0.15">
      <c r="A523" s="32" t="s">
        <v>6098</v>
      </c>
      <c r="B523" s="32" t="s">
        <v>6098</v>
      </c>
      <c r="C523" s="32" t="s">
        <v>1133</v>
      </c>
      <c r="D523" s="32" t="s">
        <v>4834</v>
      </c>
      <c r="E523" s="32" t="s">
        <v>4835</v>
      </c>
      <c r="F523" s="32" t="s">
        <v>4836</v>
      </c>
      <c r="G523" s="32" t="s">
        <v>4837</v>
      </c>
      <c r="H523" s="32" t="s">
        <v>4838</v>
      </c>
      <c r="I523" s="32">
        <v>2017</v>
      </c>
      <c r="J523" s="32" t="b">
        <v>0</v>
      </c>
    </row>
    <row r="524" spans="1:10" x14ac:dyDescent="0.15">
      <c r="A524" s="32" t="s">
        <v>6099</v>
      </c>
      <c r="B524" s="32" t="s">
        <v>6099</v>
      </c>
      <c r="C524" s="32" t="s">
        <v>1133</v>
      </c>
      <c r="D524" s="32" t="s">
        <v>4842</v>
      </c>
      <c r="E524" s="32" t="s">
        <v>4843</v>
      </c>
      <c r="F524" s="32" t="s">
        <v>422</v>
      </c>
      <c r="G524" s="32" t="s">
        <v>4844</v>
      </c>
      <c r="H524" s="32" t="s">
        <v>4845</v>
      </c>
      <c r="I524" s="32">
        <v>2021</v>
      </c>
      <c r="J524" s="32" t="b">
        <v>1</v>
      </c>
    </row>
    <row r="525" spans="1:10" x14ac:dyDescent="0.15">
      <c r="A525" s="32" t="s">
        <v>6100</v>
      </c>
      <c r="B525" s="32" t="s">
        <v>6100</v>
      </c>
      <c r="C525" s="32" t="s">
        <v>1133</v>
      </c>
      <c r="D525" s="32" t="s">
        <v>4849</v>
      </c>
      <c r="E525" s="32" t="s">
        <v>4850</v>
      </c>
      <c r="F525" s="32" t="s">
        <v>97</v>
      </c>
      <c r="G525" s="32" t="s">
        <v>4851</v>
      </c>
      <c r="H525" s="32" t="s">
        <v>4852</v>
      </c>
      <c r="I525" s="32">
        <v>2020</v>
      </c>
      <c r="J525" s="32" t="b">
        <v>1</v>
      </c>
    </row>
    <row r="526" spans="1:10" x14ac:dyDescent="0.15">
      <c r="A526" s="32" t="s">
        <v>6101</v>
      </c>
      <c r="B526" s="32" t="s">
        <v>6101</v>
      </c>
      <c r="C526" s="32" t="s">
        <v>1133</v>
      </c>
      <c r="D526" s="32" t="s">
        <v>4701</v>
      </c>
      <c r="E526" s="32" t="s">
        <v>4855</v>
      </c>
      <c r="F526" s="32" t="s">
        <v>849</v>
      </c>
      <c r="G526" s="32" t="s">
        <v>4856</v>
      </c>
      <c r="H526" s="32" t="e">
        <v>#N/A</v>
      </c>
      <c r="I526" s="32">
        <v>2013</v>
      </c>
      <c r="J526" s="32" t="b">
        <v>0</v>
      </c>
    </row>
    <row r="527" spans="1:10" x14ac:dyDescent="0.15">
      <c r="A527" s="32" t="s">
        <v>6102</v>
      </c>
      <c r="B527" s="32" t="s">
        <v>6102</v>
      </c>
      <c r="C527" s="32" t="s">
        <v>1133</v>
      </c>
      <c r="D527" s="32" t="s">
        <v>4860</v>
      </c>
      <c r="E527" s="32" t="s">
        <v>4861</v>
      </c>
      <c r="F527" s="32" t="s">
        <v>1669</v>
      </c>
      <c r="G527" s="32" t="s">
        <v>4862</v>
      </c>
      <c r="H527" s="32" t="e">
        <v>#N/A</v>
      </c>
      <c r="I527" s="32">
        <v>2020</v>
      </c>
      <c r="J527" s="32" t="b">
        <v>1</v>
      </c>
    </row>
    <row r="528" spans="1:10" x14ac:dyDescent="0.15">
      <c r="A528" s="32" t="s">
        <v>6103</v>
      </c>
      <c r="B528" s="32" t="s">
        <v>6103</v>
      </c>
      <c r="C528" s="32" t="s">
        <v>1133</v>
      </c>
      <c r="D528" s="32" t="s">
        <v>4866</v>
      </c>
      <c r="E528" s="32" t="s">
        <v>4867</v>
      </c>
      <c r="F528" s="32" t="s">
        <v>502</v>
      </c>
      <c r="G528" s="32" t="s">
        <v>4868</v>
      </c>
      <c r="H528" s="32" t="s">
        <v>4869</v>
      </c>
      <c r="I528" s="32">
        <v>2013</v>
      </c>
      <c r="J528" s="32" t="b">
        <v>0</v>
      </c>
    </row>
    <row r="529" spans="1:10" x14ac:dyDescent="0.15">
      <c r="A529" s="32" t="s">
        <v>6104</v>
      </c>
      <c r="B529" s="32" t="s">
        <v>6104</v>
      </c>
      <c r="C529" s="32" t="s">
        <v>1133</v>
      </c>
      <c r="D529" s="32" t="s">
        <v>4873</v>
      </c>
      <c r="E529" s="32" t="s">
        <v>4874</v>
      </c>
      <c r="F529" s="32" t="s">
        <v>68</v>
      </c>
      <c r="G529" s="32" t="s">
        <v>4875</v>
      </c>
      <c r="H529" s="32" t="s">
        <v>4876</v>
      </c>
      <c r="I529" s="32">
        <v>2019</v>
      </c>
      <c r="J529" s="32" t="b">
        <v>1</v>
      </c>
    </row>
    <row r="530" spans="1:10" x14ac:dyDescent="0.15">
      <c r="A530" s="32" t="s">
        <v>6105</v>
      </c>
      <c r="B530" s="32" t="s">
        <v>6105</v>
      </c>
      <c r="C530" s="32" t="s">
        <v>1133</v>
      </c>
      <c r="D530" s="32" t="s">
        <v>4880</v>
      </c>
      <c r="E530" s="32" t="s">
        <v>4881</v>
      </c>
      <c r="F530" s="32" t="s">
        <v>2459</v>
      </c>
      <c r="G530" s="32" t="s">
        <v>4882</v>
      </c>
      <c r="H530" s="32" t="s">
        <v>4883</v>
      </c>
      <c r="I530" s="32">
        <v>2017</v>
      </c>
      <c r="J530" s="32" t="b">
        <v>1</v>
      </c>
    </row>
    <row r="531" spans="1:10" x14ac:dyDescent="0.15">
      <c r="A531" s="32" t="s">
        <v>6106</v>
      </c>
      <c r="B531" s="32" t="s">
        <v>6106</v>
      </c>
      <c r="C531" s="32" t="s">
        <v>1133</v>
      </c>
      <c r="D531" s="32" t="s">
        <v>4887</v>
      </c>
      <c r="E531" s="32" t="s">
        <v>4888</v>
      </c>
      <c r="F531" s="32" t="s">
        <v>4099</v>
      </c>
      <c r="G531" s="32" t="s">
        <v>4889</v>
      </c>
      <c r="H531" s="32" t="e">
        <v>#N/A</v>
      </c>
      <c r="I531" s="32">
        <v>2020</v>
      </c>
      <c r="J531" s="32" t="b">
        <v>1</v>
      </c>
    </row>
    <row r="532" spans="1:10" x14ac:dyDescent="0.15">
      <c r="A532" s="32" t="s">
        <v>6107</v>
      </c>
      <c r="B532" s="32" t="s">
        <v>6107</v>
      </c>
      <c r="C532" s="32" t="s">
        <v>1133</v>
      </c>
      <c r="D532" s="32" t="s">
        <v>4896</v>
      </c>
      <c r="E532" s="32" t="s">
        <v>4897</v>
      </c>
      <c r="F532" s="32" t="s">
        <v>4898</v>
      </c>
      <c r="G532" s="32" t="s">
        <v>4899</v>
      </c>
      <c r="H532" s="32" t="s">
        <v>1859</v>
      </c>
      <c r="I532" s="32">
        <v>2020</v>
      </c>
      <c r="J532" s="32" t="b">
        <v>0</v>
      </c>
    </row>
    <row r="533" spans="1:10" x14ac:dyDescent="0.15">
      <c r="A533" s="32" t="s">
        <v>6108</v>
      </c>
      <c r="B533" s="32" t="s">
        <v>6108</v>
      </c>
      <c r="C533" s="32" t="s">
        <v>1133</v>
      </c>
      <c r="D533" s="32" t="s">
        <v>4903</v>
      </c>
      <c r="E533" s="32" t="s">
        <v>4904</v>
      </c>
      <c r="F533" s="32" t="s">
        <v>114</v>
      </c>
      <c r="G533" s="32" t="s">
        <v>4905</v>
      </c>
      <c r="H533" s="32" t="s">
        <v>4906</v>
      </c>
      <c r="I533" s="32" t="e">
        <v>#N/A</v>
      </c>
      <c r="J533" s="32" t="b">
        <v>1</v>
      </c>
    </row>
    <row r="534" spans="1:10" x14ac:dyDescent="0.15">
      <c r="A534" s="32" t="s">
        <v>6109</v>
      </c>
      <c r="B534" s="32" t="s">
        <v>6109</v>
      </c>
      <c r="C534" s="32" t="s">
        <v>1133</v>
      </c>
      <c r="D534" s="32" t="s">
        <v>4910</v>
      </c>
      <c r="E534" s="32" t="s">
        <v>4911</v>
      </c>
      <c r="F534" s="32" t="s">
        <v>1586</v>
      </c>
      <c r="G534" s="32" t="s">
        <v>4912</v>
      </c>
      <c r="H534" s="32" t="e">
        <v>#N/A</v>
      </c>
      <c r="I534" s="32">
        <v>2021</v>
      </c>
      <c r="J534" s="32" t="b">
        <v>1</v>
      </c>
    </row>
    <row r="535" spans="1:10" x14ac:dyDescent="0.15">
      <c r="A535" s="32" t="s">
        <v>6110</v>
      </c>
      <c r="B535" s="32" t="s">
        <v>6110</v>
      </c>
      <c r="C535" s="32" t="s">
        <v>1133</v>
      </c>
      <c r="D535" s="32" t="s">
        <v>4916</v>
      </c>
      <c r="E535" s="32" t="s">
        <v>4917</v>
      </c>
      <c r="F535" s="32" t="s">
        <v>2044</v>
      </c>
      <c r="G535" s="32" t="s">
        <v>4918</v>
      </c>
      <c r="H535" s="32" t="s">
        <v>3760</v>
      </c>
      <c r="I535" s="32">
        <v>2021</v>
      </c>
      <c r="J535" s="32" t="b">
        <v>1</v>
      </c>
    </row>
    <row r="536" spans="1:10" x14ac:dyDescent="0.15">
      <c r="A536" s="32" t="s">
        <v>6111</v>
      </c>
      <c r="B536" s="32" t="s">
        <v>6111</v>
      </c>
      <c r="C536" s="32" t="s">
        <v>1133</v>
      </c>
      <c r="D536" s="32" t="s">
        <v>4922</v>
      </c>
      <c r="E536" s="32" t="s">
        <v>4923</v>
      </c>
      <c r="F536" s="32" t="s">
        <v>278</v>
      </c>
      <c r="G536" s="32" t="s">
        <v>4924</v>
      </c>
      <c r="H536" s="32" t="s">
        <v>4925</v>
      </c>
      <c r="I536" s="32">
        <v>2019</v>
      </c>
      <c r="J536" s="32" t="b">
        <v>1</v>
      </c>
    </row>
    <row r="537" spans="1:10" x14ac:dyDescent="0.15">
      <c r="A537" s="32" t="s">
        <v>6112</v>
      </c>
      <c r="B537" s="32" t="s">
        <v>6112</v>
      </c>
      <c r="C537" s="32" t="s">
        <v>1133</v>
      </c>
      <c r="D537" s="32" t="s">
        <v>4929</v>
      </c>
      <c r="E537" s="32" t="s">
        <v>4930</v>
      </c>
      <c r="F537" s="32" t="s">
        <v>124</v>
      </c>
      <c r="G537" s="32" t="s">
        <v>4931</v>
      </c>
      <c r="H537" s="32" t="s">
        <v>4932</v>
      </c>
      <c r="I537" s="32">
        <v>2018</v>
      </c>
      <c r="J537" s="32" t="b">
        <v>1</v>
      </c>
    </row>
    <row r="538" spans="1:10" x14ac:dyDescent="0.15">
      <c r="A538" s="32" t="s">
        <v>6113</v>
      </c>
      <c r="B538" s="32" t="s">
        <v>6113</v>
      </c>
      <c r="C538" s="32" t="s">
        <v>1133</v>
      </c>
      <c r="D538" s="32" t="s">
        <v>850</v>
      </c>
      <c r="E538" s="32" t="s">
        <v>848</v>
      </c>
      <c r="F538" s="32" t="s">
        <v>849</v>
      </c>
      <c r="G538" s="32" t="s">
        <v>852</v>
      </c>
      <c r="H538" s="32" t="e">
        <v>#N/A</v>
      </c>
      <c r="I538" s="32">
        <v>2015</v>
      </c>
      <c r="J538" s="32" t="b">
        <v>1</v>
      </c>
    </row>
    <row r="539" spans="1:10" x14ac:dyDescent="0.15">
      <c r="A539" s="32" t="s">
        <v>6114</v>
      </c>
      <c r="B539" s="32" t="s">
        <v>6114</v>
      </c>
      <c r="C539" s="32" t="s">
        <v>1133</v>
      </c>
      <c r="D539" s="32" t="s">
        <v>4938</v>
      </c>
      <c r="E539" s="32" t="s">
        <v>4939</v>
      </c>
      <c r="F539" s="32" t="s">
        <v>1743</v>
      </c>
      <c r="G539" s="32" t="s">
        <v>4940</v>
      </c>
      <c r="H539" s="32" t="s">
        <v>4941</v>
      </c>
      <c r="I539" s="32">
        <v>2020</v>
      </c>
      <c r="J539" s="32" t="b">
        <v>1</v>
      </c>
    </row>
    <row r="540" spans="1:10" x14ac:dyDescent="0.15">
      <c r="A540" s="32" t="s">
        <v>6115</v>
      </c>
      <c r="B540" s="32" t="s">
        <v>6115</v>
      </c>
      <c r="C540" s="32" t="s">
        <v>1133</v>
      </c>
      <c r="D540" s="32" t="s">
        <v>4945</v>
      </c>
      <c r="E540" s="32" t="s">
        <v>4946</v>
      </c>
      <c r="F540" s="32" t="s">
        <v>313</v>
      </c>
      <c r="G540" s="32" t="s">
        <v>4947</v>
      </c>
      <c r="H540" s="32" t="s">
        <v>4948</v>
      </c>
      <c r="I540" s="32">
        <v>2019</v>
      </c>
      <c r="J540" s="32" t="b">
        <v>1</v>
      </c>
    </row>
    <row r="541" spans="1:10" x14ac:dyDescent="0.15">
      <c r="A541" s="32" t="s">
        <v>6116</v>
      </c>
      <c r="B541" s="32" t="s">
        <v>6116</v>
      </c>
      <c r="C541" s="32" t="s">
        <v>1133</v>
      </c>
      <c r="D541" s="32" t="s">
        <v>4952</v>
      </c>
      <c r="E541" s="32" t="s">
        <v>4953</v>
      </c>
      <c r="F541" s="32" t="s">
        <v>572</v>
      </c>
      <c r="G541" s="32" t="s">
        <v>4954</v>
      </c>
      <c r="H541" s="32" t="s">
        <v>4955</v>
      </c>
      <c r="I541" s="32">
        <v>2017</v>
      </c>
      <c r="J541" s="32" t="b">
        <v>1</v>
      </c>
    </row>
    <row r="542" spans="1:10" x14ac:dyDescent="0.15">
      <c r="A542" s="32" t="s">
        <v>6117</v>
      </c>
      <c r="B542" s="32" t="s">
        <v>6117</v>
      </c>
      <c r="C542" s="32" t="s">
        <v>1133</v>
      </c>
      <c r="D542" s="32" t="s">
        <v>4959</v>
      </c>
      <c r="E542" s="32" t="s">
        <v>4960</v>
      </c>
      <c r="F542" s="32" t="s">
        <v>124</v>
      </c>
      <c r="G542" s="32" t="s">
        <v>4961</v>
      </c>
      <c r="H542" s="32" t="s">
        <v>4962</v>
      </c>
      <c r="I542" s="32">
        <v>2013</v>
      </c>
      <c r="J542" s="32" t="b">
        <v>1</v>
      </c>
    </row>
    <row r="543" spans="1:10" x14ac:dyDescent="0.15">
      <c r="A543" s="32" t="s">
        <v>6118</v>
      </c>
      <c r="B543" s="32" t="s">
        <v>6118</v>
      </c>
      <c r="C543" s="32" t="s">
        <v>1133</v>
      </c>
      <c r="D543" s="32" t="s">
        <v>4966</v>
      </c>
      <c r="E543" s="32" t="s">
        <v>4967</v>
      </c>
      <c r="F543" s="32" t="s">
        <v>882</v>
      </c>
      <c r="G543" s="32" t="s">
        <v>4968</v>
      </c>
      <c r="H543" s="32" t="s">
        <v>4969</v>
      </c>
      <c r="I543" s="32">
        <v>2018</v>
      </c>
      <c r="J543" s="32" t="b">
        <v>1</v>
      </c>
    </row>
    <row r="544" spans="1:10" x14ac:dyDescent="0.15">
      <c r="A544" s="32" t="s">
        <v>6119</v>
      </c>
      <c r="B544" s="32" t="s">
        <v>6119</v>
      </c>
      <c r="C544" s="32" t="s">
        <v>1133</v>
      </c>
      <c r="D544" s="32" t="s">
        <v>4975</v>
      </c>
      <c r="E544" s="32" t="s">
        <v>4976</v>
      </c>
      <c r="F544" s="32" t="s">
        <v>124</v>
      </c>
      <c r="G544" s="32" t="s">
        <v>4977</v>
      </c>
      <c r="H544" s="32" t="s">
        <v>4978</v>
      </c>
      <c r="I544" s="32">
        <v>2020</v>
      </c>
      <c r="J544" s="32" t="b">
        <v>1</v>
      </c>
    </row>
    <row r="545" spans="1:10" x14ac:dyDescent="0.15">
      <c r="A545" s="32" t="s">
        <v>6120</v>
      </c>
      <c r="B545" s="32" t="s">
        <v>6120</v>
      </c>
      <c r="C545" s="32" t="s">
        <v>1133</v>
      </c>
      <c r="D545" s="32" t="s">
        <v>4982</v>
      </c>
      <c r="E545" s="32" t="s">
        <v>4983</v>
      </c>
      <c r="F545" s="32" t="s">
        <v>2051</v>
      </c>
      <c r="G545" s="32" t="s">
        <v>4984</v>
      </c>
      <c r="H545" s="32" t="s">
        <v>3001</v>
      </c>
      <c r="I545" s="32">
        <v>2021</v>
      </c>
      <c r="J545" s="32" t="b">
        <v>1</v>
      </c>
    </row>
    <row r="546" spans="1:10" x14ac:dyDescent="0.15">
      <c r="A546" s="32" t="s">
        <v>6121</v>
      </c>
      <c r="B546" s="32" t="s">
        <v>6121</v>
      </c>
      <c r="C546" s="32" t="s">
        <v>1133</v>
      </c>
      <c r="D546" s="32" t="s">
        <v>4988</v>
      </c>
      <c r="E546" s="32" t="s">
        <v>4989</v>
      </c>
      <c r="F546" s="32" t="s">
        <v>1634</v>
      </c>
      <c r="G546" s="32" t="s">
        <v>4990</v>
      </c>
      <c r="H546" s="32" t="s">
        <v>4991</v>
      </c>
      <c r="I546" s="32">
        <v>2022</v>
      </c>
      <c r="J546" s="32" t="b">
        <v>1</v>
      </c>
    </row>
    <row r="547" spans="1:10" x14ac:dyDescent="0.15">
      <c r="A547" s="32" t="s">
        <v>6122</v>
      </c>
      <c r="B547" s="32" t="s">
        <v>6122</v>
      </c>
      <c r="C547" s="32" t="s">
        <v>1133</v>
      </c>
      <c r="D547" s="32" t="s">
        <v>4995</v>
      </c>
      <c r="E547" s="32" t="s">
        <v>4996</v>
      </c>
      <c r="F547" s="32" t="s">
        <v>1586</v>
      </c>
      <c r="G547" s="32" t="s">
        <v>4997</v>
      </c>
      <c r="H547" s="32" t="s">
        <v>4998</v>
      </c>
      <c r="I547" s="32">
        <v>2019</v>
      </c>
      <c r="J547" s="32" t="b">
        <v>0</v>
      </c>
    </row>
    <row r="548" spans="1:10" x14ac:dyDescent="0.15">
      <c r="A548" s="32" t="s">
        <v>6123</v>
      </c>
      <c r="B548" s="32" t="s">
        <v>6123</v>
      </c>
      <c r="C548" s="32" t="s">
        <v>1133</v>
      </c>
      <c r="D548" s="32" t="s">
        <v>5003</v>
      </c>
      <c r="E548" s="32" t="s">
        <v>5004</v>
      </c>
      <c r="F548" s="32" t="s">
        <v>5005</v>
      </c>
      <c r="G548" s="32" t="s">
        <v>5006</v>
      </c>
      <c r="H548" s="32" t="s">
        <v>5007</v>
      </c>
      <c r="I548" s="32">
        <v>2022</v>
      </c>
      <c r="J548" s="32" t="b">
        <v>0</v>
      </c>
    </row>
    <row r="549" spans="1:10" x14ac:dyDescent="0.15">
      <c r="A549" s="32" t="s">
        <v>6124</v>
      </c>
      <c r="B549" s="32" t="s">
        <v>6124</v>
      </c>
      <c r="C549" s="32" t="s">
        <v>1133</v>
      </c>
      <c r="D549" s="32" t="s">
        <v>5011</v>
      </c>
      <c r="E549" s="32" t="s">
        <v>5012</v>
      </c>
      <c r="F549" s="32" t="s">
        <v>422</v>
      </c>
      <c r="G549" s="32" t="s">
        <v>5013</v>
      </c>
      <c r="H549" s="32" t="s">
        <v>5014</v>
      </c>
      <c r="I549" s="32">
        <v>2020</v>
      </c>
      <c r="J549" s="32" t="b">
        <v>1</v>
      </c>
    </row>
    <row r="550" spans="1:10" x14ac:dyDescent="0.15">
      <c r="A550" s="32" t="s">
        <v>6125</v>
      </c>
      <c r="B550" s="32" t="s">
        <v>6125</v>
      </c>
      <c r="C550" s="32" t="s">
        <v>1133</v>
      </c>
      <c r="D550" s="32" t="s">
        <v>5018</v>
      </c>
      <c r="E550" s="32" t="s">
        <v>5019</v>
      </c>
      <c r="F550" s="32" t="s">
        <v>1562</v>
      </c>
      <c r="G550" s="32" t="s">
        <v>5020</v>
      </c>
      <c r="H550" s="32" t="s">
        <v>5021</v>
      </c>
      <c r="I550" s="32">
        <v>2017</v>
      </c>
      <c r="J550" s="32" t="b">
        <v>1</v>
      </c>
    </row>
    <row r="551" spans="1:10" x14ac:dyDescent="0.15">
      <c r="A551" s="32" t="s">
        <v>6126</v>
      </c>
      <c r="B551" s="32" t="s">
        <v>6126</v>
      </c>
      <c r="C551" s="32" t="s">
        <v>1133</v>
      </c>
      <c r="D551" s="32" t="s">
        <v>5025</v>
      </c>
      <c r="E551" s="32" t="s">
        <v>5026</v>
      </c>
      <c r="F551" s="32" t="s">
        <v>5027</v>
      </c>
      <c r="G551" s="32" t="s">
        <v>5028</v>
      </c>
      <c r="H551" s="32" t="s">
        <v>5029</v>
      </c>
      <c r="I551" s="32">
        <v>2018</v>
      </c>
      <c r="J551" s="32" t="b">
        <v>0</v>
      </c>
    </row>
    <row r="552" spans="1:10" x14ac:dyDescent="0.15">
      <c r="A552" s="32" t="s">
        <v>6127</v>
      </c>
      <c r="B552" s="32" t="s">
        <v>6127</v>
      </c>
      <c r="C552" s="32" t="s">
        <v>1133</v>
      </c>
      <c r="D552" s="32" t="s">
        <v>5034</v>
      </c>
      <c r="E552" s="32" t="s">
        <v>5035</v>
      </c>
      <c r="F552" s="32" t="s">
        <v>124</v>
      </c>
      <c r="G552" s="32" t="s">
        <v>5036</v>
      </c>
      <c r="H552" s="32" t="s">
        <v>5037</v>
      </c>
      <c r="I552" s="32">
        <v>2016</v>
      </c>
      <c r="J552" s="32" t="b">
        <v>1</v>
      </c>
    </row>
    <row r="553" spans="1:10" x14ac:dyDescent="0.15">
      <c r="A553" s="32" t="s">
        <v>6128</v>
      </c>
      <c r="B553" s="32" t="s">
        <v>6128</v>
      </c>
      <c r="C553" s="32" t="s">
        <v>1133</v>
      </c>
      <c r="D553" s="32" t="s">
        <v>5041</v>
      </c>
      <c r="E553" s="32" t="s">
        <v>5042</v>
      </c>
      <c r="F553" s="32" t="s">
        <v>422</v>
      </c>
      <c r="G553" s="32" t="s">
        <v>5043</v>
      </c>
      <c r="H553" s="32" t="e">
        <v>#N/A</v>
      </c>
      <c r="I553" s="32">
        <v>2020</v>
      </c>
      <c r="J553" s="32" t="b">
        <v>1</v>
      </c>
    </row>
    <row r="554" spans="1:10" x14ac:dyDescent="0.15">
      <c r="A554" s="32" t="s">
        <v>6129</v>
      </c>
      <c r="B554" s="32" t="s">
        <v>6129</v>
      </c>
      <c r="C554" s="32" t="s">
        <v>1133</v>
      </c>
      <c r="D554" s="32" t="s">
        <v>5047</v>
      </c>
      <c r="E554" s="32" t="s">
        <v>5048</v>
      </c>
      <c r="F554" s="32" t="s">
        <v>2193</v>
      </c>
      <c r="G554" s="32" t="s">
        <v>5049</v>
      </c>
      <c r="H554" s="32" t="s">
        <v>5050</v>
      </c>
      <c r="I554" s="32" t="e">
        <v>#N/A</v>
      </c>
      <c r="J554" s="32" t="b">
        <v>1</v>
      </c>
    </row>
    <row r="555" spans="1:10" x14ac:dyDescent="0.15">
      <c r="A555" s="32" t="s">
        <v>6130</v>
      </c>
      <c r="B555" s="32" t="s">
        <v>6130</v>
      </c>
      <c r="C555" s="32" t="s">
        <v>1133</v>
      </c>
      <c r="D555" s="32" t="s">
        <v>5054</v>
      </c>
      <c r="E555" s="32" t="s">
        <v>5055</v>
      </c>
      <c r="F555" s="32" t="s">
        <v>502</v>
      </c>
      <c r="G555" s="32" t="s">
        <v>5056</v>
      </c>
      <c r="H555" s="32" t="s">
        <v>5057</v>
      </c>
      <c r="I555" s="32">
        <v>2020</v>
      </c>
      <c r="J555" s="32" t="b">
        <v>1</v>
      </c>
    </row>
    <row r="556" spans="1:10" x14ac:dyDescent="0.15">
      <c r="A556" s="32" t="s">
        <v>6131</v>
      </c>
      <c r="B556" s="32" t="s">
        <v>6131</v>
      </c>
      <c r="C556" s="32" t="s">
        <v>1133</v>
      </c>
      <c r="D556" s="32" t="s">
        <v>5061</v>
      </c>
      <c r="E556" s="32" t="s">
        <v>5062</v>
      </c>
      <c r="F556" s="32" t="s">
        <v>863</v>
      </c>
      <c r="G556" s="32" t="s">
        <v>5063</v>
      </c>
      <c r="H556" s="32" t="s">
        <v>5064</v>
      </c>
      <c r="I556" s="32">
        <v>2022</v>
      </c>
      <c r="J556" s="32" t="b">
        <v>1</v>
      </c>
    </row>
    <row r="557" spans="1:10" x14ac:dyDescent="0.15">
      <c r="A557" s="32" t="s">
        <v>6132</v>
      </c>
      <c r="B557" s="32" t="s">
        <v>6132</v>
      </c>
      <c r="C557" s="32" t="s">
        <v>1133</v>
      </c>
      <c r="D557" s="32" t="s">
        <v>5068</v>
      </c>
      <c r="E557" s="32" t="s">
        <v>5069</v>
      </c>
      <c r="F557" s="32" t="s">
        <v>2164</v>
      </c>
      <c r="G557" s="32" t="s">
        <v>5070</v>
      </c>
      <c r="H557" s="32" t="s">
        <v>5071</v>
      </c>
      <c r="I557" s="32">
        <v>2020</v>
      </c>
      <c r="J557" s="32" t="b">
        <v>1</v>
      </c>
    </row>
    <row r="558" spans="1:10" x14ac:dyDescent="0.15">
      <c r="A558" s="32" t="s">
        <v>6133</v>
      </c>
      <c r="B558" s="32" t="s">
        <v>6133</v>
      </c>
      <c r="C558" s="32" t="s">
        <v>1133</v>
      </c>
      <c r="D558" s="32" t="s">
        <v>5075</v>
      </c>
      <c r="E558" s="32" t="s">
        <v>5076</v>
      </c>
      <c r="F558" s="32" t="s">
        <v>68</v>
      </c>
      <c r="G558" s="32" t="s">
        <v>5077</v>
      </c>
      <c r="H558" s="32" t="s">
        <v>5078</v>
      </c>
      <c r="I558" s="32">
        <v>2021</v>
      </c>
      <c r="J558" s="32" t="b">
        <v>1</v>
      </c>
    </row>
    <row r="559" spans="1:10" x14ac:dyDescent="0.15">
      <c r="A559" s="32" t="s">
        <v>6134</v>
      </c>
      <c r="B559" s="32" t="s">
        <v>6134</v>
      </c>
      <c r="C559" s="32" t="s">
        <v>1133</v>
      </c>
      <c r="D559" s="32" t="s">
        <v>5082</v>
      </c>
      <c r="E559" s="32" t="s">
        <v>5083</v>
      </c>
      <c r="F559" s="32" t="s">
        <v>68</v>
      </c>
      <c r="G559" s="32" t="s">
        <v>5084</v>
      </c>
      <c r="H559" s="32" t="s">
        <v>5085</v>
      </c>
      <c r="I559" s="32">
        <v>2022</v>
      </c>
      <c r="J559" s="32" t="b">
        <v>1</v>
      </c>
    </row>
    <row r="560" spans="1:10" x14ac:dyDescent="0.15">
      <c r="A560" s="32" t="s">
        <v>6135</v>
      </c>
      <c r="B560" s="32" t="s">
        <v>6135</v>
      </c>
      <c r="C560" s="32" t="s">
        <v>1133</v>
      </c>
      <c r="D560" s="32" t="s">
        <v>5089</v>
      </c>
      <c r="E560" s="32" t="s">
        <v>5090</v>
      </c>
      <c r="F560" s="32" t="s">
        <v>2044</v>
      </c>
      <c r="G560" s="32" t="s">
        <v>5091</v>
      </c>
      <c r="H560" s="32" t="s">
        <v>5092</v>
      </c>
      <c r="I560" s="32">
        <v>2020</v>
      </c>
      <c r="J560" s="32" t="b">
        <v>1</v>
      </c>
    </row>
    <row r="561" spans="1:10" x14ac:dyDescent="0.15">
      <c r="A561" s="32" t="s">
        <v>6136</v>
      </c>
      <c r="B561" s="32" t="s">
        <v>6136</v>
      </c>
      <c r="C561" s="32" t="s">
        <v>1133</v>
      </c>
      <c r="D561" s="32" t="s">
        <v>5096</v>
      </c>
      <c r="E561" s="32" t="s">
        <v>5097</v>
      </c>
      <c r="F561" s="32" t="s">
        <v>882</v>
      </c>
      <c r="G561" s="32" t="s">
        <v>5098</v>
      </c>
      <c r="H561" s="32" t="s">
        <v>1460</v>
      </c>
      <c r="I561" s="32">
        <v>2019</v>
      </c>
      <c r="J561" s="32" t="b">
        <v>1</v>
      </c>
    </row>
    <row r="562" spans="1:10" x14ac:dyDescent="0.15">
      <c r="A562" s="32" t="s">
        <v>6137</v>
      </c>
      <c r="B562" s="32" t="s">
        <v>6137</v>
      </c>
      <c r="C562" s="32" t="s">
        <v>1133</v>
      </c>
      <c r="D562" s="32" t="s">
        <v>5102</v>
      </c>
      <c r="E562" s="32" t="s">
        <v>5103</v>
      </c>
      <c r="F562" s="32" t="s">
        <v>5104</v>
      </c>
      <c r="G562" s="32" t="s">
        <v>5105</v>
      </c>
      <c r="H562" s="32" t="s">
        <v>5106</v>
      </c>
      <c r="I562" s="32">
        <v>2013</v>
      </c>
      <c r="J562" s="32" t="b">
        <v>1</v>
      </c>
    </row>
    <row r="563" spans="1:10" x14ac:dyDescent="0.15">
      <c r="A563" s="32" t="s">
        <v>6138</v>
      </c>
      <c r="B563" s="32" t="s">
        <v>6138</v>
      </c>
      <c r="C563" s="32" t="s">
        <v>1133</v>
      </c>
      <c r="D563" s="32" t="s">
        <v>5110</v>
      </c>
      <c r="E563" s="32" t="s">
        <v>5111</v>
      </c>
      <c r="F563" s="32" t="s">
        <v>5112</v>
      </c>
      <c r="G563" s="32" t="s">
        <v>5113</v>
      </c>
      <c r="H563" s="32" t="e">
        <v>#N/A</v>
      </c>
      <c r="I563" s="32">
        <v>2013</v>
      </c>
      <c r="J563" s="32" t="b">
        <v>0</v>
      </c>
    </row>
    <row r="564" spans="1:10" x14ac:dyDescent="0.15">
      <c r="A564" s="32" t="s">
        <v>6139</v>
      </c>
      <c r="B564" s="32" t="s">
        <v>6139</v>
      </c>
      <c r="C564" s="32" t="s">
        <v>1133</v>
      </c>
      <c r="D564" s="32" t="s">
        <v>5117</v>
      </c>
      <c r="E564" s="32" t="s">
        <v>5118</v>
      </c>
      <c r="F564" s="32" t="s">
        <v>68</v>
      </c>
      <c r="G564" s="32" t="s">
        <v>5119</v>
      </c>
      <c r="H564" s="32" t="s">
        <v>5120</v>
      </c>
      <c r="I564" s="32">
        <v>2022</v>
      </c>
      <c r="J564" s="32" t="b">
        <v>1</v>
      </c>
    </row>
    <row r="565" spans="1:10" x14ac:dyDescent="0.15">
      <c r="A565" s="32" t="s">
        <v>6140</v>
      </c>
      <c r="B565" s="32" t="s">
        <v>6140</v>
      </c>
      <c r="C565" s="32" t="s">
        <v>1133</v>
      </c>
      <c r="D565" s="32" t="s">
        <v>5124</v>
      </c>
      <c r="E565" s="32" t="s">
        <v>5125</v>
      </c>
      <c r="F565" s="32" t="s">
        <v>2193</v>
      </c>
      <c r="G565" s="32" t="s">
        <v>5126</v>
      </c>
      <c r="H565" s="32" t="s">
        <v>5127</v>
      </c>
      <c r="I565" s="32">
        <v>2021</v>
      </c>
      <c r="J565" s="32" t="b">
        <v>1</v>
      </c>
    </row>
    <row r="566" spans="1:10" x14ac:dyDescent="0.15">
      <c r="A566" s="32" t="s">
        <v>6141</v>
      </c>
      <c r="B566" s="32" t="s">
        <v>6141</v>
      </c>
      <c r="C566" s="32" t="s">
        <v>1133</v>
      </c>
      <c r="D566" s="32" t="s">
        <v>1415</v>
      </c>
      <c r="E566" s="32" t="s">
        <v>5131</v>
      </c>
      <c r="F566" s="32" t="s">
        <v>68</v>
      </c>
      <c r="G566" s="32" t="s">
        <v>5132</v>
      </c>
      <c r="H566" s="32" t="s">
        <v>3487</v>
      </c>
      <c r="I566" s="32">
        <v>2021</v>
      </c>
      <c r="J566" s="32" t="b">
        <v>1</v>
      </c>
    </row>
    <row r="567" spans="1:10" x14ac:dyDescent="0.15">
      <c r="A567" s="32" t="s">
        <v>6142</v>
      </c>
      <c r="B567" s="32" t="s">
        <v>6142</v>
      </c>
      <c r="C567" s="32" t="s">
        <v>1133</v>
      </c>
      <c r="D567" s="32" t="s">
        <v>5136</v>
      </c>
      <c r="E567" s="32" t="s">
        <v>5137</v>
      </c>
      <c r="F567" s="32" t="s">
        <v>422</v>
      </c>
      <c r="G567" s="32" t="s">
        <v>5138</v>
      </c>
      <c r="H567" s="32" t="s">
        <v>5139</v>
      </c>
      <c r="I567" s="32">
        <v>2017</v>
      </c>
      <c r="J567" s="32" t="b">
        <v>1</v>
      </c>
    </row>
    <row r="568" spans="1:10" x14ac:dyDescent="0.15">
      <c r="A568" s="32" t="s">
        <v>6143</v>
      </c>
      <c r="B568" s="32" t="s">
        <v>6143</v>
      </c>
      <c r="C568" s="32" t="s">
        <v>1133</v>
      </c>
      <c r="D568" s="32" t="s">
        <v>5143</v>
      </c>
      <c r="E568" s="32" t="s">
        <v>5144</v>
      </c>
      <c r="F568" s="32" t="s">
        <v>882</v>
      </c>
      <c r="G568" s="32" t="s">
        <v>5145</v>
      </c>
      <c r="H568" s="32" t="s">
        <v>3487</v>
      </c>
      <c r="I568" s="32">
        <v>2020</v>
      </c>
      <c r="J568" s="32" t="b">
        <v>1</v>
      </c>
    </row>
    <row r="569" spans="1:10" x14ac:dyDescent="0.15">
      <c r="A569" s="32" t="s">
        <v>6144</v>
      </c>
      <c r="B569" s="32" t="s">
        <v>6144</v>
      </c>
      <c r="C569" s="32" t="s">
        <v>1133</v>
      </c>
      <c r="D569" s="32" t="s">
        <v>5150</v>
      </c>
      <c r="E569" s="32" t="s">
        <v>5151</v>
      </c>
      <c r="F569" s="32" t="s">
        <v>863</v>
      </c>
      <c r="G569" s="32" t="s">
        <v>5152</v>
      </c>
      <c r="H569" s="32" t="s">
        <v>5153</v>
      </c>
      <c r="I569" s="32">
        <v>2017</v>
      </c>
      <c r="J569" s="32" t="b">
        <v>0</v>
      </c>
    </row>
    <row r="570" spans="1:10" x14ac:dyDescent="0.15">
      <c r="A570" s="32" t="s">
        <v>6145</v>
      </c>
      <c r="B570" s="32" t="s">
        <v>6145</v>
      </c>
      <c r="C570" s="32" t="s">
        <v>1133</v>
      </c>
      <c r="D570" s="32" t="s">
        <v>5157</v>
      </c>
      <c r="E570" s="32" t="s">
        <v>5158</v>
      </c>
      <c r="F570" s="32" t="s">
        <v>68</v>
      </c>
      <c r="G570" s="32" t="s">
        <v>5159</v>
      </c>
      <c r="H570" s="32" t="s">
        <v>5160</v>
      </c>
      <c r="I570" s="32">
        <v>2022</v>
      </c>
      <c r="J570" s="32" t="b">
        <v>1</v>
      </c>
    </row>
    <row r="571" spans="1:10" x14ac:dyDescent="0.15">
      <c r="A571" s="32" t="s">
        <v>6146</v>
      </c>
      <c r="B571" s="32" t="s">
        <v>6146</v>
      </c>
      <c r="C571" s="32" t="s">
        <v>1133</v>
      </c>
      <c r="D571" s="32" t="s">
        <v>5164</v>
      </c>
      <c r="E571" s="32" t="s">
        <v>5165</v>
      </c>
      <c r="F571" s="32" t="s">
        <v>68</v>
      </c>
      <c r="G571" s="32" t="s">
        <v>5166</v>
      </c>
      <c r="H571" s="32" t="e">
        <v>#N/A</v>
      </c>
      <c r="I571" s="32">
        <v>2022</v>
      </c>
      <c r="J571" s="32" t="b">
        <v>1</v>
      </c>
    </row>
    <row r="572" spans="1:10" x14ac:dyDescent="0.15">
      <c r="A572" s="32" t="s">
        <v>6147</v>
      </c>
      <c r="B572" s="32" t="s">
        <v>6147</v>
      </c>
      <c r="C572" s="32" t="s">
        <v>1133</v>
      </c>
      <c r="D572" s="32" t="s">
        <v>5170</v>
      </c>
      <c r="E572" s="32" t="s">
        <v>5171</v>
      </c>
      <c r="F572" s="32" t="s">
        <v>5172</v>
      </c>
      <c r="G572" s="32" t="s">
        <v>5173</v>
      </c>
      <c r="H572" s="32" t="s">
        <v>5174</v>
      </c>
      <c r="I572" s="32">
        <v>2022</v>
      </c>
      <c r="J572" s="32" t="b">
        <v>0</v>
      </c>
    </row>
    <row r="573" spans="1:10" x14ac:dyDescent="0.15">
      <c r="A573" s="32" t="s">
        <v>6148</v>
      </c>
      <c r="B573" s="32" t="s">
        <v>6148</v>
      </c>
      <c r="C573" s="32" t="s">
        <v>1133</v>
      </c>
      <c r="D573" s="32" t="s">
        <v>5178</v>
      </c>
      <c r="E573" s="32" t="s">
        <v>5179</v>
      </c>
      <c r="F573" s="32" t="s">
        <v>882</v>
      </c>
      <c r="G573" s="32" t="s">
        <v>5180</v>
      </c>
      <c r="H573" s="32" t="s">
        <v>5181</v>
      </c>
      <c r="I573" s="32">
        <v>2018</v>
      </c>
      <c r="J573" s="32" t="b">
        <v>1</v>
      </c>
    </row>
    <row r="574" spans="1:10" x14ac:dyDescent="0.15">
      <c r="A574" s="32" t="s">
        <v>6149</v>
      </c>
      <c r="B574" s="32" t="s">
        <v>6149</v>
      </c>
      <c r="C574" s="32" t="s">
        <v>1133</v>
      </c>
      <c r="D574" s="32" t="s">
        <v>5185</v>
      </c>
      <c r="E574" s="32" t="s">
        <v>5186</v>
      </c>
      <c r="F574" s="32" t="s">
        <v>422</v>
      </c>
      <c r="G574" s="32" t="s">
        <v>5187</v>
      </c>
      <c r="H574" s="32" t="s">
        <v>5188</v>
      </c>
      <c r="I574" s="32">
        <v>2021</v>
      </c>
      <c r="J574" s="32" t="b">
        <v>1</v>
      </c>
    </row>
    <row r="575" spans="1:10" x14ac:dyDescent="0.15">
      <c r="A575" s="32" t="s">
        <v>6150</v>
      </c>
      <c r="B575" s="32" t="s">
        <v>6150</v>
      </c>
      <c r="C575" s="32" t="s">
        <v>1133</v>
      </c>
      <c r="D575" s="32" t="s">
        <v>5192</v>
      </c>
      <c r="E575" s="32" t="s">
        <v>5193</v>
      </c>
      <c r="F575" s="32" t="s">
        <v>68</v>
      </c>
      <c r="G575" s="32" t="s">
        <v>5194</v>
      </c>
      <c r="H575" s="32" t="s">
        <v>5195</v>
      </c>
      <c r="I575" s="32">
        <v>2022</v>
      </c>
      <c r="J575" s="32" t="b">
        <v>1</v>
      </c>
    </row>
    <row r="576" spans="1:10" x14ac:dyDescent="0.15">
      <c r="A576" s="32" t="s">
        <v>6151</v>
      </c>
      <c r="B576" s="32" t="s">
        <v>6151</v>
      </c>
      <c r="C576" s="32" t="s">
        <v>1133</v>
      </c>
      <c r="D576" s="32" t="s">
        <v>5199</v>
      </c>
      <c r="E576" s="32" t="s">
        <v>5200</v>
      </c>
      <c r="F576" s="32" t="s">
        <v>68</v>
      </c>
      <c r="G576" s="32" t="s">
        <v>5201</v>
      </c>
      <c r="H576" s="32" t="s">
        <v>5202</v>
      </c>
      <c r="I576" s="32">
        <v>2020</v>
      </c>
      <c r="J576" s="32" t="b">
        <v>1</v>
      </c>
    </row>
    <row r="577" spans="1:10" x14ac:dyDescent="0.15">
      <c r="A577" s="32" t="s">
        <v>6152</v>
      </c>
      <c r="B577" s="32" t="s">
        <v>6152</v>
      </c>
      <c r="C577" s="32" t="s">
        <v>1133</v>
      </c>
      <c r="D577" s="32" t="s">
        <v>5206</v>
      </c>
      <c r="E577" s="32" t="s">
        <v>5207</v>
      </c>
      <c r="F577" s="32" t="s">
        <v>5208</v>
      </c>
      <c r="G577" s="32" t="s">
        <v>5209</v>
      </c>
      <c r="H577" s="32" t="s">
        <v>5210</v>
      </c>
      <c r="I577" s="32">
        <v>2013</v>
      </c>
      <c r="J577" s="32" t="b">
        <v>0</v>
      </c>
    </row>
    <row r="578" spans="1:10" x14ac:dyDescent="0.15">
      <c r="A578" s="32" t="s">
        <v>6153</v>
      </c>
      <c r="B578" s="32" t="s">
        <v>6153</v>
      </c>
      <c r="C578" s="32" t="s">
        <v>1133</v>
      </c>
      <c r="D578" s="32" t="s">
        <v>5214</v>
      </c>
      <c r="E578" s="32" t="s">
        <v>5215</v>
      </c>
      <c r="F578" s="32" t="s">
        <v>849</v>
      </c>
      <c r="G578" s="32" t="s">
        <v>5216</v>
      </c>
      <c r="H578" s="32" t="s">
        <v>5217</v>
      </c>
      <c r="I578" s="32">
        <v>2021</v>
      </c>
      <c r="J578" s="32" t="b">
        <v>1</v>
      </c>
    </row>
    <row r="579" spans="1:10" x14ac:dyDescent="0.15">
      <c r="A579" s="32" t="s">
        <v>6154</v>
      </c>
      <c r="B579" s="32" t="s">
        <v>6154</v>
      </c>
      <c r="C579" s="32" t="s">
        <v>1133</v>
      </c>
      <c r="D579" s="32" t="s">
        <v>3771</v>
      </c>
      <c r="E579" s="32" t="s">
        <v>5220</v>
      </c>
      <c r="F579" s="32" t="s">
        <v>328</v>
      </c>
      <c r="G579" s="32" t="s">
        <v>5221</v>
      </c>
      <c r="H579" s="32" t="s">
        <v>3487</v>
      </c>
      <c r="I579" s="32">
        <v>2019</v>
      </c>
      <c r="J579" s="32" t="b">
        <v>1</v>
      </c>
    </row>
    <row r="580" spans="1:10" x14ac:dyDescent="0.15">
      <c r="A580" s="32" t="s">
        <v>6155</v>
      </c>
      <c r="B580" s="32" t="s">
        <v>6155</v>
      </c>
      <c r="C580" s="32" t="s">
        <v>1133</v>
      </c>
      <c r="D580" s="32" t="s">
        <v>5225</v>
      </c>
      <c r="E580" s="32" t="s">
        <v>5226</v>
      </c>
      <c r="F580" s="32" t="s">
        <v>882</v>
      </c>
      <c r="G580" s="32" t="s">
        <v>5227</v>
      </c>
      <c r="H580" s="32" t="e">
        <v>#N/A</v>
      </c>
      <c r="I580" s="32">
        <v>2016</v>
      </c>
      <c r="J580" s="32" t="b">
        <v>1</v>
      </c>
    </row>
    <row r="581" spans="1:10" x14ac:dyDescent="0.15">
      <c r="A581" s="32" t="s">
        <v>6156</v>
      </c>
      <c r="B581" s="32" t="s">
        <v>6156</v>
      </c>
      <c r="C581" s="32" t="s">
        <v>1133</v>
      </c>
      <c r="D581" s="32" t="s">
        <v>5232</v>
      </c>
      <c r="E581" s="32" t="s">
        <v>5233</v>
      </c>
      <c r="F581" s="32" t="s">
        <v>422</v>
      </c>
      <c r="G581" s="32" t="s">
        <v>5234</v>
      </c>
      <c r="H581" s="32" t="s">
        <v>5235</v>
      </c>
      <c r="I581" s="32">
        <v>2022</v>
      </c>
      <c r="J581" s="32" t="b">
        <v>0</v>
      </c>
    </row>
    <row r="582" spans="1:10" x14ac:dyDescent="0.15">
      <c r="A582" s="32" t="s">
        <v>6157</v>
      </c>
      <c r="B582" s="32" t="s">
        <v>6157</v>
      </c>
      <c r="C582" s="32" t="s">
        <v>1133</v>
      </c>
      <c r="D582" s="32" t="s">
        <v>5239</v>
      </c>
      <c r="E582" s="32" t="s">
        <v>5240</v>
      </c>
      <c r="F582" s="32" t="s">
        <v>328</v>
      </c>
      <c r="G582" s="32" t="s">
        <v>5241</v>
      </c>
      <c r="H582" s="32" t="e">
        <v>#N/A</v>
      </c>
      <c r="I582" s="32">
        <v>2019</v>
      </c>
      <c r="J582" s="32" t="b">
        <v>1</v>
      </c>
    </row>
    <row r="583" spans="1:10" x14ac:dyDescent="0.15">
      <c r="A583" s="32" t="s">
        <v>6158</v>
      </c>
      <c r="B583" s="32" t="s">
        <v>6158</v>
      </c>
      <c r="C583" s="32" t="s">
        <v>1133</v>
      </c>
      <c r="D583" s="32" t="s">
        <v>5245</v>
      </c>
      <c r="E583" s="32" t="s">
        <v>5246</v>
      </c>
      <c r="F583" s="32" t="s">
        <v>2044</v>
      </c>
      <c r="G583" s="32" t="s">
        <v>5247</v>
      </c>
      <c r="H583" s="32" t="s">
        <v>5248</v>
      </c>
      <c r="I583" s="32">
        <v>2021</v>
      </c>
      <c r="J583" s="32" t="b">
        <v>1</v>
      </c>
    </row>
    <row r="584" spans="1:10" x14ac:dyDescent="0.15">
      <c r="A584" s="32" t="s">
        <v>6159</v>
      </c>
      <c r="B584" s="32" t="s">
        <v>6159</v>
      </c>
      <c r="C584" s="32" t="s">
        <v>1133</v>
      </c>
      <c r="D584" s="32" t="s">
        <v>5252</v>
      </c>
      <c r="E584" s="32" t="s">
        <v>5253</v>
      </c>
      <c r="F584" s="32" t="s">
        <v>68</v>
      </c>
      <c r="G584" s="32" t="s">
        <v>5254</v>
      </c>
      <c r="H584" s="32" t="s">
        <v>5255</v>
      </c>
      <c r="I584" s="32">
        <v>2021</v>
      </c>
      <c r="J584" s="32" t="b">
        <v>1</v>
      </c>
    </row>
    <row r="585" spans="1:10" x14ac:dyDescent="0.15">
      <c r="A585" s="32" t="s">
        <v>6160</v>
      </c>
      <c r="B585" s="32" t="s">
        <v>6160</v>
      </c>
      <c r="C585" s="32" t="s">
        <v>1133</v>
      </c>
      <c r="D585" s="32" t="s">
        <v>5259</v>
      </c>
      <c r="E585" s="32" t="s">
        <v>5260</v>
      </c>
      <c r="F585" s="32" t="s">
        <v>124</v>
      </c>
      <c r="G585" s="32" t="s">
        <v>5261</v>
      </c>
      <c r="H585" s="32" t="s">
        <v>5262</v>
      </c>
      <c r="I585" s="32">
        <v>2020</v>
      </c>
      <c r="J585" s="32" t="b">
        <v>1</v>
      </c>
    </row>
    <row r="586" spans="1:10" x14ac:dyDescent="0.15">
      <c r="A586" s="32" t="s">
        <v>6161</v>
      </c>
      <c r="B586" s="32" t="s">
        <v>6161</v>
      </c>
      <c r="C586" s="32" t="s">
        <v>1133</v>
      </c>
      <c r="D586" s="32" t="s">
        <v>5266</v>
      </c>
      <c r="E586" s="32" t="s">
        <v>5267</v>
      </c>
      <c r="F586" s="32" t="s">
        <v>228</v>
      </c>
      <c r="G586" s="32" t="s">
        <v>5268</v>
      </c>
      <c r="H586" s="32" t="s">
        <v>5269</v>
      </c>
      <c r="I586" s="32">
        <v>2017</v>
      </c>
      <c r="J586" s="32" t="b">
        <v>0</v>
      </c>
    </row>
    <row r="587" spans="1:10" x14ac:dyDescent="0.15">
      <c r="A587" s="32" t="s">
        <v>6162</v>
      </c>
      <c r="B587" s="32" t="s">
        <v>6162</v>
      </c>
      <c r="C587" s="32" t="s">
        <v>1133</v>
      </c>
      <c r="D587" s="32" t="s">
        <v>5274</v>
      </c>
      <c r="E587" s="32" t="s">
        <v>5275</v>
      </c>
      <c r="F587" s="32" t="s">
        <v>882</v>
      </c>
      <c r="G587" s="32" t="s">
        <v>5276</v>
      </c>
      <c r="H587" s="32" t="s">
        <v>5277</v>
      </c>
      <c r="I587" s="32">
        <v>2020</v>
      </c>
      <c r="J587" s="32" t="b">
        <v>1</v>
      </c>
    </row>
    <row r="588" spans="1:10" x14ac:dyDescent="0.15">
      <c r="A588" s="32" t="s">
        <v>6163</v>
      </c>
      <c r="B588" s="32" t="s">
        <v>6163</v>
      </c>
      <c r="C588" s="32" t="s">
        <v>1133</v>
      </c>
      <c r="D588" s="32" t="s">
        <v>5281</v>
      </c>
      <c r="E588" s="32" t="s">
        <v>5282</v>
      </c>
      <c r="F588" s="32" t="s">
        <v>5283</v>
      </c>
      <c r="G588" s="32" t="s">
        <v>5284</v>
      </c>
      <c r="H588" s="32" t="s">
        <v>5285</v>
      </c>
      <c r="I588" s="32">
        <v>2014</v>
      </c>
      <c r="J588" s="32" t="b">
        <v>0</v>
      </c>
    </row>
    <row r="589" spans="1:10" x14ac:dyDescent="0.15">
      <c r="A589" s="32" t="s">
        <v>6164</v>
      </c>
      <c r="B589" s="32" t="s">
        <v>6164</v>
      </c>
      <c r="C589" s="32" t="s">
        <v>1133</v>
      </c>
      <c r="D589" s="32" t="s">
        <v>5289</v>
      </c>
      <c r="E589" s="32" t="s">
        <v>5290</v>
      </c>
      <c r="F589" s="32" t="s">
        <v>2051</v>
      </c>
      <c r="G589" s="32" t="s">
        <v>5291</v>
      </c>
      <c r="H589" s="32" t="s">
        <v>5292</v>
      </c>
      <c r="I589" s="32">
        <v>2022</v>
      </c>
      <c r="J589" s="32" t="b">
        <v>1</v>
      </c>
    </row>
    <row r="590" spans="1:10" x14ac:dyDescent="0.15">
      <c r="A590" s="32" t="s">
        <v>6165</v>
      </c>
      <c r="B590" s="32" t="s">
        <v>6165</v>
      </c>
      <c r="C590" s="32" t="s">
        <v>1133</v>
      </c>
      <c r="D590" s="32" t="s">
        <v>5296</v>
      </c>
      <c r="E590" s="32" t="s">
        <v>5297</v>
      </c>
      <c r="F590" s="32" t="s">
        <v>2459</v>
      </c>
      <c r="G590" s="32" t="s">
        <v>5298</v>
      </c>
      <c r="H590" s="32" t="s">
        <v>5299</v>
      </c>
      <c r="I590" s="32">
        <v>2018</v>
      </c>
      <c r="J590" s="32" t="b">
        <v>1</v>
      </c>
    </row>
    <row r="591" spans="1:10" x14ac:dyDescent="0.15">
      <c r="A591" s="32" t="s">
        <v>6166</v>
      </c>
      <c r="B591" s="32" t="s">
        <v>6166</v>
      </c>
      <c r="C591" s="32" t="s">
        <v>1133</v>
      </c>
      <c r="D591" s="32" t="s">
        <v>5303</v>
      </c>
      <c r="E591" s="32" t="s">
        <v>5304</v>
      </c>
      <c r="F591" s="32" t="s">
        <v>2051</v>
      </c>
      <c r="G591" s="32" t="s">
        <v>5305</v>
      </c>
      <c r="H591" s="32" t="s">
        <v>5306</v>
      </c>
      <c r="I591" s="32">
        <v>2020</v>
      </c>
      <c r="J591" s="32" t="b">
        <v>1</v>
      </c>
    </row>
    <row r="592" spans="1:10" x14ac:dyDescent="0.15">
      <c r="A592" s="32" t="s">
        <v>6167</v>
      </c>
      <c r="B592" s="32" t="s">
        <v>6167</v>
      </c>
      <c r="C592" s="32" t="s">
        <v>1133</v>
      </c>
      <c r="D592" s="32" t="s">
        <v>5310</v>
      </c>
      <c r="E592" s="32" t="s">
        <v>5311</v>
      </c>
      <c r="F592" s="32" t="s">
        <v>1743</v>
      </c>
      <c r="G592" s="32" t="s">
        <v>5312</v>
      </c>
      <c r="H592" s="32" t="s">
        <v>5313</v>
      </c>
      <c r="I592" s="32">
        <v>2021</v>
      </c>
      <c r="J592" s="32" t="b">
        <v>1</v>
      </c>
    </row>
    <row r="593" spans="1:10" x14ac:dyDescent="0.15">
      <c r="A593" s="32" t="s">
        <v>6168</v>
      </c>
      <c r="B593" s="32" t="s">
        <v>6168</v>
      </c>
      <c r="C593" s="32" t="s">
        <v>1133</v>
      </c>
      <c r="D593" s="32" t="s">
        <v>5239</v>
      </c>
      <c r="E593" s="32" t="s">
        <v>5316</v>
      </c>
      <c r="F593" s="32" t="s">
        <v>882</v>
      </c>
      <c r="G593" s="32" t="s">
        <v>5317</v>
      </c>
      <c r="H593" s="32" t="s">
        <v>5318</v>
      </c>
      <c r="I593" s="32">
        <v>2019</v>
      </c>
      <c r="J593" s="32" t="b">
        <v>1</v>
      </c>
    </row>
    <row r="594" spans="1:10" x14ac:dyDescent="0.15">
      <c r="A594" s="32" t="s">
        <v>6169</v>
      </c>
      <c r="B594" s="32" t="s">
        <v>6169</v>
      </c>
      <c r="C594" s="32" t="s">
        <v>1133</v>
      </c>
      <c r="D594" s="32" t="s">
        <v>5323</v>
      </c>
      <c r="E594" s="32" t="s">
        <v>5324</v>
      </c>
      <c r="F594" s="32" t="s">
        <v>3138</v>
      </c>
      <c r="G594" s="32" t="s">
        <v>5325</v>
      </c>
      <c r="H594" s="32" t="s">
        <v>2817</v>
      </c>
      <c r="I594" s="32">
        <v>2020</v>
      </c>
      <c r="J594" s="32" t="b">
        <v>1</v>
      </c>
    </row>
    <row r="595" spans="1:10" x14ac:dyDescent="0.15">
      <c r="A595" s="32" t="s">
        <v>6170</v>
      </c>
      <c r="B595" s="32" t="s">
        <v>6170</v>
      </c>
      <c r="C595" s="32" t="s">
        <v>1133</v>
      </c>
      <c r="D595" s="32" t="s">
        <v>5329</v>
      </c>
      <c r="E595" s="32" t="s">
        <v>5330</v>
      </c>
      <c r="F595" s="32" t="s">
        <v>882</v>
      </c>
      <c r="G595" s="32" t="s">
        <v>5331</v>
      </c>
      <c r="H595" s="32" t="s">
        <v>1346</v>
      </c>
      <c r="I595" s="32">
        <v>2020</v>
      </c>
      <c r="J595" s="32" t="b">
        <v>1</v>
      </c>
    </row>
    <row r="596" spans="1:10" x14ac:dyDescent="0.15">
      <c r="A596" s="32" t="s">
        <v>6171</v>
      </c>
      <c r="B596" s="32" t="s">
        <v>6171</v>
      </c>
      <c r="C596" s="32" t="s">
        <v>1133</v>
      </c>
      <c r="D596" s="32" t="s">
        <v>5336</v>
      </c>
      <c r="E596" s="32" t="s">
        <v>5337</v>
      </c>
      <c r="F596" s="32" t="s">
        <v>882</v>
      </c>
      <c r="G596" s="32" t="s">
        <v>5338</v>
      </c>
      <c r="H596" s="32" t="s">
        <v>5339</v>
      </c>
      <c r="I596" s="32">
        <v>2018</v>
      </c>
      <c r="J596" s="32" t="b">
        <v>1</v>
      </c>
    </row>
    <row r="597" spans="1:10" x14ac:dyDescent="0.15">
      <c r="A597" s="32" t="s">
        <v>6172</v>
      </c>
      <c r="B597" s="32" t="s">
        <v>6172</v>
      </c>
      <c r="C597" s="32" t="s">
        <v>1133</v>
      </c>
      <c r="D597" s="32" t="s">
        <v>5343</v>
      </c>
      <c r="E597" s="32" t="s">
        <v>5344</v>
      </c>
      <c r="F597" s="32" t="s">
        <v>1507</v>
      </c>
      <c r="G597" s="32" t="s">
        <v>5345</v>
      </c>
      <c r="H597" s="32" t="s">
        <v>5346</v>
      </c>
      <c r="I597" s="32">
        <v>2020</v>
      </c>
      <c r="J597" s="32" t="b">
        <v>1</v>
      </c>
    </row>
    <row r="598" spans="1:10" x14ac:dyDescent="0.15">
      <c r="A598" s="32" t="s">
        <v>6173</v>
      </c>
      <c r="B598" s="32" t="s">
        <v>6173</v>
      </c>
      <c r="C598" s="32" t="s">
        <v>1133</v>
      </c>
      <c r="D598" s="32" t="s">
        <v>5350</v>
      </c>
      <c r="E598" s="32" t="s">
        <v>5351</v>
      </c>
      <c r="F598" s="32" t="s">
        <v>849</v>
      </c>
      <c r="G598" s="32" t="s">
        <v>5352</v>
      </c>
      <c r="H598" s="32" t="e">
        <v>#N/A</v>
      </c>
      <c r="I598" s="32">
        <v>2022</v>
      </c>
      <c r="J598" s="32" t="b">
        <v>1</v>
      </c>
    </row>
    <row r="599" spans="1:10" x14ac:dyDescent="0.15">
      <c r="A599" s="32" t="s">
        <v>6174</v>
      </c>
      <c r="B599" s="32" t="s">
        <v>6174</v>
      </c>
      <c r="C599" s="32" t="s">
        <v>1133</v>
      </c>
      <c r="D599" s="32" t="s">
        <v>5356</v>
      </c>
      <c r="E599" s="32" t="s">
        <v>5357</v>
      </c>
      <c r="F599" s="32" t="s">
        <v>3138</v>
      </c>
      <c r="G599" s="32" t="s">
        <v>5358</v>
      </c>
      <c r="H599" s="32" t="e">
        <v>#N/A</v>
      </c>
      <c r="I599" s="32">
        <v>2017</v>
      </c>
      <c r="J599" s="32" t="b">
        <v>1</v>
      </c>
    </row>
    <row r="600" spans="1:10" x14ac:dyDescent="0.15">
      <c r="A600" s="32" t="s">
        <v>6175</v>
      </c>
      <c r="B600" s="32" t="s">
        <v>6175</v>
      </c>
      <c r="C600" s="32" t="s">
        <v>1133</v>
      </c>
      <c r="D600" s="32" t="s">
        <v>5362</v>
      </c>
      <c r="E600" s="32" t="s">
        <v>5363</v>
      </c>
      <c r="F600" s="32" t="s">
        <v>5364</v>
      </c>
      <c r="G600" s="32" t="s">
        <v>5365</v>
      </c>
      <c r="H600" s="32" t="e">
        <v>#N/A</v>
      </c>
      <c r="I600" s="32">
        <v>2020</v>
      </c>
      <c r="J600" s="32" t="b">
        <v>0</v>
      </c>
    </row>
    <row r="601" spans="1:10" x14ac:dyDescent="0.15">
      <c r="A601" s="32" t="s">
        <v>6176</v>
      </c>
      <c r="B601" s="32" t="s">
        <v>6176</v>
      </c>
      <c r="C601" s="32" t="s">
        <v>1133</v>
      </c>
      <c r="D601" s="32" t="s">
        <v>5369</v>
      </c>
      <c r="E601" s="32" t="s">
        <v>5370</v>
      </c>
      <c r="F601" s="32" t="s">
        <v>1743</v>
      </c>
      <c r="G601" s="32" t="s">
        <v>5371</v>
      </c>
      <c r="H601" s="32" t="s">
        <v>5372</v>
      </c>
      <c r="I601" s="32">
        <v>2022</v>
      </c>
      <c r="J601" s="32" t="b">
        <v>1</v>
      </c>
    </row>
    <row r="602" spans="1:10" x14ac:dyDescent="0.15">
      <c r="A602" s="32" t="s">
        <v>6177</v>
      </c>
      <c r="B602" s="32" t="s">
        <v>6177</v>
      </c>
      <c r="C602" s="32" t="s">
        <v>1133</v>
      </c>
      <c r="D602" s="32" t="s">
        <v>5376</v>
      </c>
      <c r="E602" s="32" t="s">
        <v>5377</v>
      </c>
      <c r="F602" s="32" t="s">
        <v>68</v>
      </c>
      <c r="G602" s="32" t="s">
        <v>5378</v>
      </c>
      <c r="H602" s="32" t="s">
        <v>5379</v>
      </c>
      <c r="I602" s="32">
        <v>2021</v>
      </c>
      <c r="J602" s="32" t="b">
        <v>1</v>
      </c>
    </row>
    <row r="603" spans="1:10" x14ac:dyDescent="0.15">
      <c r="A603" s="32" t="s">
        <v>6178</v>
      </c>
      <c r="B603" s="32" t="s">
        <v>6178</v>
      </c>
      <c r="C603" s="32" t="s">
        <v>1133</v>
      </c>
      <c r="D603" s="32" t="s">
        <v>5383</v>
      </c>
      <c r="E603" s="32" t="s">
        <v>5384</v>
      </c>
      <c r="F603" s="32" t="s">
        <v>3360</v>
      </c>
      <c r="G603" s="32" t="s">
        <v>5385</v>
      </c>
      <c r="H603" s="32" t="s">
        <v>5386</v>
      </c>
      <c r="I603" s="32">
        <v>2021</v>
      </c>
      <c r="J603" s="32" t="b">
        <v>1</v>
      </c>
    </row>
    <row r="604" spans="1:10" x14ac:dyDescent="0.15">
      <c r="A604" s="32" t="s">
        <v>6179</v>
      </c>
      <c r="B604" s="32" t="s">
        <v>6179</v>
      </c>
      <c r="C604" s="32" t="s">
        <v>1133</v>
      </c>
      <c r="D604" s="32" t="s">
        <v>5390</v>
      </c>
      <c r="E604" s="32" t="s">
        <v>5391</v>
      </c>
      <c r="F604" s="32" t="s">
        <v>3138</v>
      </c>
      <c r="G604" s="32" t="s">
        <v>5392</v>
      </c>
      <c r="H604" s="32" t="s">
        <v>5393</v>
      </c>
      <c r="I604" s="32">
        <v>2017</v>
      </c>
      <c r="J604" s="32" t="b">
        <v>1</v>
      </c>
    </row>
    <row r="605" spans="1:10" x14ac:dyDescent="0.15">
      <c r="A605" s="32" t="s">
        <v>6180</v>
      </c>
      <c r="B605" s="32" t="s">
        <v>6180</v>
      </c>
      <c r="C605" s="32" t="s">
        <v>1133</v>
      </c>
      <c r="D605" s="32" t="s">
        <v>5397</v>
      </c>
      <c r="E605" s="32" t="s">
        <v>5398</v>
      </c>
      <c r="F605" s="32" t="s">
        <v>2302</v>
      </c>
      <c r="G605" s="32" t="s">
        <v>5399</v>
      </c>
      <c r="H605" s="32" t="e">
        <v>#N/A</v>
      </c>
      <c r="I605" s="32">
        <v>2020</v>
      </c>
      <c r="J605" s="32" t="b">
        <v>1</v>
      </c>
    </row>
    <row r="606" spans="1:10" x14ac:dyDescent="0.15">
      <c r="A606" s="32" t="s">
        <v>6181</v>
      </c>
      <c r="B606" s="32" t="s">
        <v>6181</v>
      </c>
      <c r="C606" s="32" t="s">
        <v>1133</v>
      </c>
      <c r="D606" s="32" t="s">
        <v>5403</v>
      </c>
      <c r="E606" s="32" t="s">
        <v>5404</v>
      </c>
      <c r="F606" s="32" t="s">
        <v>422</v>
      </c>
      <c r="G606" s="32" t="s">
        <v>5405</v>
      </c>
      <c r="H606" s="32" t="s">
        <v>5406</v>
      </c>
      <c r="I606" s="32">
        <v>2018</v>
      </c>
      <c r="J606" s="32" t="b">
        <v>1</v>
      </c>
    </row>
    <row r="607" spans="1:10" x14ac:dyDescent="0.15">
      <c r="A607" s="32" t="s">
        <v>6182</v>
      </c>
      <c r="B607" s="32" t="s">
        <v>6182</v>
      </c>
      <c r="C607" s="32" t="s">
        <v>1133</v>
      </c>
      <c r="D607" s="32" t="s">
        <v>5410</v>
      </c>
      <c r="E607" s="32" t="s">
        <v>5411</v>
      </c>
      <c r="F607" s="32" t="s">
        <v>2051</v>
      </c>
      <c r="G607" s="32" t="s">
        <v>5412</v>
      </c>
      <c r="H607" s="32" t="s">
        <v>5413</v>
      </c>
      <c r="I607" s="32">
        <v>2021</v>
      </c>
      <c r="J607" s="32" t="b">
        <v>1</v>
      </c>
    </row>
    <row r="608" spans="1:10" x14ac:dyDescent="0.15">
      <c r="A608" s="32" t="s">
        <v>6183</v>
      </c>
      <c r="B608" s="32" t="s">
        <v>6183</v>
      </c>
      <c r="C608" s="32" t="s">
        <v>1133</v>
      </c>
      <c r="D608" s="32" t="s">
        <v>5417</v>
      </c>
      <c r="E608" s="32" t="s">
        <v>5418</v>
      </c>
      <c r="F608" s="32" t="s">
        <v>3138</v>
      </c>
      <c r="G608" s="32" t="s">
        <v>5419</v>
      </c>
      <c r="H608" s="32" t="s">
        <v>5420</v>
      </c>
      <c r="I608" s="32">
        <v>2020</v>
      </c>
      <c r="J608" s="32" t="b">
        <v>1</v>
      </c>
    </row>
    <row r="609" spans="1:10" x14ac:dyDescent="0.15">
      <c r="A609" s="32" t="s">
        <v>6184</v>
      </c>
      <c r="B609" s="32" t="s">
        <v>6184</v>
      </c>
      <c r="C609" s="32" t="s">
        <v>1133</v>
      </c>
      <c r="D609" s="32" t="s">
        <v>5424</v>
      </c>
      <c r="E609" s="32" t="s">
        <v>5425</v>
      </c>
      <c r="F609" s="32" t="s">
        <v>2302</v>
      </c>
      <c r="G609" s="32" t="s">
        <v>5426</v>
      </c>
      <c r="H609" s="32" t="s">
        <v>5427</v>
      </c>
      <c r="I609" s="32">
        <v>2020</v>
      </c>
      <c r="J609" s="32" t="b">
        <v>1</v>
      </c>
    </row>
    <row r="610" spans="1:10" x14ac:dyDescent="0.15">
      <c r="A610" s="32" t="s">
        <v>6185</v>
      </c>
      <c r="B610" s="32" t="s">
        <v>6185</v>
      </c>
      <c r="C610" s="32" t="s">
        <v>1133</v>
      </c>
      <c r="D610" s="32" t="s">
        <v>5431</v>
      </c>
      <c r="E610" s="32" t="s">
        <v>5432</v>
      </c>
      <c r="F610" s="32" t="s">
        <v>3440</v>
      </c>
      <c r="G610" s="32" t="s">
        <v>5433</v>
      </c>
      <c r="H610" s="32" t="s">
        <v>5434</v>
      </c>
      <c r="I610" s="32">
        <v>2019</v>
      </c>
      <c r="J610" s="32" t="b">
        <v>1</v>
      </c>
    </row>
    <row r="611" spans="1:10" x14ac:dyDescent="0.15">
      <c r="A611" s="32" t="s">
        <v>6186</v>
      </c>
      <c r="B611" s="32" t="s">
        <v>6186</v>
      </c>
      <c r="C611" s="32" t="s">
        <v>1133</v>
      </c>
      <c r="D611" s="32" t="s">
        <v>5438</v>
      </c>
      <c r="E611" s="32" t="s">
        <v>5439</v>
      </c>
      <c r="F611" s="32" t="s">
        <v>1771</v>
      </c>
      <c r="G611" s="32" t="s">
        <v>5440</v>
      </c>
      <c r="H611" s="32" t="s">
        <v>5441</v>
      </c>
      <c r="I611" s="32">
        <v>2022</v>
      </c>
      <c r="J611" s="32" t="b">
        <v>1</v>
      </c>
    </row>
    <row r="612" spans="1:10" x14ac:dyDescent="0.15">
      <c r="A612" s="32" t="s">
        <v>6187</v>
      </c>
      <c r="B612" s="32" t="s">
        <v>6187</v>
      </c>
      <c r="C612" s="32" t="s">
        <v>1133</v>
      </c>
      <c r="D612" s="32" t="s">
        <v>5445</v>
      </c>
      <c r="E612" s="32" t="s">
        <v>5446</v>
      </c>
      <c r="F612" s="32" t="s">
        <v>2051</v>
      </c>
      <c r="G612" s="32" t="s">
        <v>5447</v>
      </c>
      <c r="H612" s="32" t="s">
        <v>5448</v>
      </c>
      <c r="I612" s="32">
        <v>2021</v>
      </c>
      <c r="J612" s="32" t="b">
        <v>1</v>
      </c>
    </row>
    <row r="613" spans="1:10" x14ac:dyDescent="0.15">
      <c r="A613" s="32" t="s">
        <v>6188</v>
      </c>
      <c r="B613" s="32" t="s">
        <v>6188</v>
      </c>
      <c r="C613" s="32" t="s">
        <v>1133</v>
      </c>
      <c r="D613" s="32" t="s">
        <v>5452</v>
      </c>
      <c r="E613" s="32" t="s">
        <v>5453</v>
      </c>
      <c r="F613" s="32" t="s">
        <v>5454</v>
      </c>
      <c r="G613" s="32" t="s">
        <v>5455</v>
      </c>
      <c r="H613" s="32" t="e">
        <v>#N/A</v>
      </c>
      <c r="I613" s="32">
        <v>2019</v>
      </c>
      <c r="J613" s="32" t="b">
        <v>0</v>
      </c>
    </row>
    <row r="614" spans="1:10" x14ac:dyDescent="0.15">
      <c r="A614" s="32" t="s">
        <v>6189</v>
      </c>
      <c r="B614" s="32" t="s">
        <v>6189</v>
      </c>
      <c r="C614" s="32" t="s">
        <v>1133</v>
      </c>
      <c r="D614" s="32" t="s">
        <v>5459</v>
      </c>
      <c r="E614" s="32" t="s">
        <v>5460</v>
      </c>
      <c r="F614" s="32" t="s">
        <v>68</v>
      </c>
      <c r="G614" s="32" t="s">
        <v>5461</v>
      </c>
      <c r="H614" s="32" t="s">
        <v>5462</v>
      </c>
      <c r="I614" s="32">
        <v>2021</v>
      </c>
      <c r="J614" s="32" t="b">
        <v>1</v>
      </c>
    </row>
    <row r="615" spans="1:10" x14ac:dyDescent="0.15">
      <c r="A615" s="32" t="s">
        <v>6190</v>
      </c>
      <c r="B615" s="32" t="s">
        <v>6190</v>
      </c>
      <c r="C615" s="32" t="s">
        <v>1133</v>
      </c>
      <c r="D615" s="32" t="s">
        <v>5466</v>
      </c>
      <c r="E615" s="32" t="s">
        <v>5467</v>
      </c>
      <c r="F615" s="32" t="s">
        <v>328</v>
      </c>
      <c r="G615" s="32" t="s">
        <v>5468</v>
      </c>
      <c r="H615" s="32" t="e">
        <v>#N/A</v>
      </c>
      <c r="I615" s="32">
        <v>2019</v>
      </c>
      <c r="J615" s="32" t="b">
        <v>1</v>
      </c>
    </row>
    <row r="616" spans="1:10" x14ac:dyDescent="0.15">
      <c r="A616" s="32" t="s">
        <v>6191</v>
      </c>
      <c r="B616" s="32" t="s">
        <v>6191</v>
      </c>
      <c r="C616" s="32" t="s">
        <v>1133</v>
      </c>
      <c r="D616" s="32" t="s">
        <v>5472</v>
      </c>
      <c r="E616" s="32" t="s">
        <v>5473</v>
      </c>
      <c r="F616" s="32" t="s">
        <v>5208</v>
      </c>
      <c r="G616" s="32" t="s">
        <v>5474</v>
      </c>
      <c r="H616" s="32" t="e">
        <v>#N/A</v>
      </c>
      <c r="I616" s="32">
        <v>2020</v>
      </c>
      <c r="J616" s="32" t="b">
        <v>0</v>
      </c>
    </row>
    <row r="617" spans="1:10" x14ac:dyDescent="0.15">
      <c r="A617" s="32" t="s">
        <v>6192</v>
      </c>
      <c r="B617" s="32" t="s">
        <v>6192</v>
      </c>
      <c r="C617" s="32" t="s">
        <v>1133</v>
      </c>
      <c r="D617" s="32" t="s">
        <v>5478</v>
      </c>
      <c r="E617" s="32" t="s">
        <v>5479</v>
      </c>
      <c r="F617" s="32" t="s">
        <v>5104</v>
      </c>
      <c r="G617" s="32" t="s">
        <v>5480</v>
      </c>
      <c r="H617" s="32" t="s">
        <v>5481</v>
      </c>
      <c r="I617" s="32">
        <v>2022</v>
      </c>
      <c r="J617" s="32" t="b">
        <v>1</v>
      </c>
    </row>
    <row r="618" spans="1:10" x14ac:dyDescent="0.15">
      <c r="A618" s="32" t="s">
        <v>6193</v>
      </c>
      <c r="B618" s="32" t="s">
        <v>6193</v>
      </c>
      <c r="C618" s="32" t="s">
        <v>1133</v>
      </c>
      <c r="D618" s="32" t="s">
        <v>5485</v>
      </c>
      <c r="E618" s="32" t="s">
        <v>5486</v>
      </c>
      <c r="F618" s="32" t="s">
        <v>5487</v>
      </c>
      <c r="G618" s="32" t="s">
        <v>5488</v>
      </c>
      <c r="H618" s="32" t="s">
        <v>5489</v>
      </c>
      <c r="I618" s="32">
        <v>2019</v>
      </c>
      <c r="J618" s="32" t="b">
        <v>1</v>
      </c>
    </row>
    <row r="619" spans="1:10" x14ac:dyDescent="0.15">
      <c r="A619" s="32" t="s">
        <v>6194</v>
      </c>
      <c r="B619" s="32" t="s">
        <v>6194</v>
      </c>
      <c r="C619" s="32" t="s">
        <v>1133</v>
      </c>
      <c r="D619" s="32" t="s">
        <v>5494</v>
      </c>
      <c r="E619" s="32" t="s">
        <v>5495</v>
      </c>
      <c r="F619" s="32" t="s">
        <v>3138</v>
      </c>
      <c r="G619" s="32" t="s">
        <v>5496</v>
      </c>
      <c r="H619" s="32" t="s">
        <v>1259</v>
      </c>
      <c r="I619" s="32">
        <v>2019</v>
      </c>
      <c r="J619" s="32" t="b">
        <v>1</v>
      </c>
    </row>
    <row r="620" spans="1:10" x14ac:dyDescent="0.15">
      <c r="A620" s="32" t="s">
        <v>6195</v>
      </c>
      <c r="B620" s="32" t="s">
        <v>6195</v>
      </c>
      <c r="C620" s="32" t="s">
        <v>1133</v>
      </c>
      <c r="D620" s="32" t="s">
        <v>5500</v>
      </c>
      <c r="E620" s="32" t="s">
        <v>5501</v>
      </c>
      <c r="F620" s="32" t="s">
        <v>2302</v>
      </c>
      <c r="G620" s="32" t="s">
        <v>5502</v>
      </c>
      <c r="H620" s="32" t="s">
        <v>5503</v>
      </c>
      <c r="I620" s="32">
        <v>2020</v>
      </c>
      <c r="J620" s="32" t="b">
        <v>1</v>
      </c>
    </row>
    <row r="621" spans="1:10" x14ac:dyDescent="0.15">
      <c r="A621" s="32" t="s">
        <v>6196</v>
      </c>
      <c r="B621" s="32" t="s">
        <v>6196</v>
      </c>
      <c r="C621" s="32" t="s">
        <v>1133</v>
      </c>
      <c r="D621" s="32" t="s">
        <v>5507</v>
      </c>
      <c r="E621" s="32" t="s">
        <v>5508</v>
      </c>
      <c r="F621" s="32" t="s">
        <v>328</v>
      </c>
      <c r="G621" s="32" t="s">
        <v>5509</v>
      </c>
      <c r="H621" s="32" t="s">
        <v>5510</v>
      </c>
      <c r="I621" s="32">
        <v>2019</v>
      </c>
      <c r="J621" s="32" t="b">
        <v>1</v>
      </c>
    </row>
    <row r="622" spans="1:10" x14ac:dyDescent="0.15">
      <c r="A622" s="32" t="s">
        <v>6197</v>
      </c>
      <c r="B622" s="32" t="s">
        <v>6197</v>
      </c>
      <c r="C622" s="32" t="s">
        <v>1133</v>
      </c>
      <c r="D622" s="32" t="s">
        <v>5514</v>
      </c>
      <c r="E622" s="32" t="s">
        <v>5515</v>
      </c>
      <c r="F622" s="32" t="s">
        <v>5487</v>
      </c>
      <c r="G622" s="32" t="s">
        <v>5516</v>
      </c>
      <c r="H622" s="32" t="s">
        <v>5517</v>
      </c>
      <c r="I622" s="32">
        <v>2020</v>
      </c>
      <c r="J622" s="32" t="b">
        <v>1</v>
      </c>
    </row>
    <row r="623" spans="1:10" x14ac:dyDescent="0.15">
      <c r="A623" s="32" t="s">
        <v>6198</v>
      </c>
      <c r="B623" s="32" t="s">
        <v>6198</v>
      </c>
      <c r="C623" s="32" t="s">
        <v>1133</v>
      </c>
      <c r="D623" s="32" t="s">
        <v>5522</v>
      </c>
      <c r="E623" s="32" t="s">
        <v>5523</v>
      </c>
      <c r="F623" s="32" t="s">
        <v>572</v>
      </c>
      <c r="G623" s="32" t="s">
        <v>5524</v>
      </c>
      <c r="H623" s="32" t="s">
        <v>5525</v>
      </c>
      <c r="I623" s="32">
        <v>2022</v>
      </c>
      <c r="J623" s="32" t="b">
        <v>1</v>
      </c>
    </row>
    <row r="624" spans="1:10" x14ac:dyDescent="0.15">
      <c r="A624" s="32" t="s">
        <v>6199</v>
      </c>
      <c r="B624" s="32" t="s">
        <v>6199</v>
      </c>
      <c r="C624" s="32" t="s">
        <v>1133</v>
      </c>
      <c r="D624" s="32" t="s">
        <v>5529</v>
      </c>
      <c r="E624" s="32" t="s">
        <v>5530</v>
      </c>
      <c r="F624" s="32" t="s">
        <v>3360</v>
      </c>
      <c r="G624" s="32" t="s">
        <v>5531</v>
      </c>
      <c r="H624" s="32" t="s">
        <v>5532</v>
      </c>
      <c r="I624" s="32">
        <v>2020</v>
      </c>
      <c r="J624" s="32" t="b">
        <v>1</v>
      </c>
    </row>
    <row r="625" spans="1:10" x14ac:dyDescent="0.15">
      <c r="A625" s="32" t="s">
        <v>6200</v>
      </c>
      <c r="B625" s="32" t="s">
        <v>6200</v>
      </c>
      <c r="C625" s="32" t="s">
        <v>1133</v>
      </c>
      <c r="D625" s="32" t="s">
        <v>5536</v>
      </c>
      <c r="E625" s="32" t="s">
        <v>5537</v>
      </c>
      <c r="F625" s="32" t="s">
        <v>5487</v>
      </c>
      <c r="G625" s="32" t="s">
        <v>5538</v>
      </c>
      <c r="H625" s="32" t="s">
        <v>5539</v>
      </c>
      <c r="I625" s="32">
        <v>2020</v>
      </c>
      <c r="J625" s="32" t="b">
        <v>1</v>
      </c>
    </row>
    <row r="626" spans="1:10" x14ac:dyDescent="0.15">
      <c r="A626" s="32" t="s">
        <v>6201</v>
      </c>
      <c r="B626" s="32" t="s">
        <v>6201</v>
      </c>
      <c r="C626" s="32" t="s">
        <v>1133</v>
      </c>
      <c r="D626" s="32" t="s">
        <v>5543</v>
      </c>
      <c r="E626" s="32" t="s">
        <v>5544</v>
      </c>
      <c r="F626" s="32" t="s">
        <v>4099</v>
      </c>
      <c r="G626" s="32" t="s">
        <v>5545</v>
      </c>
      <c r="H626" s="32" t="s">
        <v>5546</v>
      </c>
      <c r="I626" s="32">
        <v>2014</v>
      </c>
      <c r="J626" s="32" t="b">
        <v>1</v>
      </c>
    </row>
    <row r="627" spans="1:10" x14ac:dyDescent="0.15">
      <c r="A627" s="32" t="s">
        <v>6202</v>
      </c>
      <c r="B627" s="32" t="s">
        <v>6202</v>
      </c>
      <c r="C627" s="32" t="s">
        <v>1133</v>
      </c>
      <c r="D627" s="32" t="s">
        <v>5550</v>
      </c>
      <c r="E627" s="32" t="s">
        <v>5551</v>
      </c>
      <c r="F627" s="32" t="s">
        <v>5552</v>
      </c>
      <c r="G627" s="32" t="s">
        <v>5553</v>
      </c>
      <c r="H627" s="32" t="s">
        <v>5554</v>
      </c>
      <c r="I627" s="32">
        <v>2020</v>
      </c>
      <c r="J627" s="32" t="b">
        <v>0</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1582-773B-F64E-BD49-DB2734802D62}">
  <dimension ref="A1:AQ2"/>
  <sheetViews>
    <sheetView zoomScale="101" workbookViewId="0"/>
  </sheetViews>
  <sheetFormatPr baseColWidth="10" defaultColWidth="10.83203125" defaultRowHeight="16" x14ac:dyDescent="0.2"/>
  <cols>
    <col min="1" max="1" width="10.83203125" style="2"/>
    <col min="2" max="2" width="8.83203125" style="2" bestFit="1" customWidth="1"/>
    <col min="3" max="3" width="8.83203125" style="2" customWidth="1"/>
    <col min="4" max="4" width="6.33203125" style="2" bestFit="1" customWidth="1"/>
    <col min="5" max="5" width="33.6640625" style="2" customWidth="1"/>
    <col min="6" max="6" width="9.33203125" style="2" customWidth="1"/>
    <col min="7" max="7" width="14.1640625" style="2" customWidth="1"/>
    <col min="8" max="8" width="89" style="2" customWidth="1"/>
    <col min="9" max="9" width="23.6640625" style="2" customWidth="1"/>
    <col min="10" max="10" width="15.5" style="2" customWidth="1"/>
    <col min="11" max="11" width="19.5" style="2" bestFit="1" customWidth="1"/>
    <col min="12" max="12" width="8.6640625" style="2" customWidth="1"/>
    <col min="13" max="13" width="10.1640625" style="2" customWidth="1"/>
    <col min="14" max="14" width="18.6640625" style="2" bestFit="1" customWidth="1"/>
    <col min="15" max="15" width="28.83203125" style="2" bestFit="1" customWidth="1"/>
    <col min="16" max="16" width="24.83203125" style="2" bestFit="1" customWidth="1"/>
    <col min="17" max="17" width="24.83203125" style="2" customWidth="1"/>
    <col min="18" max="18" width="38.6640625" style="2" bestFit="1" customWidth="1"/>
    <col min="19" max="19" width="36.33203125" style="2" bestFit="1" customWidth="1"/>
    <col min="20" max="21" width="23.33203125" style="2" bestFit="1" customWidth="1"/>
    <col min="22" max="22" width="58.6640625" style="2" bestFit="1" customWidth="1"/>
    <col min="23" max="23" width="11.83203125" style="2" bestFit="1" customWidth="1"/>
    <col min="24" max="24" width="21.83203125" style="2" bestFit="1" customWidth="1"/>
    <col min="25" max="25" width="13" style="2" bestFit="1" customWidth="1"/>
    <col min="26" max="26" width="31.5" style="2" bestFit="1" customWidth="1"/>
    <col min="27" max="29" width="31.5" style="2" customWidth="1"/>
    <col min="30" max="30" width="20.83203125" style="2" bestFit="1" customWidth="1"/>
    <col min="31" max="32" width="23.83203125" style="2" bestFit="1" customWidth="1"/>
    <col min="33" max="33" width="13.5" style="2" customWidth="1"/>
    <col min="34" max="34" width="11.83203125" style="2" bestFit="1" customWidth="1"/>
    <col min="35" max="35" width="11.83203125" style="2" customWidth="1"/>
    <col min="36" max="36" width="18" style="2" bestFit="1" customWidth="1"/>
    <col min="37" max="37" width="19.83203125" style="2" bestFit="1" customWidth="1"/>
    <col min="38" max="38" width="25.83203125" style="2" bestFit="1" customWidth="1"/>
    <col min="39" max="39" width="50.33203125" style="2" customWidth="1"/>
    <col min="40" max="40" width="35.5" style="2" customWidth="1"/>
    <col min="41" max="41" width="34.5" style="2" customWidth="1"/>
    <col min="42" max="42" width="40" style="2" customWidth="1"/>
    <col min="43" max="43" width="21.1640625" style="2" bestFit="1" customWidth="1"/>
    <col min="44" max="16384" width="10.83203125" style="2"/>
  </cols>
  <sheetData>
    <row r="1" spans="1:43" ht="17" customHeight="1" x14ac:dyDescent="0.2">
      <c r="A1" s="2" t="s">
        <v>499</v>
      </c>
      <c r="B1" s="1" t="s">
        <v>11</v>
      </c>
      <c r="C1" s="1" t="s">
        <v>1132</v>
      </c>
      <c r="D1" s="1" t="s">
        <v>1</v>
      </c>
      <c r="E1" s="1" t="s">
        <v>0</v>
      </c>
      <c r="F1" s="1" t="s">
        <v>9</v>
      </c>
      <c r="G1" s="1" t="s">
        <v>2</v>
      </c>
      <c r="H1" s="1" t="s">
        <v>4</v>
      </c>
      <c r="I1" s="1" t="s">
        <v>3</v>
      </c>
      <c r="J1" s="1" t="s">
        <v>8</v>
      </c>
      <c r="K1" s="1" t="s">
        <v>1107</v>
      </c>
      <c r="L1" s="1" t="s">
        <v>25</v>
      </c>
      <c r="M1" s="1" t="s">
        <v>35</v>
      </c>
      <c r="N1" s="1" t="s">
        <v>1134</v>
      </c>
      <c r="O1" s="1" t="s">
        <v>1135</v>
      </c>
      <c r="P1" s="1" t="s">
        <v>1136</v>
      </c>
      <c r="Q1" s="7" t="s">
        <v>1137</v>
      </c>
      <c r="R1" s="1" t="s">
        <v>1138</v>
      </c>
      <c r="S1" s="7" t="s">
        <v>178</v>
      </c>
      <c r="T1" s="7" t="s">
        <v>655</v>
      </c>
      <c r="U1" s="1" t="s">
        <v>1139</v>
      </c>
      <c r="V1" s="1" t="s">
        <v>1140</v>
      </c>
      <c r="W1" s="1" t="s">
        <v>26</v>
      </c>
      <c r="X1" s="8" t="s">
        <v>1141</v>
      </c>
      <c r="Y1" s="7" t="s">
        <v>200</v>
      </c>
      <c r="Z1" s="7" t="s">
        <v>1112</v>
      </c>
      <c r="AA1" s="1" t="s">
        <v>1142</v>
      </c>
      <c r="AB1" s="1" t="s">
        <v>273</v>
      </c>
      <c r="AC1" s="7" t="s">
        <v>1143</v>
      </c>
      <c r="AD1" s="1" t="s">
        <v>366</v>
      </c>
      <c r="AE1" s="7" t="s">
        <v>559</v>
      </c>
      <c r="AF1" s="7" t="s">
        <v>560</v>
      </c>
      <c r="AG1" s="7" t="s">
        <v>561</v>
      </c>
      <c r="AH1" s="7" t="s">
        <v>562</v>
      </c>
      <c r="AI1" s="1" t="s">
        <v>6</v>
      </c>
      <c r="AJ1" s="9" t="s">
        <v>137</v>
      </c>
      <c r="AK1" s="1" t="s">
        <v>7</v>
      </c>
      <c r="AL1" s="1" t="s">
        <v>363</v>
      </c>
      <c r="AM1" s="7" t="s">
        <v>1144</v>
      </c>
      <c r="AN1" s="1" t="s">
        <v>5</v>
      </c>
      <c r="AO1" s="1" t="s">
        <v>36</v>
      </c>
      <c r="AP1" s="1" t="s">
        <v>42</v>
      </c>
      <c r="AQ1" s="1" t="s">
        <v>10</v>
      </c>
    </row>
    <row r="2" spans="1:43" s="4" customFormat="1" ht="409" customHeight="1" x14ac:dyDescent="0.2">
      <c r="A2" s="4">
        <v>103</v>
      </c>
      <c r="B2" s="4" t="s">
        <v>12</v>
      </c>
      <c r="D2" s="4">
        <f>VLOOKUP($A2,ReadingList!$A$1:$BY$627,50,FALSE)</f>
        <v>2021</v>
      </c>
      <c r="E2" s="4" t="str">
        <f>VLOOKUP($A2,ReadingList!$A$1:$BY$627,12,FALSE)</f>
        <v>Smart Electric Vehicle Charging via Adjustable Real-Time Charging Rates</v>
      </c>
      <c r="F2" s="4" t="str">
        <f>VLOOKUP($A2,ReadingList!$A$1:$BY$627,13,FALSE)</f>
        <v>APPLIED SCIENCES-BASEL</v>
      </c>
      <c r="G2" s="4" t="str">
        <f>VLOOKUP($A2,ReadingList!$A$1:$BY$627,9,FALSE)</f>
        <v>Smith, Theron; Garcia, Joseph; Washington, Gregory</v>
      </c>
      <c r="H2" s="4" t="str">
        <f>VLOOKUP($A2,ReadingList!$A$1:$BY$627,25,FALSE)</f>
        <v>This paper presents a plug-in electric vehicle (PEV) charging control algorithm, Adjustable Real-Time Valley Filling (ARVF), to improve PEV charging and minimize adverse effects from uncontrolled PEV charging on the grid. ARVF operates in real time, adjusts to sudden deviations between forecasted and actual baseloads, and uses fuzzy logic to deliver variable charging rates between 1.9 and 7.2 kW. Fuzzy logic is selected for this application because it can optimize nonlinear systems, operate in real time, scale efficiently, and be computationally fast, making ARVF a robust algorithm for real-world applications. In addition, this study proves that when the forecasted and actual baseload vary by more than 20%, its real-time capability is more advantageous than algorithms that use optimization techniques on predicted baseload data.</v>
      </c>
      <c r="I2" s="4" t="str">
        <f>VLOOKUP($A2,ReadingList!$A$1:$BY$627,23,FALSE)</f>
        <v>fuzzy logic; plug-in electric vehicle; valley filling; distribution transformer; electric vehicle charging; smart charging</v>
      </c>
      <c r="S2" s="3"/>
      <c r="T2" s="3"/>
      <c r="AQ2" s="6" t="s">
        <v>887</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ED4B2-C92F-8D4A-A28E-577901A74F93}">
  <dimension ref="A1:AP21"/>
  <sheetViews>
    <sheetView workbookViewId="0">
      <pane ySplit="1" topLeftCell="A8" activePane="bottomLeft" state="frozen"/>
      <selection pane="bottomLeft" activeCell="B8" sqref="B8"/>
    </sheetView>
  </sheetViews>
  <sheetFormatPr baseColWidth="10" defaultColWidth="10.83203125" defaultRowHeight="16" x14ac:dyDescent="0.2"/>
  <cols>
    <col min="1" max="1" width="11.33203125" bestFit="1" customWidth="1"/>
    <col min="2" max="2" width="10.6640625" bestFit="1" customWidth="1"/>
    <col min="3" max="3" width="7.33203125" bestFit="1" customWidth="1"/>
    <col min="4" max="4" width="23.1640625" customWidth="1"/>
    <col min="5" max="6" width="17.1640625" customWidth="1"/>
    <col min="7" max="7" width="53.1640625" customWidth="1"/>
    <col min="8" max="8" width="17.5" customWidth="1"/>
    <col min="9" max="9" width="23.83203125" customWidth="1"/>
    <col min="10" max="10" width="19.5" bestFit="1" customWidth="1"/>
    <col min="11" max="11" width="4.6640625" bestFit="1" customWidth="1"/>
    <col min="12" max="12" width="11.83203125" customWidth="1"/>
    <col min="13" max="13" width="18.6640625" bestFit="1" customWidth="1"/>
    <col min="14" max="14" width="28.83203125" bestFit="1" customWidth="1"/>
    <col min="15" max="15" width="24.83203125" bestFit="1" customWidth="1"/>
    <col min="16" max="16" width="24.83203125" customWidth="1"/>
    <col min="17" max="17" width="41.1640625" bestFit="1" customWidth="1"/>
    <col min="18" max="18" width="35" bestFit="1" customWidth="1"/>
    <col min="19" max="19" width="24.6640625" bestFit="1" customWidth="1"/>
    <col min="20" max="20" width="8.6640625" bestFit="1" customWidth="1"/>
    <col min="21" max="21" width="12.33203125" bestFit="1" customWidth="1"/>
    <col min="22" max="22" width="14.33203125" bestFit="1" customWidth="1"/>
    <col min="23" max="23" width="21.83203125" style="3" bestFit="1" customWidth="1"/>
    <col min="24" max="24" width="15.5"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2.83203125" customWidth="1"/>
    <col min="40" max="40" width="61.5" customWidth="1"/>
    <col min="41" max="41" width="40.33203125" customWidth="1"/>
    <col min="42" max="42" width="41.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4" customFormat="1" ht="384" customHeight="1" x14ac:dyDescent="0.2">
      <c r="A2" s="12" t="s">
        <v>12</v>
      </c>
      <c r="B2" s="12" t="s">
        <v>33</v>
      </c>
      <c r="C2" s="12">
        <v>2015</v>
      </c>
      <c r="D2" s="21" t="s">
        <v>38</v>
      </c>
      <c r="E2" s="12" t="s">
        <v>39</v>
      </c>
      <c r="F2" s="12" t="s">
        <v>105</v>
      </c>
      <c r="G2" s="12" t="s">
        <v>40</v>
      </c>
      <c r="H2" s="12" t="s">
        <v>41</v>
      </c>
      <c r="I2" s="12" t="s">
        <v>13</v>
      </c>
      <c r="J2" s="12" t="s">
        <v>30</v>
      </c>
      <c r="K2" s="12" t="s">
        <v>27</v>
      </c>
      <c r="L2" s="12" t="s">
        <v>697</v>
      </c>
      <c r="M2" s="12" t="s">
        <v>27</v>
      </c>
      <c r="N2" s="12" t="s">
        <v>31</v>
      </c>
      <c r="O2" s="12" t="s">
        <v>654</v>
      </c>
      <c r="P2" s="29">
        <v>4600</v>
      </c>
      <c r="Q2" s="12" t="s">
        <v>411</v>
      </c>
      <c r="R2" s="12" t="s">
        <v>662</v>
      </c>
      <c r="S2" s="12" t="s">
        <v>27</v>
      </c>
      <c r="T2" s="12" t="s">
        <v>27</v>
      </c>
      <c r="U2" s="12" t="s">
        <v>34</v>
      </c>
      <c r="V2" s="12" t="s">
        <v>127</v>
      </c>
      <c r="W2" s="10" t="s">
        <v>270</v>
      </c>
      <c r="X2" s="10" t="s">
        <v>233</v>
      </c>
      <c r="Y2" s="10" t="s">
        <v>443</v>
      </c>
      <c r="Z2" s="12" t="s">
        <v>388</v>
      </c>
      <c r="AA2" s="12" t="s">
        <v>538</v>
      </c>
      <c r="AB2" s="12" t="s">
        <v>631</v>
      </c>
      <c r="AC2" s="12" t="s">
        <v>629</v>
      </c>
      <c r="AD2" s="12" t="s">
        <v>27</v>
      </c>
      <c r="AE2" s="12" t="s">
        <v>27</v>
      </c>
      <c r="AF2" s="12" t="s">
        <v>27</v>
      </c>
      <c r="AG2" s="12" t="s">
        <v>27</v>
      </c>
      <c r="AH2" s="12" t="s">
        <v>29</v>
      </c>
      <c r="AI2" s="10" t="s">
        <v>139</v>
      </c>
      <c r="AJ2" s="12" t="s">
        <v>27</v>
      </c>
      <c r="AK2" s="12" t="s">
        <v>292</v>
      </c>
      <c r="AL2" s="12" t="s">
        <v>630</v>
      </c>
      <c r="AM2" s="12" t="s">
        <v>82</v>
      </c>
      <c r="AN2" s="12" t="s">
        <v>37</v>
      </c>
      <c r="AO2" s="12" t="s">
        <v>43</v>
      </c>
      <c r="AP2" s="13" t="s">
        <v>48</v>
      </c>
    </row>
    <row r="3" spans="1:42" s="3" customFormat="1" ht="409.6" x14ac:dyDescent="0.2">
      <c r="A3" s="10" t="s">
        <v>12</v>
      </c>
      <c r="B3" s="10" t="s">
        <v>33</v>
      </c>
      <c r="C3" s="10">
        <v>2015</v>
      </c>
      <c r="D3" s="10" t="s">
        <v>72</v>
      </c>
      <c r="E3" s="10" t="s">
        <v>73</v>
      </c>
      <c r="F3" s="10" t="s">
        <v>106</v>
      </c>
      <c r="G3" s="10" t="s">
        <v>74</v>
      </c>
      <c r="H3" s="10" t="s">
        <v>75</v>
      </c>
      <c r="I3" s="10" t="s">
        <v>87</v>
      </c>
      <c r="J3" s="10" t="s">
        <v>30</v>
      </c>
      <c r="K3" s="10" t="s">
        <v>27</v>
      </c>
      <c r="L3" s="10" t="s">
        <v>27</v>
      </c>
      <c r="M3" s="10" t="s">
        <v>27</v>
      </c>
      <c r="N3" s="10" t="s">
        <v>31</v>
      </c>
      <c r="O3" s="10" t="s">
        <v>637</v>
      </c>
      <c r="P3" s="29">
        <v>15</v>
      </c>
      <c r="Q3" s="10" t="s">
        <v>411</v>
      </c>
      <c r="R3" s="10" t="s">
        <v>28</v>
      </c>
      <c r="S3" s="10" t="s">
        <v>27</v>
      </c>
      <c r="T3" s="10" t="s">
        <v>27</v>
      </c>
      <c r="U3" s="10" t="s">
        <v>34</v>
      </c>
      <c r="V3" s="10" t="s">
        <v>127</v>
      </c>
      <c r="W3" s="10" t="s">
        <v>270</v>
      </c>
      <c r="X3" s="10" t="s">
        <v>27</v>
      </c>
      <c r="Y3" s="10" t="s">
        <v>632</v>
      </c>
      <c r="Z3" s="10" t="s">
        <v>58</v>
      </c>
      <c r="AA3" s="10" t="s">
        <v>27</v>
      </c>
      <c r="AB3" s="10" t="s">
        <v>631</v>
      </c>
      <c r="AC3" s="10" t="s">
        <v>636</v>
      </c>
      <c r="AD3" s="10" t="s">
        <v>633</v>
      </c>
      <c r="AE3" s="10" t="s">
        <v>634</v>
      </c>
      <c r="AF3" s="10" t="s">
        <v>27</v>
      </c>
      <c r="AG3" s="10" t="s">
        <v>635</v>
      </c>
      <c r="AH3" s="10" t="s">
        <v>29</v>
      </c>
      <c r="AI3" s="10" t="s">
        <v>139</v>
      </c>
      <c r="AJ3" s="10" t="s">
        <v>27</v>
      </c>
      <c r="AK3" s="10" t="s">
        <v>342</v>
      </c>
      <c r="AL3" s="10" t="s">
        <v>131</v>
      </c>
      <c r="AM3" s="12" t="s">
        <v>85</v>
      </c>
      <c r="AN3" s="10" t="s">
        <v>101</v>
      </c>
      <c r="AO3" s="10" t="s">
        <v>86</v>
      </c>
      <c r="AP3" s="11" t="s">
        <v>71</v>
      </c>
    </row>
    <row r="4" spans="1:42" s="3" customFormat="1" ht="409.6" x14ac:dyDescent="0.2">
      <c r="A4" s="3" t="s">
        <v>12</v>
      </c>
      <c r="B4" s="3" t="s">
        <v>27</v>
      </c>
      <c r="C4" s="3">
        <v>2020</v>
      </c>
      <c r="D4" s="3" t="s">
        <v>215</v>
      </c>
      <c r="E4" s="3" t="s">
        <v>216</v>
      </c>
      <c r="F4" s="3" t="s">
        <v>217</v>
      </c>
      <c r="G4" s="3" t="s">
        <v>219</v>
      </c>
      <c r="H4" s="3" t="s">
        <v>218</v>
      </c>
      <c r="I4" s="3" t="s">
        <v>638</v>
      </c>
      <c r="J4" s="3" t="s">
        <v>223</v>
      </c>
      <c r="K4" s="3" t="s">
        <v>27</v>
      </c>
      <c r="L4" s="3" t="s">
        <v>485</v>
      </c>
      <c r="M4" s="3" t="s">
        <v>27</v>
      </c>
      <c r="N4" s="3" t="s">
        <v>31</v>
      </c>
      <c r="O4" s="3" t="s">
        <v>28</v>
      </c>
      <c r="P4" s="23">
        <v>1000</v>
      </c>
      <c r="Q4" s="3" t="s">
        <v>411</v>
      </c>
      <c r="R4" s="3" t="s">
        <v>664</v>
      </c>
      <c r="S4" s="3" t="s">
        <v>663</v>
      </c>
      <c r="T4" s="3" t="s">
        <v>27</v>
      </c>
      <c r="U4" s="3" t="s">
        <v>34</v>
      </c>
      <c r="V4" s="3" t="s">
        <v>17</v>
      </c>
      <c r="W4" s="3" t="s">
        <v>270</v>
      </c>
      <c r="X4" s="3" t="s">
        <v>27</v>
      </c>
      <c r="Y4" s="3" t="s">
        <v>443</v>
      </c>
      <c r="Z4" s="3" t="s">
        <v>58</v>
      </c>
      <c r="AA4" s="3" t="s">
        <v>27</v>
      </c>
      <c r="AB4" s="3" t="s">
        <v>631</v>
      </c>
      <c r="AC4" s="3" t="s">
        <v>640</v>
      </c>
      <c r="AD4" s="3" t="s">
        <v>27</v>
      </c>
      <c r="AE4" s="3" t="s">
        <v>27</v>
      </c>
      <c r="AF4" s="3" t="s">
        <v>639</v>
      </c>
      <c r="AG4" s="3" t="s">
        <v>27</v>
      </c>
      <c r="AH4" s="3" t="s">
        <v>224</v>
      </c>
      <c r="AI4" s="3" t="s">
        <v>138</v>
      </c>
      <c r="AJ4" s="3" t="s">
        <v>33</v>
      </c>
      <c r="AK4" s="3" t="s">
        <v>340</v>
      </c>
      <c r="AL4" s="3" t="s">
        <v>641</v>
      </c>
      <c r="AM4" s="3" t="s">
        <v>225</v>
      </c>
      <c r="AN4" s="3" t="s">
        <v>226</v>
      </c>
      <c r="AO4" s="3" t="s">
        <v>222</v>
      </c>
      <c r="AP4" s="5" t="s">
        <v>220</v>
      </c>
    </row>
    <row r="5" spans="1:42" s="4" customFormat="1" ht="340" x14ac:dyDescent="0.2">
      <c r="A5" s="4" t="s">
        <v>12</v>
      </c>
      <c r="B5" s="4" t="s">
        <v>27</v>
      </c>
      <c r="C5" s="4">
        <v>2019</v>
      </c>
      <c r="D5" s="4" t="s">
        <v>285</v>
      </c>
      <c r="E5" s="4" t="s">
        <v>124</v>
      </c>
      <c r="F5" s="4" t="s">
        <v>286</v>
      </c>
      <c r="G5" s="4" t="s">
        <v>288</v>
      </c>
      <c r="H5" s="4" t="s">
        <v>287</v>
      </c>
      <c r="I5" s="4" t="s">
        <v>208</v>
      </c>
      <c r="J5" s="4" t="s">
        <v>30</v>
      </c>
      <c r="K5" s="4" t="s">
        <v>33</v>
      </c>
      <c r="L5" s="4" t="s">
        <v>507</v>
      </c>
      <c r="M5" s="4" t="s">
        <v>667</v>
      </c>
      <c r="N5" s="4" t="s">
        <v>646</v>
      </c>
      <c r="O5" s="4" t="s">
        <v>645</v>
      </c>
      <c r="P5" s="23">
        <v>6</v>
      </c>
      <c r="Q5" s="4" t="s">
        <v>411</v>
      </c>
      <c r="R5" s="4" t="s">
        <v>665</v>
      </c>
      <c r="S5" s="4" t="s">
        <v>666</v>
      </c>
      <c r="T5" s="4" t="s">
        <v>293</v>
      </c>
      <c r="U5" s="4" t="s">
        <v>34</v>
      </c>
      <c r="V5" s="4" t="s">
        <v>17</v>
      </c>
      <c r="W5" s="4" t="s">
        <v>270</v>
      </c>
      <c r="X5" s="4" t="s">
        <v>27</v>
      </c>
      <c r="Y5" s="4" t="s">
        <v>463</v>
      </c>
      <c r="Z5" s="4" t="s">
        <v>548</v>
      </c>
      <c r="AA5" s="4" t="s">
        <v>643</v>
      </c>
      <c r="AB5" s="4" t="s">
        <v>178</v>
      </c>
      <c r="AC5" s="4" t="s">
        <v>644</v>
      </c>
      <c r="AD5" s="4" t="s">
        <v>27</v>
      </c>
      <c r="AE5" s="4" t="s">
        <v>27</v>
      </c>
      <c r="AF5" s="4" t="s">
        <v>27</v>
      </c>
      <c r="AG5" s="4" t="s">
        <v>27</v>
      </c>
      <c r="AH5" s="4" t="s">
        <v>29</v>
      </c>
      <c r="AI5" s="4" t="s">
        <v>138</v>
      </c>
      <c r="AJ5" s="4" t="s">
        <v>27</v>
      </c>
      <c r="AK5" s="4" t="s">
        <v>341</v>
      </c>
      <c r="AL5" s="4" t="s">
        <v>652</v>
      </c>
      <c r="AM5" s="4" t="s">
        <v>298</v>
      </c>
      <c r="AN5" s="4" t="s">
        <v>299</v>
      </c>
      <c r="AO5" s="4" t="s">
        <v>294</v>
      </c>
      <c r="AP5" s="6" t="s">
        <v>290</v>
      </c>
    </row>
    <row r="6" spans="1:42" s="4" customFormat="1" ht="388" x14ac:dyDescent="0.2">
      <c r="A6" s="4" t="s">
        <v>12</v>
      </c>
      <c r="B6" s="4" t="s">
        <v>27</v>
      </c>
      <c r="C6" s="4">
        <v>2017</v>
      </c>
      <c r="D6" s="4" t="s">
        <v>300</v>
      </c>
      <c r="E6" s="4" t="s">
        <v>302</v>
      </c>
      <c r="F6" s="4" t="s">
        <v>301</v>
      </c>
      <c r="G6" s="4" t="s">
        <v>304</v>
      </c>
      <c r="H6" s="4" t="s">
        <v>303</v>
      </c>
      <c r="I6" s="4" t="s">
        <v>309</v>
      </c>
      <c r="J6" s="4" t="s">
        <v>30</v>
      </c>
      <c r="K6" s="4" t="s">
        <v>27</v>
      </c>
      <c r="L6" s="4" t="s">
        <v>27</v>
      </c>
      <c r="M6" s="4" t="s">
        <v>27</v>
      </c>
      <c r="N6" s="4" t="s">
        <v>31</v>
      </c>
      <c r="O6" s="4" t="s">
        <v>669</v>
      </c>
      <c r="P6" s="23">
        <v>1540</v>
      </c>
      <c r="Q6" s="4" t="s">
        <v>411</v>
      </c>
      <c r="R6" s="4" t="s">
        <v>668</v>
      </c>
      <c r="S6" s="4" t="s">
        <v>672</v>
      </c>
      <c r="T6" s="4" t="s">
        <v>27</v>
      </c>
      <c r="U6" s="4" t="s">
        <v>34</v>
      </c>
      <c r="V6" s="4" t="s">
        <v>127</v>
      </c>
      <c r="W6" s="4" t="s">
        <v>270</v>
      </c>
      <c r="X6" s="4" t="s">
        <v>27</v>
      </c>
      <c r="Y6" s="4" t="s">
        <v>616</v>
      </c>
      <c r="Z6" s="4" t="s">
        <v>58</v>
      </c>
      <c r="AA6" s="4" t="s">
        <v>27</v>
      </c>
      <c r="AB6" s="4" t="s">
        <v>631</v>
      </c>
      <c r="AC6" s="4" t="s">
        <v>27</v>
      </c>
      <c r="AD6" s="4" t="s">
        <v>27</v>
      </c>
      <c r="AE6" s="4" t="s">
        <v>27</v>
      </c>
      <c r="AF6" s="4" t="s">
        <v>670</v>
      </c>
      <c r="AG6" s="4" t="s">
        <v>27</v>
      </c>
      <c r="AH6" s="4" t="s">
        <v>307</v>
      </c>
      <c r="AI6" s="4" t="s">
        <v>138</v>
      </c>
      <c r="AJ6" s="4" t="s">
        <v>308</v>
      </c>
      <c r="AK6" s="4" t="s">
        <v>342</v>
      </c>
      <c r="AL6" s="4" t="s">
        <v>673</v>
      </c>
      <c r="AM6" s="4" t="s">
        <v>671</v>
      </c>
      <c r="AN6" s="4" t="s">
        <v>311</v>
      </c>
      <c r="AO6" s="4" t="s">
        <v>310</v>
      </c>
      <c r="AP6" s="6" t="s">
        <v>305</v>
      </c>
    </row>
    <row r="7" spans="1:42" s="4" customFormat="1" ht="372" x14ac:dyDescent="0.2">
      <c r="A7" s="12" t="s">
        <v>12</v>
      </c>
      <c r="B7" s="12" t="s">
        <v>33</v>
      </c>
      <c r="C7" s="12">
        <v>2022</v>
      </c>
      <c r="D7" s="12" t="s">
        <v>359</v>
      </c>
      <c r="E7" s="12" t="s">
        <v>68</v>
      </c>
      <c r="F7" s="12" t="s">
        <v>360</v>
      </c>
      <c r="G7" s="12" t="s">
        <v>362</v>
      </c>
      <c r="H7" s="12" t="s">
        <v>361</v>
      </c>
      <c r="I7" s="12" t="s">
        <v>208</v>
      </c>
      <c r="J7" s="12" t="s">
        <v>30</v>
      </c>
      <c r="K7" s="12" t="s">
        <v>27</v>
      </c>
      <c r="L7" s="12" t="s">
        <v>697</v>
      </c>
      <c r="M7" s="12" t="s">
        <v>27</v>
      </c>
      <c r="N7" s="12" t="s">
        <v>31</v>
      </c>
      <c r="O7" s="12" t="s">
        <v>28</v>
      </c>
      <c r="P7" s="29" t="s">
        <v>678</v>
      </c>
      <c r="Q7" s="12" t="s">
        <v>411</v>
      </c>
      <c r="R7" s="12" t="s">
        <v>28</v>
      </c>
      <c r="S7" s="12" t="s">
        <v>676</v>
      </c>
      <c r="T7" s="10" t="s">
        <v>27</v>
      </c>
      <c r="U7" s="12" t="s">
        <v>141</v>
      </c>
      <c r="V7" s="12" t="s">
        <v>17</v>
      </c>
      <c r="W7" s="12" t="s">
        <v>270</v>
      </c>
      <c r="X7" s="12" t="s">
        <v>27</v>
      </c>
      <c r="Y7" s="12" t="s">
        <v>463</v>
      </c>
      <c r="Z7" s="12" t="s">
        <v>58</v>
      </c>
      <c r="AA7" s="12" t="s">
        <v>27</v>
      </c>
      <c r="AB7" s="12" t="s">
        <v>631</v>
      </c>
      <c r="AC7" s="12" t="s">
        <v>677</v>
      </c>
      <c r="AD7" s="12" t="s">
        <v>27</v>
      </c>
      <c r="AE7" s="12" t="s">
        <v>27</v>
      </c>
      <c r="AF7" s="12" t="s">
        <v>27</v>
      </c>
      <c r="AG7" s="12" t="s">
        <v>27</v>
      </c>
      <c r="AH7" s="12" t="s">
        <v>209</v>
      </c>
      <c r="AI7" s="12" t="s">
        <v>138</v>
      </c>
      <c r="AJ7" s="12" t="s">
        <v>33</v>
      </c>
      <c r="AK7" s="12" t="s">
        <v>339</v>
      </c>
      <c r="AL7" s="12" t="s">
        <v>718</v>
      </c>
      <c r="AM7" s="12" t="s">
        <v>367</v>
      </c>
      <c r="AN7" s="12" t="s">
        <v>368</v>
      </c>
      <c r="AO7" s="12" t="s">
        <v>365</v>
      </c>
      <c r="AP7" s="13" t="s">
        <v>358</v>
      </c>
    </row>
    <row r="8" spans="1:42" ht="388" x14ac:dyDescent="0.2">
      <c r="A8" s="15" t="s">
        <v>12</v>
      </c>
      <c r="B8" s="15" t="s">
        <v>27</v>
      </c>
      <c r="C8" s="15">
        <v>2020</v>
      </c>
      <c r="D8" s="15" t="s">
        <v>374</v>
      </c>
      <c r="E8" s="15" t="s">
        <v>371</v>
      </c>
      <c r="F8" s="15" t="s">
        <v>370</v>
      </c>
      <c r="G8" s="15" t="s">
        <v>373</v>
      </c>
      <c r="H8" s="15" t="s">
        <v>372</v>
      </c>
      <c r="I8" s="15" t="s">
        <v>208</v>
      </c>
      <c r="J8" s="15" t="s">
        <v>30</v>
      </c>
      <c r="K8" s="15" t="s">
        <v>27</v>
      </c>
      <c r="L8" s="15" t="s">
        <v>507</v>
      </c>
      <c r="M8" s="15" t="s">
        <v>27</v>
      </c>
      <c r="N8" s="15" t="s">
        <v>31</v>
      </c>
      <c r="O8" s="15" t="s">
        <v>680</v>
      </c>
      <c r="P8" s="31">
        <v>30</v>
      </c>
      <c r="Q8" s="15" t="s">
        <v>411</v>
      </c>
      <c r="R8" s="8" t="s">
        <v>681</v>
      </c>
      <c r="S8" s="8" t="s">
        <v>679</v>
      </c>
      <c r="T8" s="8" t="s">
        <v>27</v>
      </c>
      <c r="U8" s="15" t="s">
        <v>34</v>
      </c>
      <c r="V8" s="15" t="s">
        <v>17</v>
      </c>
      <c r="W8" s="15" t="s">
        <v>270</v>
      </c>
      <c r="X8" s="15" t="s">
        <v>27</v>
      </c>
      <c r="Y8" s="15" t="s">
        <v>463</v>
      </c>
      <c r="Z8" s="15" t="s">
        <v>376</v>
      </c>
      <c r="AA8" s="15" t="s">
        <v>27</v>
      </c>
      <c r="AB8" s="15" t="s">
        <v>631</v>
      </c>
      <c r="AC8" s="15" t="s">
        <v>27</v>
      </c>
      <c r="AD8" s="15" t="s">
        <v>27</v>
      </c>
      <c r="AE8" s="15" t="s">
        <v>27</v>
      </c>
      <c r="AF8" s="15" t="s">
        <v>27</v>
      </c>
      <c r="AG8" s="15" t="s">
        <v>27</v>
      </c>
      <c r="AH8" s="15" t="s">
        <v>377</v>
      </c>
      <c r="AI8" s="15" t="s">
        <v>248</v>
      </c>
      <c r="AJ8" s="15" t="s">
        <v>27</v>
      </c>
      <c r="AK8" s="15" t="s">
        <v>339</v>
      </c>
      <c r="AL8" s="15" t="s">
        <v>27</v>
      </c>
      <c r="AM8" s="15" t="s">
        <v>378</v>
      </c>
      <c r="AN8" s="15" t="s">
        <v>379</v>
      </c>
      <c r="AO8" s="15" t="s">
        <v>375</v>
      </c>
      <c r="AP8" s="15" t="s">
        <v>369</v>
      </c>
    </row>
    <row r="9" spans="1:42" s="4" customFormat="1" ht="388" x14ac:dyDescent="0.2">
      <c r="A9" s="12" t="s">
        <v>12</v>
      </c>
      <c r="B9" s="12" t="s">
        <v>33</v>
      </c>
      <c r="C9" s="12">
        <v>2019</v>
      </c>
      <c r="D9" s="12" t="s">
        <v>381</v>
      </c>
      <c r="E9" s="12" t="s">
        <v>89</v>
      </c>
      <c r="F9" s="12" t="s">
        <v>384</v>
      </c>
      <c r="G9" s="12" t="s">
        <v>383</v>
      </c>
      <c r="H9" s="12" t="s">
        <v>382</v>
      </c>
      <c r="I9" s="12" t="s">
        <v>393</v>
      </c>
      <c r="J9" s="12" t="s">
        <v>30</v>
      </c>
      <c r="K9" s="12" t="s">
        <v>27</v>
      </c>
      <c r="L9" s="12" t="s">
        <v>507</v>
      </c>
      <c r="M9" s="12" t="s">
        <v>27</v>
      </c>
      <c r="N9" s="12" t="s">
        <v>31</v>
      </c>
      <c r="O9" s="12" t="s">
        <v>685</v>
      </c>
      <c r="P9" s="29" t="s">
        <v>686</v>
      </c>
      <c r="Q9" s="12" t="s">
        <v>411</v>
      </c>
      <c r="R9" s="10" t="s">
        <v>28</v>
      </c>
      <c r="S9" s="10" t="s">
        <v>683</v>
      </c>
      <c r="T9" s="10" t="s">
        <v>27</v>
      </c>
      <c r="U9" s="12" t="s">
        <v>34</v>
      </c>
      <c r="V9" s="12" t="s">
        <v>17</v>
      </c>
      <c r="W9" s="12" t="s">
        <v>270</v>
      </c>
      <c r="X9" s="12" t="s">
        <v>233</v>
      </c>
      <c r="Y9" s="12" t="s">
        <v>523</v>
      </c>
      <c r="Z9" s="12" t="s">
        <v>389</v>
      </c>
      <c r="AA9" s="12" t="s">
        <v>682</v>
      </c>
      <c r="AB9" s="12" t="s">
        <v>631</v>
      </c>
      <c r="AC9" s="12" t="s">
        <v>684</v>
      </c>
      <c r="AD9" s="12" t="s">
        <v>687</v>
      </c>
      <c r="AE9" s="12" t="s">
        <v>688</v>
      </c>
      <c r="AF9" s="12" t="s">
        <v>689</v>
      </c>
      <c r="AG9" s="12" t="s">
        <v>27</v>
      </c>
      <c r="AH9" s="12" t="s">
        <v>29</v>
      </c>
      <c r="AI9" s="12" t="s">
        <v>139</v>
      </c>
      <c r="AJ9" s="12" t="s">
        <v>33</v>
      </c>
      <c r="AK9" s="12" t="s">
        <v>340</v>
      </c>
      <c r="AL9" s="12" t="s">
        <v>623</v>
      </c>
      <c r="AM9" s="12" t="s">
        <v>391</v>
      </c>
      <c r="AN9" s="12" t="s">
        <v>392</v>
      </c>
      <c r="AO9" s="12" t="s">
        <v>390</v>
      </c>
      <c r="AP9" s="13" t="s">
        <v>380</v>
      </c>
    </row>
    <row r="10" spans="1:42" s="4" customFormat="1" ht="340" x14ac:dyDescent="0.2">
      <c r="A10" s="12" t="s">
        <v>12</v>
      </c>
      <c r="B10" s="12" t="s">
        <v>33</v>
      </c>
      <c r="C10" s="12">
        <v>2021</v>
      </c>
      <c r="D10" s="12" t="s">
        <v>408</v>
      </c>
      <c r="E10" s="12" t="s">
        <v>73</v>
      </c>
      <c r="F10" s="12" t="s">
        <v>407</v>
      </c>
      <c r="G10" s="12" t="s">
        <v>405</v>
      </c>
      <c r="H10" s="12" t="s">
        <v>406</v>
      </c>
      <c r="I10" s="12" t="s">
        <v>208</v>
      </c>
      <c r="J10" s="12" t="s">
        <v>30</v>
      </c>
      <c r="K10" s="12" t="s">
        <v>27</v>
      </c>
      <c r="L10" s="12" t="s">
        <v>697</v>
      </c>
      <c r="M10" s="12" t="s">
        <v>27</v>
      </c>
      <c r="N10" s="12" t="s">
        <v>31</v>
      </c>
      <c r="O10" s="12" t="s">
        <v>695</v>
      </c>
      <c r="P10" s="29">
        <v>30</v>
      </c>
      <c r="Q10" s="12" t="s">
        <v>412</v>
      </c>
      <c r="R10" s="10" t="s">
        <v>694</v>
      </c>
      <c r="S10" s="10" t="s">
        <v>696</v>
      </c>
      <c r="T10" s="10" t="s">
        <v>27</v>
      </c>
      <c r="U10" s="12" t="s">
        <v>34</v>
      </c>
      <c r="V10" s="12" t="s">
        <v>127</v>
      </c>
      <c r="W10" s="12" t="s">
        <v>270</v>
      </c>
      <c r="X10" s="12" t="s">
        <v>27</v>
      </c>
      <c r="Y10" s="12" t="s">
        <v>463</v>
      </c>
      <c r="Z10" s="12" t="s">
        <v>410</v>
      </c>
      <c r="AA10" s="12" t="s">
        <v>27</v>
      </c>
      <c r="AB10" s="12" t="s">
        <v>178</v>
      </c>
      <c r="AC10" s="12" t="s">
        <v>413</v>
      </c>
      <c r="AD10" s="12" t="s">
        <v>691</v>
      </c>
      <c r="AE10" s="12" t="s">
        <v>692</v>
      </c>
      <c r="AF10" s="12" t="s">
        <v>693</v>
      </c>
      <c r="AG10" s="12" t="s">
        <v>693</v>
      </c>
      <c r="AH10" s="12" t="s">
        <v>690</v>
      </c>
      <c r="AI10" s="12" t="s">
        <v>248</v>
      </c>
      <c r="AJ10" s="12" t="s">
        <v>27</v>
      </c>
      <c r="AK10" s="12" t="s">
        <v>341</v>
      </c>
      <c r="AL10" s="12" t="s">
        <v>414</v>
      </c>
      <c r="AM10" s="12" t="s">
        <v>418</v>
      </c>
      <c r="AN10" s="12" t="s">
        <v>419</v>
      </c>
      <c r="AO10" s="12" t="s">
        <v>417</v>
      </c>
      <c r="AP10" s="13" t="s">
        <v>409</v>
      </c>
    </row>
    <row r="11" spans="1:42" s="4" customFormat="1" ht="356" x14ac:dyDescent="0.2">
      <c r="A11" s="12" t="s">
        <v>12</v>
      </c>
      <c r="B11" s="12" t="s">
        <v>33</v>
      </c>
      <c r="C11" s="12">
        <v>2017</v>
      </c>
      <c r="D11" s="12" t="s">
        <v>420</v>
      </c>
      <c r="E11" s="12" t="s">
        <v>422</v>
      </c>
      <c r="F11" s="12" t="s">
        <v>421</v>
      </c>
      <c r="G11" s="12" t="s">
        <v>424</v>
      </c>
      <c r="H11" s="12" t="s">
        <v>423</v>
      </c>
      <c r="I11" s="12" t="s">
        <v>208</v>
      </c>
      <c r="J11" s="12" t="s">
        <v>223</v>
      </c>
      <c r="K11" s="12" t="s">
        <v>27</v>
      </c>
      <c r="L11" s="12" t="s">
        <v>507</v>
      </c>
      <c r="M11" s="12" t="s">
        <v>27</v>
      </c>
      <c r="N11" s="12" t="s">
        <v>291</v>
      </c>
      <c r="O11" s="12" t="s">
        <v>698</v>
      </c>
      <c r="P11" s="29">
        <v>3000</v>
      </c>
      <c r="Q11" s="12" t="s">
        <v>411</v>
      </c>
      <c r="R11" s="10" t="s">
        <v>664</v>
      </c>
      <c r="S11" s="10" t="s">
        <v>702</v>
      </c>
      <c r="T11" s="10" t="s">
        <v>27</v>
      </c>
      <c r="U11" s="12" t="s">
        <v>34</v>
      </c>
      <c r="V11" s="12" t="s">
        <v>17</v>
      </c>
      <c r="W11" s="12" t="s">
        <v>270</v>
      </c>
      <c r="X11" s="12" t="s">
        <v>27</v>
      </c>
      <c r="Y11" s="12" t="s">
        <v>1146</v>
      </c>
      <c r="Z11" s="12" t="s">
        <v>388</v>
      </c>
      <c r="AA11" s="12" t="s">
        <v>27</v>
      </c>
      <c r="AB11" s="12" t="s">
        <v>631</v>
      </c>
      <c r="AC11" s="12" t="s">
        <v>433</v>
      </c>
      <c r="AD11" s="12" t="s">
        <v>700</v>
      </c>
      <c r="AE11" s="12" t="s">
        <v>701</v>
      </c>
      <c r="AF11" s="12" t="s">
        <v>699</v>
      </c>
      <c r="AG11" s="12" t="s">
        <v>27</v>
      </c>
      <c r="AH11" s="12" t="s">
        <v>432</v>
      </c>
      <c r="AI11" s="12" t="s">
        <v>248</v>
      </c>
      <c r="AJ11" s="12" t="s">
        <v>27</v>
      </c>
      <c r="AK11" s="12" t="s">
        <v>339</v>
      </c>
      <c r="AL11" s="12" t="s">
        <v>27</v>
      </c>
      <c r="AM11" s="12" t="s">
        <v>435</v>
      </c>
      <c r="AN11" s="12" t="s">
        <v>434</v>
      </c>
      <c r="AO11" s="12" t="s">
        <v>431</v>
      </c>
      <c r="AP11" s="13" t="s">
        <v>425</v>
      </c>
    </row>
    <row r="12" spans="1:42" ht="372" x14ac:dyDescent="0.2">
      <c r="A12" s="4" t="s">
        <v>12</v>
      </c>
      <c r="B12" s="4" t="s">
        <v>27</v>
      </c>
      <c r="C12" s="4">
        <v>2019</v>
      </c>
      <c r="D12" s="4" t="s">
        <v>467</v>
      </c>
      <c r="E12" s="4" t="s">
        <v>114</v>
      </c>
      <c r="F12" s="4" t="s">
        <v>468</v>
      </c>
      <c r="G12" s="4" t="s">
        <v>470</v>
      </c>
      <c r="H12" s="4" t="s">
        <v>469</v>
      </c>
      <c r="I12" s="4" t="s">
        <v>475</v>
      </c>
      <c r="J12" s="4" t="s">
        <v>30</v>
      </c>
      <c r="K12" s="4" t="s">
        <v>27</v>
      </c>
      <c r="L12" s="4" t="s">
        <v>27</v>
      </c>
      <c r="M12" s="4" t="s">
        <v>27</v>
      </c>
      <c r="N12" s="4" t="s">
        <v>31</v>
      </c>
      <c r="O12" s="4" t="s">
        <v>472</v>
      </c>
      <c r="P12" s="23">
        <v>300</v>
      </c>
      <c r="Q12" s="4" t="s">
        <v>411</v>
      </c>
      <c r="R12" s="3" t="s">
        <v>28</v>
      </c>
      <c r="S12" s="3" t="s">
        <v>703</v>
      </c>
      <c r="T12" s="3" t="s">
        <v>27</v>
      </c>
      <c r="U12" s="4" t="s">
        <v>34</v>
      </c>
      <c r="V12" s="4" t="s">
        <v>127</v>
      </c>
      <c r="W12" s="4" t="s">
        <v>270</v>
      </c>
      <c r="X12" s="4" t="s">
        <v>27</v>
      </c>
      <c r="Y12" s="4" t="s">
        <v>463</v>
      </c>
      <c r="Z12" s="4" t="s">
        <v>473</v>
      </c>
      <c r="AA12" s="4" t="s">
        <v>27</v>
      </c>
      <c r="AB12" s="4" t="s">
        <v>178</v>
      </c>
      <c r="AC12" s="4" t="s">
        <v>704</v>
      </c>
      <c r="AD12" s="4" t="s">
        <v>27</v>
      </c>
      <c r="AE12" s="4" t="s">
        <v>27</v>
      </c>
      <c r="AF12" s="4" t="s">
        <v>27</v>
      </c>
      <c r="AG12" s="4" t="s">
        <v>27</v>
      </c>
      <c r="AH12" s="4" t="s">
        <v>29</v>
      </c>
      <c r="AI12" s="4" t="s">
        <v>248</v>
      </c>
      <c r="AJ12" s="4" t="s">
        <v>33</v>
      </c>
      <c r="AK12" s="4" t="s">
        <v>339</v>
      </c>
      <c r="AL12" s="4" t="s">
        <v>630</v>
      </c>
      <c r="AM12" s="4" t="s">
        <v>476</v>
      </c>
      <c r="AN12" s="4" t="s">
        <v>477</v>
      </c>
      <c r="AO12" s="4" t="s">
        <v>474</v>
      </c>
      <c r="AP12" s="6" t="s">
        <v>471</v>
      </c>
    </row>
    <row r="13" spans="1:42" ht="409.6" x14ac:dyDescent="0.2">
      <c r="A13" s="4" t="s">
        <v>12</v>
      </c>
      <c r="B13" s="4" t="s">
        <v>27</v>
      </c>
      <c r="C13" s="4">
        <v>2017</v>
      </c>
      <c r="D13" s="4" t="s">
        <v>478</v>
      </c>
      <c r="E13" s="4" t="s">
        <v>480</v>
      </c>
      <c r="F13" s="4" t="s">
        <v>481</v>
      </c>
      <c r="G13" s="4" t="s">
        <v>483</v>
      </c>
      <c r="H13" s="4" t="s">
        <v>482</v>
      </c>
      <c r="I13" s="4" t="s">
        <v>484</v>
      </c>
      <c r="J13" s="4" t="s">
        <v>30</v>
      </c>
      <c r="K13" s="4" t="s">
        <v>27</v>
      </c>
      <c r="L13" s="4" t="s">
        <v>485</v>
      </c>
      <c r="M13" s="4" t="s">
        <v>27</v>
      </c>
      <c r="N13" s="4" t="s">
        <v>31</v>
      </c>
      <c r="O13" s="4" t="s">
        <v>28</v>
      </c>
      <c r="P13" s="23">
        <v>30</v>
      </c>
      <c r="Q13" s="4" t="s">
        <v>411</v>
      </c>
      <c r="R13" s="3" t="s">
        <v>705</v>
      </c>
      <c r="S13" s="3" t="s">
        <v>683</v>
      </c>
      <c r="T13" s="3" t="s">
        <v>27</v>
      </c>
      <c r="U13" s="4" t="s">
        <v>34</v>
      </c>
      <c r="V13" s="4" t="s">
        <v>17</v>
      </c>
      <c r="W13" s="4" t="s">
        <v>270</v>
      </c>
      <c r="X13" s="4" t="s">
        <v>27</v>
      </c>
      <c r="Y13" s="4" t="s">
        <v>463</v>
      </c>
      <c r="Z13" s="4" t="s">
        <v>489</v>
      </c>
      <c r="AA13" s="4" t="s">
        <v>27</v>
      </c>
      <c r="AB13" s="4" t="s">
        <v>178</v>
      </c>
      <c r="AC13" s="4" t="s">
        <v>27</v>
      </c>
      <c r="AD13" s="4" t="s">
        <v>706</v>
      </c>
      <c r="AE13" s="4" t="s">
        <v>707</v>
      </c>
      <c r="AF13" s="4" t="s">
        <v>27</v>
      </c>
      <c r="AG13" s="4" t="s">
        <v>708</v>
      </c>
      <c r="AH13" s="4" t="s">
        <v>29</v>
      </c>
      <c r="AI13" s="4" t="s">
        <v>139</v>
      </c>
      <c r="AJ13" s="4" t="s">
        <v>33</v>
      </c>
      <c r="AK13" s="4" t="s">
        <v>339</v>
      </c>
      <c r="AL13" s="4" t="s">
        <v>709</v>
      </c>
      <c r="AM13" s="4" t="s">
        <v>490</v>
      </c>
      <c r="AN13" s="4" t="s">
        <v>491</v>
      </c>
      <c r="AO13" s="4" t="s">
        <v>492</v>
      </c>
      <c r="AP13" s="6" t="s">
        <v>479</v>
      </c>
    </row>
    <row r="14" spans="1:42" s="20" customFormat="1" ht="289" x14ac:dyDescent="0.2">
      <c r="A14" s="4" t="s">
        <v>12</v>
      </c>
      <c r="B14" s="4" t="s">
        <v>27</v>
      </c>
      <c r="C14" s="4">
        <v>2020</v>
      </c>
      <c r="D14" s="4" t="s">
        <v>529</v>
      </c>
      <c r="E14" s="4" t="s">
        <v>530</v>
      </c>
      <c r="F14" s="4" t="s">
        <v>531</v>
      </c>
      <c r="G14" s="4" t="s">
        <v>532</v>
      </c>
      <c r="H14" s="4" t="s">
        <v>533</v>
      </c>
      <c r="I14" s="4" t="s">
        <v>309</v>
      </c>
      <c r="J14" s="4" t="s">
        <v>30</v>
      </c>
      <c r="K14" s="4" t="s">
        <v>27</v>
      </c>
      <c r="L14" s="4" t="s">
        <v>507</v>
      </c>
      <c r="M14" s="4" t="s">
        <v>27</v>
      </c>
      <c r="N14" s="4" t="s">
        <v>31</v>
      </c>
      <c r="O14" s="4" t="s">
        <v>525</v>
      </c>
      <c r="P14" s="23">
        <v>6</v>
      </c>
      <c r="Q14" s="4" t="s">
        <v>411</v>
      </c>
      <c r="R14" s="4" t="s">
        <v>710</v>
      </c>
      <c r="S14" s="4" t="s">
        <v>27</v>
      </c>
      <c r="T14" s="4" t="s">
        <v>27</v>
      </c>
      <c r="U14" s="4" t="s">
        <v>34</v>
      </c>
      <c r="V14" s="4" t="s">
        <v>127</v>
      </c>
      <c r="W14" s="4" t="s">
        <v>270</v>
      </c>
      <c r="X14" s="4" t="s">
        <v>27</v>
      </c>
      <c r="Y14" s="4" t="s">
        <v>523</v>
      </c>
      <c r="Z14" s="4" t="s">
        <v>58</v>
      </c>
      <c r="AA14" s="4" t="s">
        <v>27</v>
      </c>
      <c r="AB14" s="4" t="s">
        <v>631</v>
      </c>
      <c r="AC14" s="4" t="s">
        <v>711</v>
      </c>
      <c r="AD14" s="4" t="s">
        <v>27</v>
      </c>
      <c r="AE14" s="4" t="s">
        <v>27</v>
      </c>
      <c r="AF14" s="4" t="s">
        <v>27</v>
      </c>
      <c r="AG14" s="4" t="s">
        <v>27</v>
      </c>
      <c r="AH14" s="4" t="s">
        <v>524</v>
      </c>
      <c r="AI14" s="4" t="s">
        <v>138</v>
      </c>
      <c r="AJ14" s="4" t="s">
        <v>33</v>
      </c>
      <c r="AK14" s="4" t="s">
        <v>340</v>
      </c>
      <c r="AL14" s="4" t="s">
        <v>27</v>
      </c>
      <c r="AM14" s="4" t="s">
        <v>527</v>
      </c>
      <c r="AN14" s="4" t="s">
        <v>528</v>
      </c>
      <c r="AO14" s="4" t="s">
        <v>526</v>
      </c>
      <c r="AP14" s="4" t="s">
        <v>522</v>
      </c>
    </row>
    <row r="15" spans="1:42" ht="306" x14ac:dyDescent="0.2">
      <c r="A15" s="4" t="s">
        <v>12</v>
      </c>
      <c r="B15" s="4" t="s">
        <v>27</v>
      </c>
      <c r="C15" s="4">
        <v>2020</v>
      </c>
      <c r="D15" s="4" t="s">
        <v>552</v>
      </c>
      <c r="E15" s="4" t="s">
        <v>553</v>
      </c>
      <c r="F15" s="4" t="s">
        <v>554</v>
      </c>
      <c r="G15" s="4" t="s">
        <v>555</v>
      </c>
      <c r="H15" s="4" t="s">
        <v>556</v>
      </c>
      <c r="I15" s="4" t="s">
        <v>393</v>
      </c>
      <c r="J15" s="4" t="s">
        <v>30</v>
      </c>
      <c r="K15" s="4" t="s">
        <v>27</v>
      </c>
      <c r="L15" s="4" t="s">
        <v>697</v>
      </c>
      <c r="M15" s="4" t="s">
        <v>27</v>
      </c>
      <c r="N15" s="4" t="s">
        <v>31</v>
      </c>
      <c r="O15" s="4" t="s">
        <v>28</v>
      </c>
      <c r="P15" s="23">
        <v>100</v>
      </c>
      <c r="Q15" s="4" t="s">
        <v>411</v>
      </c>
      <c r="R15" s="4" t="s">
        <v>712</v>
      </c>
      <c r="S15" s="4" t="s">
        <v>716</v>
      </c>
      <c r="T15" s="4" t="s">
        <v>27</v>
      </c>
      <c r="U15" s="4" t="s">
        <v>34</v>
      </c>
      <c r="V15" s="4" t="s">
        <v>17</v>
      </c>
      <c r="W15" s="4" t="s">
        <v>270</v>
      </c>
      <c r="X15" s="4" t="s">
        <v>27</v>
      </c>
      <c r="Y15" s="4" t="s">
        <v>463</v>
      </c>
      <c r="Z15" s="4" t="s">
        <v>548</v>
      </c>
      <c r="AA15" s="4" t="s">
        <v>27</v>
      </c>
      <c r="AB15" s="4" t="s">
        <v>178</v>
      </c>
      <c r="AC15" s="4" t="s">
        <v>713</v>
      </c>
      <c r="AD15" s="4" t="s">
        <v>27</v>
      </c>
      <c r="AE15" s="4" t="s">
        <v>27</v>
      </c>
      <c r="AF15" s="4" t="s">
        <v>27</v>
      </c>
      <c r="AG15" s="4" t="s">
        <v>27</v>
      </c>
      <c r="AH15" s="4" t="s">
        <v>714</v>
      </c>
      <c r="AI15" s="4" t="s">
        <v>138</v>
      </c>
      <c r="AJ15" s="4" t="s">
        <v>27</v>
      </c>
      <c r="AK15" s="4" t="s">
        <v>341</v>
      </c>
      <c r="AL15" s="4" t="s">
        <v>27</v>
      </c>
      <c r="AM15" s="4" t="s">
        <v>550</v>
      </c>
      <c r="AN15" s="4" t="s">
        <v>551</v>
      </c>
      <c r="AO15" s="4" t="s">
        <v>549</v>
      </c>
      <c r="AP15" s="4" t="s">
        <v>547</v>
      </c>
    </row>
    <row r="16" spans="1:42" ht="409.6" x14ac:dyDescent="0.2">
      <c r="A16" s="3" t="s">
        <v>12</v>
      </c>
      <c r="B16" s="4" t="s">
        <v>27</v>
      </c>
      <c r="C16" s="3">
        <v>2018</v>
      </c>
      <c r="D16" s="3" t="s">
        <v>571</v>
      </c>
      <c r="E16" s="3" t="s">
        <v>572</v>
      </c>
      <c r="F16" s="3" t="s">
        <v>573</v>
      </c>
      <c r="G16" s="3" t="s">
        <v>574</v>
      </c>
      <c r="H16" s="3" t="s">
        <v>575</v>
      </c>
      <c r="I16" s="3" t="s">
        <v>484</v>
      </c>
      <c r="J16" s="3" t="s">
        <v>30</v>
      </c>
      <c r="K16" s="3" t="s">
        <v>27</v>
      </c>
      <c r="L16" s="3" t="s">
        <v>697</v>
      </c>
      <c r="M16" s="3" t="s">
        <v>642</v>
      </c>
      <c r="N16" s="3" t="s">
        <v>291</v>
      </c>
      <c r="O16" s="3" t="s">
        <v>563</v>
      </c>
      <c r="P16" s="23" t="s">
        <v>27</v>
      </c>
      <c r="Q16" s="3" t="s">
        <v>411</v>
      </c>
      <c r="R16" s="3" t="s">
        <v>28</v>
      </c>
      <c r="S16" s="3" t="s">
        <v>27</v>
      </c>
      <c r="T16" s="3" t="s">
        <v>27</v>
      </c>
      <c r="U16" s="3" t="s">
        <v>34</v>
      </c>
      <c r="V16" s="3" t="s">
        <v>17</v>
      </c>
      <c r="W16" s="3" t="s">
        <v>270</v>
      </c>
      <c r="X16" s="3" t="s">
        <v>27</v>
      </c>
      <c r="Y16" s="3" t="s">
        <v>523</v>
      </c>
      <c r="Z16" s="3" t="s">
        <v>534</v>
      </c>
      <c r="AA16" s="3" t="s">
        <v>27</v>
      </c>
      <c r="AB16" s="3" t="s">
        <v>178</v>
      </c>
      <c r="AC16" s="3" t="s">
        <v>717</v>
      </c>
      <c r="AD16" s="3" t="s">
        <v>565</v>
      </c>
      <c r="AE16" s="3" t="s">
        <v>566</v>
      </c>
      <c r="AF16" s="3" t="s">
        <v>567</v>
      </c>
      <c r="AG16" s="3">
        <v>0.9</v>
      </c>
      <c r="AH16" s="3" t="s">
        <v>564</v>
      </c>
      <c r="AI16" s="3" t="s">
        <v>334</v>
      </c>
      <c r="AJ16" s="3" t="s">
        <v>33</v>
      </c>
      <c r="AK16" s="3" t="s">
        <v>341</v>
      </c>
      <c r="AL16" s="3" t="s">
        <v>722</v>
      </c>
      <c r="AM16" s="3" t="s">
        <v>569</v>
      </c>
      <c r="AN16" s="3" t="s">
        <v>570</v>
      </c>
      <c r="AO16" s="3" t="s">
        <v>568</v>
      </c>
      <c r="AP16" s="3" t="s">
        <v>558</v>
      </c>
    </row>
    <row r="17" spans="1:42" ht="388" x14ac:dyDescent="0.2">
      <c r="A17" s="4" t="s">
        <v>12</v>
      </c>
      <c r="B17" s="4" t="s">
        <v>27</v>
      </c>
      <c r="C17" s="4">
        <v>2018</v>
      </c>
      <c r="D17" s="4" t="s">
        <v>586</v>
      </c>
      <c r="E17" s="4" t="s">
        <v>587</v>
      </c>
      <c r="F17" s="4" t="s">
        <v>588</v>
      </c>
      <c r="G17" s="4" t="s">
        <v>589</v>
      </c>
      <c r="H17" s="4" t="s">
        <v>590</v>
      </c>
      <c r="I17" s="4" t="s">
        <v>580</v>
      </c>
      <c r="J17" s="4" t="s">
        <v>30</v>
      </c>
      <c r="K17" s="4" t="s">
        <v>27</v>
      </c>
      <c r="L17" s="4" t="s">
        <v>697</v>
      </c>
      <c r="M17" s="4" t="s">
        <v>27</v>
      </c>
      <c r="N17" s="4" t="s">
        <v>31</v>
      </c>
      <c r="O17" s="4" t="s">
        <v>723</v>
      </c>
      <c r="P17" s="23">
        <v>6</v>
      </c>
      <c r="Q17" s="4" t="s">
        <v>411</v>
      </c>
      <c r="R17" s="4" t="s">
        <v>710</v>
      </c>
      <c r="S17" s="4" t="s">
        <v>27</v>
      </c>
      <c r="T17" s="4" t="s">
        <v>27</v>
      </c>
      <c r="U17" s="4" t="s">
        <v>34</v>
      </c>
      <c r="V17" s="4" t="s">
        <v>127</v>
      </c>
      <c r="W17" s="4" t="s">
        <v>178</v>
      </c>
      <c r="X17" s="4" t="s">
        <v>27</v>
      </c>
      <c r="Y17" s="4" t="s">
        <v>463</v>
      </c>
      <c r="Z17" s="4" t="s">
        <v>489</v>
      </c>
      <c r="AA17" s="4" t="s">
        <v>27</v>
      </c>
      <c r="AB17" s="4" t="s">
        <v>178</v>
      </c>
      <c r="AC17" s="4" t="s">
        <v>711</v>
      </c>
      <c r="AD17" s="4" t="s">
        <v>27</v>
      </c>
      <c r="AE17" s="4" t="s">
        <v>27</v>
      </c>
      <c r="AF17" s="4" t="s">
        <v>27</v>
      </c>
      <c r="AG17" s="4" t="s">
        <v>27</v>
      </c>
      <c r="AH17" s="4" t="s">
        <v>582</v>
      </c>
      <c r="AI17" s="4" t="s">
        <v>138</v>
      </c>
      <c r="AJ17" s="4" t="s">
        <v>33</v>
      </c>
      <c r="AK17" s="4" t="s">
        <v>340</v>
      </c>
      <c r="AL17" s="4" t="s">
        <v>27</v>
      </c>
      <c r="AM17" s="4" t="s">
        <v>584</v>
      </c>
      <c r="AN17" s="4" t="s">
        <v>585</v>
      </c>
      <c r="AO17" s="4" t="s">
        <v>583</v>
      </c>
      <c r="AP17" s="4" t="s">
        <v>579</v>
      </c>
    </row>
    <row r="18" spans="1:42" ht="409.6" x14ac:dyDescent="0.2">
      <c r="A18" s="12" t="s">
        <v>12</v>
      </c>
      <c r="B18" s="12" t="s">
        <v>33</v>
      </c>
      <c r="C18" s="12">
        <v>2022</v>
      </c>
      <c r="D18" s="12" t="s">
        <v>625</v>
      </c>
      <c r="E18" s="12" t="s">
        <v>313</v>
      </c>
      <c r="F18" s="12" t="s">
        <v>626</v>
      </c>
      <c r="G18" s="12" t="s">
        <v>627</v>
      </c>
      <c r="H18" s="12" t="s">
        <v>628</v>
      </c>
      <c r="I18" s="12" t="s">
        <v>208</v>
      </c>
      <c r="J18" s="12" t="s">
        <v>30</v>
      </c>
      <c r="K18" s="12" t="s">
        <v>27</v>
      </c>
      <c r="L18" s="12" t="s">
        <v>697</v>
      </c>
      <c r="M18" s="12" t="s">
        <v>667</v>
      </c>
      <c r="N18" s="12" t="s">
        <v>31</v>
      </c>
      <c r="O18" s="12" t="s">
        <v>28</v>
      </c>
      <c r="P18" s="29">
        <v>100</v>
      </c>
      <c r="Q18" s="12" t="s">
        <v>411</v>
      </c>
      <c r="R18" s="12" t="s">
        <v>724</v>
      </c>
      <c r="S18" s="12" t="s">
        <v>725</v>
      </c>
      <c r="T18" s="12" t="s">
        <v>27</v>
      </c>
      <c r="U18" s="12" t="s">
        <v>34</v>
      </c>
      <c r="V18" s="12" t="s">
        <v>127</v>
      </c>
      <c r="W18" s="12" t="s">
        <v>270</v>
      </c>
      <c r="X18" s="12" t="s">
        <v>27</v>
      </c>
      <c r="Y18" s="12" t="s">
        <v>616</v>
      </c>
      <c r="Z18" s="12" t="s">
        <v>618</v>
      </c>
      <c r="AA18" s="12" t="s">
        <v>726</v>
      </c>
      <c r="AB18" s="12" t="s">
        <v>178</v>
      </c>
      <c r="AC18" s="12" t="s">
        <v>619</v>
      </c>
      <c r="AD18" s="12" t="s">
        <v>27</v>
      </c>
      <c r="AE18" s="12" t="s">
        <v>27</v>
      </c>
      <c r="AF18" s="12" t="s">
        <v>617</v>
      </c>
      <c r="AG18" s="12" t="s">
        <v>617</v>
      </c>
      <c r="AH18" s="12" t="s">
        <v>621</v>
      </c>
      <c r="AI18" s="12" t="s">
        <v>248</v>
      </c>
      <c r="AJ18" s="12" t="s">
        <v>27</v>
      </c>
      <c r="AK18" s="12" t="s">
        <v>339</v>
      </c>
      <c r="AL18" s="12" t="s">
        <v>623</v>
      </c>
      <c r="AM18" s="12" t="s">
        <v>622</v>
      </c>
      <c r="AN18" s="12" t="s">
        <v>624</v>
      </c>
      <c r="AO18" s="12" t="s">
        <v>620</v>
      </c>
      <c r="AP18" s="12" t="s">
        <v>615</v>
      </c>
    </row>
    <row r="19" spans="1:42" s="3" customFormat="1" ht="409.6" x14ac:dyDescent="0.2">
      <c r="A19" s="4" t="s">
        <v>12</v>
      </c>
      <c r="B19" s="15" t="s">
        <v>27</v>
      </c>
      <c r="C19" s="4">
        <v>2021</v>
      </c>
      <c r="D19" s="4" t="s">
        <v>113</v>
      </c>
      <c r="E19" s="4" t="s">
        <v>114</v>
      </c>
      <c r="F19" s="4" t="s">
        <v>115</v>
      </c>
      <c r="G19" s="4" t="s">
        <v>117</v>
      </c>
      <c r="H19" s="4" t="s">
        <v>116</v>
      </c>
      <c r="I19" s="4" t="s">
        <v>118</v>
      </c>
      <c r="J19" s="4" t="s">
        <v>30</v>
      </c>
      <c r="K19" s="4" t="s">
        <v>27</v>
      </c>
      <c r="L19" s="4" t="s">
        <v>27</v>
      </c>
      <c r="M19" s="4" t="s">
        <v>27</v>
      </c>
      <c r="N19" s="4" t="s">
        <v>31</v>
      </c>
      <c r="O19" s="4" t="s">
        <v>739</v>
      </c>
      <c r="P19" s="23">
        <v>400</v>
      </c>
      <c r="Q19" s="4" t="s">
        <v>411</v>
      </c>
      <c r="R19" s="4" t="s">
        <v>740</v>
      </c>
      <c r="S19" s="4" t="s">
        <v>743</v>
      </c>
      <c r="T19" s="4" t="s">
        <v>27</v>
      </c>
      <c r="U19" s="4" t="s">
        <v>34</v>
      </c>
      <c r="V19" s="4" t="s">
        <v>63</v>
      </c>
      <c r="W19" s="4" t="s">
        <v>270</v>
      </c>
      <c r="X19" s="4" t="s">
        <v>27</v>
      </c>
      <c r="Y19" s="4" t="s">
        <v>616</v>
      </c>
      <c r="Z19" s="4" t="s">
        <v>58</v>
      </c>
      <c r="AA19" s="4" t="s">
        <v>742</v>
      </c>
      <c r="AB19" s="4" t="s">
        <v>631</v>
      </c>
      <c r="AC19" s="4" t="s">
        <v>744</v>
      </c>
      <c r="AD19" s="4" t="s">
        <v>27</v>
      </c>
      <c r="AE19" s="4" t="s">
        <v>27</v>
      </c>
      <c r="AF19" s="4">
        <v>0.2</v>
      </c>
      <c r="AG19" s="4" t="s">
        <v>741</v>
      </c>
      <c r="AH19" s="4" t="s">
        <v>29</v>
      </c>
      <c r="AI19" s="4" t="s">
        <v>138</v>
      </c>
      <c r="AJ19" s="4" t="s">
        <v>33</v>
      </c>
      <c r="AK19" s="4" t="s">
        <v>341</v>
      </c>
      <c r="AL19" s="4" t="s">
        <v>27</v>
      </c>
      <c r="AM19" s="4" t="s">
        <v>119</v>
      </c>
      <c r="AN19" s="4" t="s">
        <v>120</v>
      </c>
      <c r="AO19" s="4" t="s">
        <v>745</v>
      </c>
      <c r="AP19" s="6" t="s">
        <v>112</v>
      </c>
    </row>
    <row r="20" spans="1:42" s="4" customFormat="1" ht="404" x14ac:dyDescent="0.2">
      <c r="A20" s="12" t="s">
        <v>12</v>
      </c>
      <c r="B20" s="12" t="s">
        <v>33</v>
      </c>
      <c r="C20" s="12">
        <v>2022</v>
      </c>
      <c r="D20" s="12" t="s">
        <v>347</v>
      </c>
      <c r="E20" s="12" t="s">
        <v>346</v>
      </c>
      <c r="F20" s="12" t="s">
        <v>348</v>
      </c>
      <c r="G20" s="12" t="s">
        <v>344</v>
      </c>
      <c r="H20" s="12" t="s">
        <v>345</v>
      </c>
      <c r="I20" s="12" t="s">
        <v>208</v>
      </c>
      <c r="J20" s="12" t="s">
        <v>223</v>
      </c>
      <c r="K20" s="12" t="s">
        <v>27</v>
      </c>
      <c r="L20" s="12" t="s">
        <v>1147</v>
      </c>
      <c r="M20" s="12" t="s">
        <v>27</v>
      </c>
      <c r="N20" s="12" t="s">
        <v>291</v>
      </c>
      <c r="O20" s="12" t="s">
        <v>352</v>
      </c>
      <c r="P20" s="29">
        <v>1</v>
      </c>
      <c r="Q20" s="12" t="s">
        <v>411</v>
      </c>
      <c r="R20" s="12" t="s">
        <v>786</v>
      </c>
      <c r="S20" s="12" t="s">
        <v>27</v>
      </c>
      <c r="T20" s="10" t="s">
        <v>206</v>
      </c>
      <c r="U20" s="12" t="s">
        <v>34</v>
      </c>
      <c r="V20" s="12" t="s">
        <v>127</v>
      </c>
      <c r="W20" s="12" t="s">
        <v>19</v>
      </c>
      <c r="X20" s="12" t="s">
        <v>27</v>
      </c>
      <c r="Y20" s="12" t="s">
        <v>463</v>
      </c>
      <c r="Z20" s="12" t="s">
        <v>356</v>
      </c>
      <c r="AA20" s="12" t="s">
        <v>206</v>
      </c>
      <c r="AB20" s="12" t="s">
        <v>631</v>
      </c>
      <c r="AC20" s="12" t="s">
        <v>783</v>
      </c>
      <c r="AD20" s="12" t="s">
        <v>784</v>
      </c>
      <c r="AE20" s="12" t="s">
        <v>785</v>
      </c>
      <c r="AF20" s="12" t="s">
        <v>787</v>
      </c>
      <c r="AG20" s="12" t="s">
        <v>27</v>
      </c>
      <c r="AH20" s="12" t="s">
        <v>353</v>
      </c>
      <c r="AI20" s="12" t="s">
        <v>138</v>
      </c>
      <c r="AJ20" s="12" t="s">
        <v>33</v>
      </c>
      <c r="AK20" s="12" t="s">
        <v>342</v>
      </c>
      <c r="AL20" s="12" t="s">
        <v>27</v>
      </c>
      <c r="AM20" s="12" t="s">
        <v>355</v>
      </c>
      <c r="AN20" s="12" t="s">
        <v>357</v>
      </c>
      <c r="AO20" s="12" t="s">
        <v>354</v>
      </c>
      <c r="AP20" s="13" t="s">
        <v>349</v>
      </c>
    </row>
    <row r="21" spans="1:42" ht="409.6" x14ac:dyDescent="0.2">
      <c r="A21" s="17" t="s">
        <v>12</v>
      </c>
      <c r="B21" s="17" t="s">
        <v>1133</v>
      </c>
      <c r="C21" s="17">
        <v>2021</v>
      </c>
      <c r="D21" s="17" t="s">
        <v>862</v>
      </c>
      <c r="E21" s="17" t="s">
        <v>863</v>
      </c>
      <c r="F21" s="17" t="s">
        <v>864</v>
      </c>
      <c r="G21" s="17" t="s">
        <v>865</v>
      </c>
      <c r="H21" s="17" t="s">
        <v>866</v>
      </c>
      <c r="I21" s="17" t="s">
        <v>856</v>
      </c>
      <c r="J21" s="17" t="s">
        <v>30</v>
      </c>
      <c r="K21" s="17" t="s">
        <v>33</v>
      </c>
      <c r="L21" s="17" t="s">
        <v>854</v>
      </c>
      <c r="M21" s="17" t="s">
        <v>27</v>
      </c>
      <c r="N21" s="17" t="s">
        <v>31</v>
      </c>
      <c r="O21" s="17" t="s">
        <v>859</v>
      </c>
      <c r="P21" s="30">
        <v>15</v>
      </c>
      <c r="Q21" s="17" t="s">
        <v>411</v>
      </c>
      <c r="R21" s="17" t="s">
        <v>858</v>
      </c>
      <c r="S21" s="17" t="s">
        <v>857</v>
      </c>
      <c r="T21" s="17" t="s">
        <v>206</v>
      </c>
      <c r="U21" s="17" t="s">
        <v>34</v>
      </c>
      <c r="V21" s="17" t="s">
        <v>17</v>
      </c>
      <c r="W21" s="17" t="s">
        <v>270</v>
      </c>
      <c r="X21" s="17" t="s">
        <v>27</v>
      </c>
      <c r="Y21" s="17" t="s">
        <v>463</v>
      </c>
      <c r="Z21" s="17" t="s">
        <v>837</v>
      </c>
      <c r="AA21" s="17" t="s">
        <v>27</v>
      </c>
      <c r="AB21" s="17" t="s">
        <v>631</v>
      </c>
      <c r="AC21" s="17" t="s">
        <v>816</v>
      </c>
      <c r="AD21" s="17" t="s">
        <v>855</v>
      </c>
      <c r="AE21" s="17" t="s">
        <v>855</v>
      </c>
      <c r="AF21" s="17" t="s">
        <v>27</v>
      </c>
      <c r="AG21" s="17" t="s">
        <v>27</v>
      </c>
      <c r="AH21" s="17" t="s">
        <v>29</v>
      </c>
      <c r="AI21" s="17" t="s">
        <v>27</v>
      </c>
      <c r="AJ21" s="17" t="s">
        <v>27</v>
      </c>
      <c r="AK21" s="17"/>
      <c r="AL21" s="17" t="s">
        <v>27</v>
      </c>
      <c r="AM21" s="17" t="s">
        <v>861</v>
      </c>
      <c r="AN21" s="17"/>
      <c r="AO21" s="17" t="s">
        <v>860</v>
      </c>
      <c r="AP21" s="17" t="s">
        <v>853</v>
      </c>
    </row>
  </sheetData>
  <autoFilter ref="A1:AP21" xr:uid="{0F4ED4B2-C92F-8D4A-A28E-577901A74F93}"/>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97AAF-1D2E-0348-91B1-0B5295A47A09}">
  <dimension ref="A1:AP14"/>
  <sheetViews>
    <sheetView topLeftCell="F1" zoomScale="90" workbookViewId="0">
      <pane ySplit="1" topLeftCell="A2" activePane="bottomLeft" state="frozen"/>
      <selection pane="bottomLeft" activeCell="G3" sqref="G3"/>
    </sheetView>
  </sheetViews>
  <sheetFormatPr baseColWidth="10" defaultColWidth="10.83203125" defaultRowHeight="16" x14ac:dyDescent="0.2"/>
  <cols>
    <col min="1" max="1" width="8.83203125" bestFit="1" customWidth="1"/>
    <col min="2" max="2" width="8.83203125" customWidth="1"/>
    <col min="3" max="3" width="8.33203125" customWidth="1"/>
    <col min="4" max="4" width="20.33203125" customWidth="1"/>
    <col min="5" max="5" width="15.1640625" customWidth="1"/>
    <col min="6" max="6" width="20.1640625" customWidth="1"/>
    <col min="7" max="7" width="52.5" customWidth="1"/>
    <col min="8" max="8" width="20.83203125" customWidth="1"/>
    <col min="9" max="9" width="20.6640625" customWidth="1"/>
    <col min="10" max="10" width="19.5" bestFit="1" customWidth="1"/>
    <col min="11" max="11" width="4.6640625" bestFit="1" customWidth="1"/>
    <col min="12" max="12" width="11.1640625" customWidth="1"/>
    <col min="13" max="13" width="18.6640625" bestFit="1" customWidth="1"/>
    <col min="14" max="14" width="28.83203125" bestFit="1" customWidth="1"/>
    <col min="15" max="15" width="24.83203125" bestFit="1" customWidth="1"/>
    <col min="16" max="16" width="24.83203125" customWidth="1"/>
    <col min="17" max="17" width="38.66406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bestFit="1" customWidth="1"/>
    <col min="38" max="38" width="25.83203125" customWidth="1"/>
    <col min="39" max="39" width="65.6640625" customWidth="1"/>
    <col min="40" max="40" width="24.83203125" customWidth="1"/>
    <col min="41" max="41" width="26.33203125" customWidth="1"/>
    <col min="42" max="42" width="23.8320312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22" customFormat="1" ht="338" customHeight="1" x14ac:dyDescent="0.2">
      <c r="A2" s="4" t="s">
        <v>12</v>
      </c>
      <c r="B2" s="4" t="s">
        <v>27</v>
      </c>
      <c r="C2" s="4">
        <v>2020</v>
      </c>
      <c r="D2" s="4" t="s">
        <v>44</v>
      </c>
      <c r="E2" s="4" t="s">
        <v>502</v>
      </c>
      <c r="F2" s="4" t="s">
        <v>107</v>
      </c>
      <c r="G2" s="4" t="s">
        <v>45</v>
      </c>
      <c r="H2" s="4" t="s">
        <v>46</v>
      </c>
      <c r="I2" s="4" t="s">
        <v>49</v>
      </c>
      <c r="J2" s="4" t="s">
        <v>30</v>
      </c>
      <c r="K2" s="4" t="s">
        <v>27</v>
      </c>
      <c r="L2" s="4" t="s">
        <v>27</v>
      </c>
      <c r="M2" s="4" t="s">
        <v>27</v>
      </c>
      <c r="N2" s="4" t="s">
        <v>31</v>
      </c>
      <c r="O2" s="4" t="s">
        <v>731</v>
      </c>
      <c r="P2" s="23">
        <v>300</v>
      </c>
      <c r="Q2" s="4" t="s">
        <v>411</v>
      </c>
      <c r="R2" s="4" t="s">
        <v>727</v>
      </c>
      <c r="S2" s="4" t="s">
        <v>27</v>
      </c>
      <c r="T2" s="4" t="s">
        <v>27</v>
      </c>
      <c r="U2" s="4" t="s">
        <v>34</v>
      </c>
      <c r="V2" s="4" t="s">
        <v>17</v>
      </c>
      <c r="W2" s="4" t="s">
        <v>270</v>
      </c>
      <c r="X2" s="4" t="s">
        <v>27</v>
      </c>
      <c r="Y2" s="4" t="s">
        <v>523</v>
      </c>
      <c r="Z2" s="4" t="s">
        <v>388</v>
      </c>
      <c r="AA2" s="4" t="s">
        <v>27</v>
      </c>
      <c r="AB2" s="4" t="s">
        <v>631</v>
      </c>
      <c r="AC2" s="4" t="s">
        <v>27</v>
      </c>
      <c r="AD2" s="4" t="s">
        <v>729</v>
      </c>
      <c r="AE2" s="4" t="s">
        <v>730</v>
      </c>
      <c r="AF2" s="4" t="s">
        <v>728</v>
      </c>
      <c r="AG2" s="4" t="s">
        <v>732</v>
      </c>
      <c r="AH2" s="4" t="s">
        <v>29</v>
      </c>
      <c r="AI2" s="4" t="s">
        <v>138</v>
      </c>
      <c r="AJ2" s="4" t="s">
        <v>27</v>
      </c>
      <c r="AK2" s="4" t="s">
        <v>338</v>
      </c>
      <c r="AL2" s="4" t="s">
        <v>27</v>
      </c>
      <c r="AM2" s="4" t="s">
        <v>51</v>
      </c>
      <c r="AN2" s="4" t="s">
        <v>53</v>
      </c>
      <c r="AO2" s="4" t="s">
        <v>52</v>
      </c>
      <c r="AP2" s="6" t="s">
        <v>47</v>
      </c>
    </row>
    <row r="3" spans="1:42" s="3" customFormat="1" ht="404" x14ac:dyDescent="0.2">
      <c r="A3" s="10" t="s">
        <v>12</v>
      </c>
      <c r="B3" s="10" t="s">
        <v>33</v>
      </c>
      <c r="C3" s="10">
        <v>2017</v>
      </c>
      <c r="D3" s="10" t="s">
        <v>55</v>
      </c>
      <c r="E3" s="10" t="s">
        <v>97</v>
      </c>
      <c r="F3" s="10" t="s">
        <v>108</v>
      </c>
      <c r="G3" s="10" t="s">
        <v>57</v>
      </c>
      <c r="H3" s="10" t="s">
        <v>56</v>
      </c>
      <c r="I3" s="10" t="s">
        <v>59</v>
      </c>
      <c r="J3" s="10" t="s">
        <v>30</v>
      </c>
      <c r="K3" s="10" t="s">
        <v>27</v>
      </c>
      <c r="L3" s="10" t="s">
        <v>27</v>
      </c>
      <c r="M3" s="10" t="s">
        <v>27</v>
      </c>
      <c r="N3" s="10" t="s">
        <v>31</v>
      </c>
      <c r="O3" s="10" t="s">
        <v>737</v>
      </c>
      <c r="P3" s="29">
        <v>2000000</v>
      </c>
      <c r="Q3" s="10" t="s">
        <v>411</v>
      </c>
      <c r="R3" s="10" t="s">
        <v>733</v>
      </c>
      <c r="S3" s="10" t="s">
        <v>27</v>
      </c>
      <c r="T3" s="10" t="s">
        <v>27</v>
      </c>
      <c r="U3" s="10" t="s">
        <v>34</v>
      </c>
      <c r="V3" s="10" t="s">
        <v>17</v>
      </c>
      <c r="W3" s="10" t="s">
        <v>19</v>
      </c>
      <c r="X3" s="10" t="s">
        <v>27</v>
      </c>
      <c r="Y3" s="10" t="s">
        <v>523</v>
      </c>
      <c r="Z3" s="10" t="s">
        <v>58</v>
      </c>
      <c r="AA3" s="10" t="s">
        <v>27</v>
      </c>
      <c r="AB3" s="10" t="s">
        <v>631</v>
      </c>
      <c r="AC3" s="10" t="s">
        <v>27</v>
      </c>
      <c r="AD3" s="10" t="s">
        <v>734</v>
      </c>
      <c r="AE3" s="10" t="s">
        <v>735</v>
      </c>
      <c r="AF3" s="10" t="s">
        <v>736</v>
      </c>
      <c r="AG3" s="10" t="s">
        <v>738</v>
      </c>
      <c r="AH3" s="10" t="s">
        <v>690</v>
      </c>
      <c r="AI3" s="10" t="s">
        <v>138</v>
      </c>
      <c r="AJ3" s="10" t="s">
        <v>33</v>
      </c>
      <c r="AK3" s="10" t="s">
        <v>338</v>
      </c>
      <c r="AL3" s="10" t="s">
        <v>27</v>
      </c>
      <c r="AM3" s="12" t="s">
        <v>83</v>
      </c>
      <c r="AN3" s="10" t="s">
        <v>61</v>
      </c>
      <c r="AO3" s="10" t="s">
        <v>60</v>
      </c>
      <c r="AP3" s="11" t="s">
        <v>54</v>
      </c>
    </row>
    <row r="4" spans="1:42" s="3" customFormat="1" ht="409.6" x14ac:dyDescent="0.2">
      <c r="A4" s="3" t="s">
        <v>12</v>
      </c>
      <c r="B4" s="3" t="s">
        <v>27</v>
      </c>
      <c r="C4" s="3">
        <v>2018</v>
      </c>
      <c r="D4" s="3" t="s">
        <v>96</v>
      </c>
      <c r="E4" s="3" t="s">
        <v>97</v>
      </c>
      <c r="F4" s="3" t="s">
        <v>109</v>
      </c>
      <c r="G4" s="3" t="s">
        <v>98</v>
      </c>
      <c r="H4" s="3" t="s">
        <v>99</v>
      </c>
      <c r="I4" s="3" t="s">
        <v>59</v>
      </c>
      <c r="J4" s="3" t="s">
        <v>30</v>
      </c>
      <c r="K4" s="3" t="s">
        <v>27</v>
      </c>
      <c r="L4" s="3" t="s">
        <v>27</v>
      </c>
      <c r="M4" s="3" t="s">
        <v>27</v>
      </c>
      <c r="N4" s="3" t="s">
        <v>31</v>
      </c>
      <c r="O4" s="3" t="s">
        <v>28</v>
      </c>
      <c r="P4" s="23">
        <v>2000000</v>
      </c>
      <c r="Q4" s="3" t="s">
        <v>411</v>
      </c>
      <c r="R4" s="3" t="s">
        <v>733</v>
      </c>
      <c r="S4" s="3" t="s">
        <v>751</v>
      </c>
      <c r="T4" s="3" t="s">
        <v>27</v>
      </c>
      <c r="U4" s="3" t="s">
        <v>34</v>
      </c>
      <c r="V4" s="4" t="s">
        <v>17</v>
      </c>
      <c r="W4" s="3" t="s">
        <v>19</v>
      </c>
      <c r="X4" s="3" t="s">
        <v>27</v>
      </c>
      <c r="Y4" s="3" t="s">
        <v>523</v>
      </c>
      <c r="Z4" s="3" t="s">
        <v>58</v>
      </c>
      <c r="AA4" s="3" t="s">
        <v>27</v>
      </c>
      <c r="AB4" s="3" t="s">
        <v>631</v>
      </c>
      <c r="AC4" s="3" t="s">
        <v>750</v>
      </c>
      <c r="AD4" s="3" t="s">
        <v>747</v>
      </c>
      <c r="AE4" s="3" t="s">
        <v>746</v>
      </c>
      <c r="AF4" s="3" t="s">
        <v>748</v>
      </c>
      <c r="AG4" s="3" t="s">
        <v>749</v>
      </c>
      <c r="AH4" s="3" t="s">
        <v>690</v>
      </c>
      <c r="AI4" s="3" t="s">
        <v>138</v>
      </c>
      <c r="AJ4" s="3" t="s">
        <v>33</v>
      </c>
      <c r="AK4" s="3" t="s">
        <v>338</v>
      </c>
      <c r="AL4" s="3" t="s">
        <v>27</v>
      </c>
      <c r="AM4" s="4" t="s">
        <v>103</v>
      </c>
      <c r="AN4" s="3" t="s">
        <v>104</v>
      </c>
      <c r="AO4" s="3" t="s">
        <v>102</v>
      </c>
      <c r="AP4" s="5" t="s">
        <v>100</v>
      </c>
    </row>
    <row r="5" spans="1:42" s="3" customFormat="1" ht="409.6" x14ac:dyDescent="0.2">
      <c r="A5" s="10" t="s">
        <v>12</v>
      </c>
      <c r="B5" s="10" t="s">
        <v>33</v>
      </c>
      <c r="C5" s="10">
        <v>2015</v>
      </c>
      <c r="D5" s="10" t="s">
        <v>123</v>
      </c>
      <c r="E5" s="10" t="s">
        <v>124</v>
      </c>
      <c r="F5" s="10" t="s">
        <v>122</v>
      </c>
      <c r="G5" s="10" t="s">
        <v>126</v>
      </c>
      <c r="H5" s="10" t="s">
        <v>125</v>
      </c>
      <c r="I5" s="10" t="s">
        <v>59</v>
      </c>
      <c r="J5" s="10" t="s">
        <v>30</v>
      </c>
      <c r="K5" s="10" t="s">
        <v>27</v>
      </c>
      <c r="L5" s="10" t="s">
        <v>27</v>
      </c>
      <c r="M5" s="10" t="s">
        <v>27</v>
      </c>
      <c r="N5" s="10" t="s">
        <v>31</v>
      </c>
      <c r="O5" s="10" t="s">
        <v>754</v>
      </c>
      <c r="P5" s="29">
        <v>9300</v>
      </c>
      <c r="Q5" s="10" t="s">
        <v>411</v>
      </c>
      <c r="R5" s="10" t="s">
        <v>752</v>
      </c>
      <c r="S5" s="10" t="s">
        <v>27</v>
      </c>
      <c r="T5" s="10" t="s">
        <v>27</v>
      </c>
      <c r="U5" s="10" t="s">
        <v>1148</v>
      </c>
      <c r="V5" s="12" t="s">
        <v>17</v>
      </c>
      <c r="W5" s="10" t="s">
        <v>19</v>
      </c>
      <c r="X5" s="12" t="s">
        <v>27</v>
      </c>
      <c r="Y5" s="10" t="s">
        <v>616</v>
      </c>
      <c r="Z5" s="10" t="s">
        <v>767</v>
      </c>
      <c r="AA5" s="10" t="s">
        <v>27</v>
      </c>
      <c r="AB5" s="10" t="s">
        <v>631</v>
      </c>
      <c r="AC5" s="10" t="s">
        <v>762</v>
      </c>
      <c r="AD5" s="10" t="s">
        <v>757</v>
      </c>
      <c r="AE5" s="10" t="s">
        <v>756</v>
      </c>
      <c r="AF5" s="10" t="s">
        <v>755</v>
      </c>
      <c r="AG5" s="10">
        <v>0.8</v>
      </c>
      <c r="AH5" s="10" t="s">
        <v>763</v>
      </c>
      <c r="AI5" s="10" t="s">
        <v>138</v>
      </c>
      <c r="AJ5" s="10" t="s">
        <v>33</v>
      </c>
      <c r="AK5" s="10" t="s">
        <v>342</v>
      </c>
      <c r="AL5" s="10" t="s">
        <v>753</v>
      </c>
      <c r="AM5" s="12" t="s">
        <v>142</v>
      </c>
      <c r="AN5" s="10" t="s">
        <v>144</v>
      </c>
      <c r="AO5" s="10" t="s">
        <v>143</v>
      </c>
      <c r="AP5" s="11" t="s">
        <v>121</v>
      </c>
    </row>
    <row r="6" spans="1:42" s="3" customFormat="1" ht="372" x14ac:dyDescent="0.2">
      <c r="A6" s="10" t="s">
        <v>12</v>
      </c>
      <c r="B6" s="10" t="s">
        <v>33</v>
      </c>
      <c r="C6" s="10">
        <v>2015</v>
      </c>
      <c r="D6" s="10" t="s">
        <v>227</v>
      </c>
      <c r="E6" s="10" t="s">
        <v>228</v>
      </c>
      <c r="F6" s="10" t="s">
        <v>229</v>
      </c>
      <c r="G6" s="10" t="s">
        <v>231</v>
      </c>
      <c r="H6" s="10" t="s">
        <v>230</v>
      </c>
      <c r="I6" s="10" t="s">
        <v>208</v>
      </c>
      <c r="J6" s="10" t="s">
        <v>30</v>
      </c>
      <c r="K6" s="10" t="s">
        <v>27</v>
      </c>
      <c r="L6" s="10" t="s">
        <v>507</v>
      </c>
      <c r="M6" s="10" t="s">
        <v>27</v>
      </c>
      <c r="N6" s="10" t="s">
        <v>31</v>
      </c>
      <c r="O6" s="10" t="s">
        <v>764</v>
      </c>
      <c r="P6" s="29">
        <v>1000</v>
      </c>
      <c r="Q6" s="10" t="s">
        <v>411</v>
      </c>
      <c r="R6" s="10" t="s">
        <v>662</v>
      </c>
      <c r="S6" s="10" t="s">
        <v>33</v>
      </c>
      <c r="T6" s="10" t="s">
        <v>27</v>
      </c>
      <c r="U6" s="10" t="s">
        <v>141</v>
      </c>
      <c r="V6" s="10" t="s">
        <v>63</v>
      </c>
      <c r="W6" s="10" t="s">
        <v>270</v>
      </c>
      <c r="X6" s="10" t="s">
        <v>233</v>
      </c>
      <c r="Y6" s="10" t="s">
        <v>463</v>
      </c>
      <c r="Z6" s="10" t="s">
        <v>6209</v>
      </c>
      <c r="AA6" s="10" t="s">
        <v>27</v>
      </c>
      <c r="AB6" s="10" t="s">
        <v>631</v>
      </c>
      <c r="AC6" s="10" t="s">
        <v>765</v>
      </c>
      <c r="AD6" s="10" t="s">
        <v>27</v>
      </c>
      <c r="AE6" s="10" t="s">
        <v>27</v>
      </c>
      <c r="AF6" s="10" t="s">
        <v>27</v>
      </c>
      <c r="AG6" s="10" t="s">
        <v>27</v>
      </c>
      <c r="AH6" s="10" t="s">
        <v>766</v>
      </c>
      <c r="AI6" s="10" t="s">
        <v>140</v>
      </c>
      <c r="AJ6" s="10" t="s">
        <v>33</v>
      </c>
      <c r="AK6" s="10" t="s">
        <v>292</v>
      </c>
      <c r="AL6" s="10" t="s">
        <v>27</v>
      </c>
      <c r="AM6" s="10" t="s">
        <v>234</v>
      </c>
      <c r="AN6" s="10" t="s">
        <v>235</v>
      </c>
      <c r="AO6" s="10" t="s">
        <v>236</v>
      </c>
      <c r="AP6" s="11" t="s">
        <v>232</v>
      </c>
    </row>
    <row r="7" spans="1:42" s="4" customFormat="1" ht="409.6" x14ac:dyDescent="0.2">
      <c r="A7" s="12" t="s">
        <v>12</v>
      </c>
      <c r="B7" s="12" t="s">
        <v>33</v>
      </c>
      <c r="C7" s="12">
        <v>2021</v>
      </c>
      <c r="D7" s="12" t="s">
        <v>276</v>
      </c>
      <c r="E7" s="12" t="s">
        <v>278</v>
      </c>
      <c r="F7" s="12" t="s">
        <v>277</v>
      </c>
      <c r="G7" s="12" t="s">
        <v>280</v>
      </c>
      <c r="H7" s="12" t="s">
        <v>279</v>
      </c>
      <c r="I7" s="12" t="s">
        <v>282</v>
      </c>
      <c r="J7" s="12" t="s">
        <v>30</v>
      </c>
      <c r="K7" s="12" t="s">
        <v>27</v>
      </c>
      <c r="L7" s="12" t="s">
        <v>27</v>
      </c>
      <c r="M7" s="12" t="s">
        <v>27</v>
      </c>
      <c r="N7" s="12" t="s">
        <v>31</v>
      </c>
      <c r="O7" s="12" t="s">
        <v>770</v>
      </c>
      <c r="P7" s="29">
        <v>70</v>
      </c>
      <c r="Q7" s="12" t="s">
        <v>411</v>
      </c>
      <c r="R7" s="12" t="s">
        <v>771</v>
      </c>
      <c r="S7" s="12" t="s">
        <v>27</v>
      </c>
      <c r="T7" s="12" t="s">
        <v>27</v>
      </c>
      <c r="U7" s="12" t="s">
        <v>34</v>
      </c>
      <c r="V7" s="12" t="s">
        <v>17</v>
      </c>
      <c r="W7" s="12" t="s">
        <v>19</v>
      </c>
      <c r="X7" s="12" t="s">
        <v>27</v>
      </c>
      <c r="Y7" s="12" t="s">
        <v>772</v>
      </c>
      <c r="Z7" s="12" t="s">
        <v>773</v>
      </c>
      <c r="AA7" s="12" t="s">
        <v>27</v>
      </c>
      <c r="AB7" s="12" t="s">
        <v>178</v>
      </c>
      <c r="AC7" s="12" t="s">
        <v>27</v>
      </c>
      <c r="AD7" s="12" t="s">
        <v>769</v>
      </c>
      <c r="AE7" s="12" t="s">
        <v>768</v>
      </c>
      <c r="AF7" s="12" t="s">
        <v>27</v>
      </c>
      <c r="AG7" s="12" t="s">
        <v>27</v>
      </c>
      <c r="AH7" s="12" t="s">
        <v>27</v>
      </c>
      <c r="AI7" s="12" t="s">
        <v>27</v>
      </c>
      <c r="AJ7" s="12" t="s">
        <v>27</v>
      </c>
      <c r="AK7" s="12" t="s">
        <v>338</v>
      </c>
      <c r="AL7" s="12" t="s">
        <v>623</v>
      </c>
      <c r="AM7" s="12" t="s">
        <v>289</v>
      </c>
      <c r="AN7" s="12" t="s">
        <v>284</v>
      </c>
      <c r="AO7" s="12" t="s">
        <v>283</v>
      </c>
      <c r="AP7" s="13" t="s">
        <v>281</v>
      </c>
    </row>
    <row r="8" spans="1:42" s="4" customFormat="1" ht="409.6" x14ac:dyDescent="0.2">
      <c r="A8" s="4" t="s">
        <v>12</v>
      </c>
      <c r="B8" s="4" t="s">
        <v>27</v>
      </c>
      <c r="C8" s="4">
        <v>2020</v>
      </c>
      <c r="D8" s="4" t="s">
        <v>312</v>
      </c>
      <c r="E8" s="4" t="s">
        <v>313</v>
      </c>
      <c r="F8" s="4" t="s">
        <v>314</v>
      </c>
      <c r="G8" s="4" t="s">
        <v>316</v>
      </c>
      <c r="H8" s="4" t="s">
        <v>315</v>
      </c>
      <c r="I8" s="4" t="s">
        <v>322</v>
      </c>
      <c r="J8" s="4" t="s">
        <v>30</v>
      </c>
      <c r="K8" s="4" t="s">
        <v>27</v>
      </c>
      <c r="L8" s="4" t="s">
        <v>27</v>
      </c>
      <c r="M8" s="4" t="s">
        <v>27</v>
      </c>
      <c r="N8" s="4" t="s">
        <v>31</v>
      </c>
      <c r="O8" s="4" t="s">
        <v>774</v>
      </c>
      <c r="P8" s="23">
        <v>500000</v>
      </c>
      <c r="Q8" s="4" t="s">
        <v>411</v>
      </c>
      <c r="R8" s="4" t="s">
        <v>778</v>
      </c>
      <c r="S8" s="4" t="s">
        <v>27</v>
      </c>
      <c r="T8" s="4" t="s">
        <v>27</v>
      </c>
      <c r="U8" s="4" t="s">
        <v>34</v>
      </c>
      <c r="V8" s="4" t="s">
        <v>17</v>
      </c>
      <c r="W8" s="4" t="s">
        <v>19</v>
      </c>
      <c r="X8" s="4" t="s">
        <v>233</v>
      </c>
      <c r="Y8" s="4" t="s">
        <v>616</v>
      </c>
      <c r="Z8" s="4" t="s">
        <v>776</v>
      </c>
      <c r="AA8" s="4" t="s">
        <v>775</v>
      </c>
      <c r="AB8" s="4" t="s">
        <v>631</v>
      </c>
      <c r="AC8" s="4" t="s">
        <v>777</v>
      </c>
      <c r="AD8" s="4" t="s">
        <v>27</v>
      </c>
      <c r="AE8" s="4" t="s">
        <v>27</v>
      </c>
      <c r="AF8" s="4" t="s">
        <v>27</v>
      </c>
      <c r="AG8" s="4" t="s">
        <v>27</v>
      </c>
      <c r="AH8" s="4" t="s">
        <v>323</v>
      </c>
      <c r="AI8" s="4" t="s">
        <v>138</v>
      </c>
      <c r="AJ8" s="4" t="s">
        <v>33</v>
      </c>
      <c r="AK8" s="4" t="s">
        <v>342</v>
      </c>
      <c r="AL8" s="4" t="s">
        <v>27</v>
      </c>
      <c r="AM8" s="4" t="s">
        <v>325</v>
      </c>
      <c r="AN8" s="4" t="s">
        <v>326</v>
      </c>
      <c r="AO8" s="4" t="s">
        <v>324</v>
      </c>
      <c r="AP8" s="6" t="s">
        <v>317</v>
      </c>
    </row>
    <row r="9" spans="1:42" s="4" customFormat="1" ht="323" x14ac:dyDescent="0.2">
      <c r="A9" s="4" t="s">
        <v>12</v>
      </c>
      <c r="B9" s="4" t="s">
        <v>27</v>
      </c>
      <c r="C9" s="4">
        <v>2017</v>
      </c>
      <c r="D9" s="4" t="s">
        <v>1145</v>
      </c>
      <c r="E9" s="4" t="s">
        <v>328</v>
      </c>
      <c r="F9" s="4" t="s">
        <v>327</v>
      </c>
      <c r="G9" s="4" t="s">
        <v>330</v>
      </c>
      <c r="H9" s="4" t="s">
        <v>329</v>
      </c>
      <c r="I9" s="4" t="s">
        <v>333</v>
      </c>
      <c r="J9" s="4" t="s">
        <v>30</v>
      </c>
      <c r="K9" s="4" t="s">
        <v>27</v>
      </c>
      <c r="L9" s="4" t="s">
        <v>507</v>
      </c>
      <c r="M9" s="4" t="s">
        <v>27</v>
      </c>
      <c r="N9" s="4" t="s">
        <v>31</v>
      </c>
      <c r="O9" s="4" t="s">
        <v>332</v>
      </c>
      <c r="P9" s="23">
        <v>80</v>
      </c>
      <c r="Q9" s="4" t="s">
        <v>411</v>
      </c>
      <c r="R9" s="4" t="s">
        <v>781</v>
      </c>
      <c r="S9" s="4" t="s">
        <v>27</v>
      </c>
      <c r="T9" s="4" t="s">
        <v>27</v>
      </c>
      <c r="U9" s="4" t="s">
        <v>34</v>
      </c>
      <c r="V9" s="4" t="s">
        <v>17</v>
      </c>
      <c r="W9" s="4" t="s">
        <v>19</v>
      </c>
      <c r="X9" s="4" t="s">
        <v>27</v>
      </c>
      <c r="Y9" s="4" t="s">
        <v>443</v>
      </c>
      <c r="Z9" s="4" t="s">
        <v>58</v>
      </c>
      <c r="AA9" s="4" t="s">
        <v>27</v>
      </c>
      <c r="AB9" s="4" t="s">
        <v>631</v>
      </c>
      <c r="AC9" s="4" t="s">
        <v>782</v>
      </c>
      <c r="AD9" s="4" t="s">
        <v>779</v>
      </c>
      <c r="AE9" s="4" t="s">
        <v>780</v>
      </c>
      <c r="AF9" s="4" t="s">
        <v>27</v>
      </c>
      <c r="AG9" s="4" t="s">
        <v>27</v>
      </c>
      <c r="AH9" s="4" t="s">
        <v>29</v>
      </c>
      <c r="AI9" s="14" t="s">
        <v>334</v>
      </c>
      <c r="AJ9" s="4" t="s">
        <v>27</v>
      </c>
      <c r="AK9" s="4" t="s">
        <v>342</v>
      </c>
      <c r="AL9" s="4" t="s">
        <v>27</v>
      </c>
      <c r="AM9" s="4" t="s">
        <v>336</v>
      </c>
      <c r="AN9" s="4" t="s">
        <v>337</v>
      </c>
      <c r="AO9" s="4" t="s">
        <v>335</v>
      </c>
      <c r="AP9" s="6" t="s">
        <v>331</v>
      </c>
    </row>
    <row r="10" spans="1:42" s="4" customFormat="1" ht="306" x14ac:dyDescent="0.2">
      <c r="A10" s="4" t="s">
        <v>12</v>
      </c>
      <c r="B10" s="4" t="s">
        <v>27</v>
      </c>
      <c r="C10" s="4">
        <v>2020</v>
      </c>
      <c r="D10" s="4" t="s">
        <v>394</v>
      </c>
      <c r="E10" s="4" t="s">
        <v>68</v>
      </c>
      <c r="F10" s="4" t="s">
        <v>396</v>
      </c>
      <c r="G10" s="4" t="s">
        <v>398</v>
      </c>
      <c r="H10" s="4" t="s">
        <v>397</v>
      </c>
      <c r="I10" s="4" t="s">
        <v>401</v>
      </c>
      <c r="J10" s="4" t="s">
        <v>30</v>
      </c>
      <c r="K10" s="4" t="s">
        <v>33</v>
      </c>
      <c r="L10" s="4" t="s">
        <v>27</v>
      </c>
      <c r="M10" s="4" t="s">
        <v>27</v>
      </c>
      <c r="N10" s="4" t="s">
        <v>31</v>
      </c>
      <c r="O10" s="4" t="s">
        <v>788</v>
      </c>
      <c r="P10" s="23">
        <v>8000</v>
      </c>
      <c r="Q10" s="4" t="s">
        <v>411</v>
      </c>
      <c r="R10" s="3" t="s">
        <v>789</v>
      </c>
      <c r="S10" s="3" t="s">
        <v>790</v>
      </c>
      <c r="T10" s="3" t="s">
        <v>293</v>
      </c>
      <c r="U10" s="4" t="s">
        <v>141</v>
      </c>
      <c r="V10" s="4" t="s">
        <v>127</v>
      </c>
      <c r="W10" s="4" t="s">
        <v>270</v>
      </c>
      <c r="X10" s="4" t="s">
        <v>27</v>
      </c>
      <c r="Y10" s="4" t="s">
        <v>443</v>
      </c>
      <c r="Z10" s="4" t="s">
        <v>58</v>
      </c>
      <c r="AA10" s="4" t="s">
        <v>27</v>
      </c>
      <c r="AB10" s="4" t="s">
        <v>631</v>
      </c>
      <c r="AC10" s="4" t="s">
        <v>402</v>
      </c>
      <c r="AD10" s="4" t="s">
        <v>791</v>
      </c>
      <c r="AE10" s="4" t="s">
        <v>791</v>
      </c>
      <c r="AF10" s="4" t="s">
        <v>791</v>
      </c>
      <c r="AG10" s="4" t="s">
        <v>791</v>
      </c>
      <c r="AH10" s="4" t="s">
        <v>399</v>
      </c>
      <c r="AI10" s="4" t="s">
        <v>261</v>
      </c>
      <c r="AJ10" s="4" t="s">
        <v>33</v>
      </c>
      <c r="AK10" s="4" t="s">
        <v>339</v>
      </c>
      <c r="AL10" s="4" t="s">
        <v>27</v>
      </c>
      <c r="AM10" s="4" t="s">
        <v>403</v>
      </c>
      <c r="AN10" s="4" t="s">
        <v>404</v>
      </c>
      <c r="AO10" s="4" t="s">
        <v>400</v>
      </c>
      <c r="AP10" s="6" t="s">
        <v>395</v>
      </c>
    </row>
    <row r="11" spans="1:42" s="19" customFormat="1" ht="323" x14ac:dyDescent="0.2">
      <c r="A11" s="17" t="s">
        <v>12</v>
      </c>
      <c r="B11" s="17" t="s">
        <v>1133</v>
      </c>
      <c r="C11" s="17">
        <v>2022</v>
      </c>
      <c r="D11" s="17" t="s">
        <v>501</v>
      </c>
      <c r="E11" s="17" t="s">
        <v>502</v>
      </c>
      <c r="F11" s="17" t="s">
        <v>503</v>
      </c>
      <c r="G11" s="17" t="s">
        <v>504</v>
      </c>
      <c r="H11" s="17" t="s">
        <v>505</v>
      </c>
      <c r="I11" s="17"/>
      <c r="J11" s="17" t="s">
        <v>30</v>
      </c>
      <c r="K11" s="17" t="s">
        <v>27</v>
      </c>
      <c r="L11" s="17"/>
      <c r="M11" s="17" t="s">
        <v>33</v>
      </c>
      <c r="N11" s="17" t="s">
        <v>291</v>
      </c>
      <c r="O11" s="17"/>
      <c r="P11" s="30"/>
      <c r="Q11" s="17" t="s">
        <v>411</v>
      </c>
      <c r="R11" s="17"/>
      <c r="S11" s="17"/>
      <c r="T11" s="17" t="s">
        <v>27</v>
      </c>
      <c r="U11" s="17"/>
      <c r="V11" s="17"/>
      <c r="W11" s="17"/>
      <c r="X11" s="17"/>
      <c r="Y11" s="17"/>
      <c r="Z11" s="17" t="s">
        <v>32</v>
      </c>
      <c r="AA11" s="17"/>
      <c r="AB11" s="17"/>
      <c r="AC11" s="17"/>
      <c r="AD11" s="17"/>
      <c r="AE11" s="17"/>
      <c r="AF11" s="17"/>
      <c r="AG11" s="17"/>
      <c r="AH11" s="17"/>
      <c r="AI11" s="17"/>
      <c r="AJ11" s="17"/>
      <c r="AK11" s="17" t="s">
        <v>339</v>
      </c>
      <c r="AL11" s="17"/>
      <c r="AM11" s="17"/>
      <c r="AN11" s="17"/>
      <c r="AO11" s="17" t="s">
        <v>506</v>
      </c>
      <c r="AP11" s="17" t="s">
        <v>500</v>
      </c>
    </row>
    <row r="12" spans="1:42" ht="388" x14ac:dyDescent="0.2">
      <c r="A12" s="3" t="s">
        <v>12</v>
      </c>
      <c r="B12" s="3" t="s">
        <v>27</v>
      </c>
      <c r="C12" s="3">
        <v>2014</v>
      </c>
      <c r="D12" s="3" t="s">
        <v>514</v>
      </c>
      <c r="E12" s="3" t="s">
        <v>515</v>
      </c>
      <c r="F12" s="3" t="s">
        <v>516</v>
      </c>
      <c r="G12" s="3" t="s">
        <v>517</v>
      </c>
      <c r="H12" s="3" t="s">
        <v>518</v>
      </c>
      <c r="I12" s="3" t="s">
        <v>208</v>
      </c>
      <c r="J12" s="3" t="s">
        <v>30</v>
      </c>
      <c r="K12" s="3" t="s">
        <v>27</v>
      </c>
      <c r="L12" s="3" t="s">
        <v>507</v>
      </c>
      <c r="M12" s="3" t="s">
        <v>27</v>
      </c>
      <c r="N12" s="3" t="s">
        <v>31</v>
      </c>
      <c r="O12" s="3" t="s">
        <v>731</v>
      </c>
      <c r="P12" s="23" t="s">
        <v>27</v>
      </c>
      <c r="Q12" s="3" t="s">
        <v>411</v>
      </c>
      <c r="R12" s="3" t="s">
        <v>792</v>
      </c>
      <c r="S12" s="3" t="s">
        <v>27</v>
      </c>
      <c r="T12" s="3" t="s">
        <v>27</v>
      </c>
      <c r="U12" s="3" t="s">
        <v>34</v>
      </c>
      <c r="V12" s="3" t="s">
        <v>127</v>
      </c>
      <c r="W12" s="3" t="s">
        <v>19</v>
      </c>
      <c r="X12" s="3" t="s">
        <v>27</v>
      </c>
      <c r="Y12" s="3" t="s">
        <v>463</v>
      </c>
      <c r="Z12" s="3" t="s">
        <v>376</v>
      </c>
      <c r="AA12" s="3" t="s">
        <v>27</v>
      </c>
      <c r="AB12" s="3" t="s">
        <v>631</v>
      </c>
      <c r="AC12" s="3" t="s">
        <v>509</v>
      </c>
      <c r="AD12" s="3" t="s">
        <v>27</v>
      </c>
      <c r="AE12" s="3" t="s">
        <v>27</v>
      </c>
      <c r="AF12" s="3" t="s">
        <v>27</v>
      </c>
      <c r="AG12" s="3" t="s">
        <v>27</v>
      </c>
      <c r="AH12" s="3" t="s">
        <v>209</v>
      </c>
      <c r="AI12" s="3" t="s">
        <v>138</v>
      </c>
      <c r="AJ12" s="3" t="s">
        <v>27</v>
      </c>
      <c r="AK12" s="3" t="s">
        <v>343</v>
      </c>
      <c r="AL12" s="3" t="s">
        <v>27</v>
      </c>
      <c r="AM12" s="3" t="s">
        <v>512</v>
      </c>
      <c r="AN12" s="3" t="s">
        <v>513</v>
      </c>
      <c r="AO12" s="3" t="s">
        <v>511</v>
      </c>
      <c r="AP12" s="3" t="s">
        <v>508</v>
      </c>
    </row>
    <row r="13" spans="1:42" ht="372" x14ac:dyDescent="0.2">
      <c r="A13" s="4" t="s">
        <v>12</v>
      </c>
      <c r="B13" s="4" t="s">
        <v>27</v>
      </c>
      <c r="C13" s="4">
        <v>2018</v>
      </c>
      <c r="D13" s="4" t="s">
        <v>543</v>
      </c>
      <c r="E13" s="4" t="s">
        <v>68</v>
      </c>
      <c r="F13" s="4" t="s">
        <v>544</v>
      </c>
      <c r="G13" s="4" t="s">
        <v>545</v>
      </c>
      <c r="H13" s="4" t="s">
        <v>546</v>
      </c>
      <c r="I13" s="4" t="s">
        <v>208</v>
      </c>
      <c r="J13" s="4" t="s">
        <v>30</v>
      </c>
      <c r="K13" s="4" t="s">
        <v>27</v>
      </c>
      <c r="L13" s="4" t="s">
        <v>507</v>
      </c>
      <c r="M13" s="4" t="s">
        <v>27</v>
      </c>
      <c r="N13" s="4" t="s">
        <v>31</v>
      </c>
      <c r="O13" s="4" t="s">
        <v>794</v>
      </c>
      <c r="P13" s="23">
        <v>1000</v>
      </c>
      <c r="Q13" s="4" t="s">
        <v>411</v>
      </c>
      <c r="R13" s="4" t="s">
        <v>793</v>
      </c>
      <c r="S13" s="4" t="s">
        <v>27</v>
      </c>
      <c r="T13" s="4" t="s">
        <v>27</v>
      </c>
      <c r="U13" s="4" t="s">
        <v>34</v>
      </c>
      <c r="V13" s="4" t="s">
        <v>17</v>
      </c>
      <c r="W13" s="4" t="s">
        <v>19</v>
      </c>
      <c r="X13" s="4" t="s">
        <v>27</v>
      </c>
      <c r="Y13" s="4" t="s">
        <v>463</v>
      </c>
      <c r="Z13" s="4" t="s">
        <v>534</v>
      </c>
      <c r="AA13" s="4" t="s">
        <v>27</v>
      </c>
      <c r="AB13" s="4" t="s">
        <v>631</v>
      </c>
      <c r="AC13" s="4" t="s">
        <v>539</v>
      </c>
      <c r="AD13" s="4" t="s">
        <v>27</v>
      </c>
      <c r="AE13" s="4" t="s">
        <v>27</v>
      </c>
      <c r="AF13" s="4" t="s">
        <v>27</v>
      </c>
      <c r="AG13" s="4" t="s">
        <v>27</v>
      </c>
      <c r="AH13" s="4" t="s">
        <v>29</v>
      </c>
      <c r="AI13" s="4" t="s">
        <v>138</v>
      </c>
      <c r="AJ13" s="4" t="s">
        <v>33</v>
      </c>
      <c r="AK13" s="4" t="s">
        <v>343</v>
      </c>
      <c r="AL13" s="4" t="s">
        <v>27</v>
      </c>
      <c r="AM13" s="4" t="s">
        <v>541</v>
      </c>
      <c r="AN13" s="4" t="s">
        <v>540</v>
      </c>
      <c r="AO13" s="4" t="s">
        <v>542</v>
      </c>
      <c r="AP13" s="4" t="s">
        <v>535</v>
      </c>
    </row>
    <row r="14" spans="1:42" ht="409.6" x14ac:dyDescent="0.2">
      <c r="A14" s="10" t="s">
        <v>12</v>
      </c>
      <c r="B14" s="10" t="s">
        <v>33</v>
      </c>
      <c r="C14" s="10">
        <v>2015</v>
      </c>
      <c r="D14" s="10" t="s">
        <v>848</v>
      </c>
      <c r="E14" s="10" t="s">
        <v>849</v>
      </c>
      <c r="F14" s="10" t="s">
        <v>850</v>
      </c>
      <c r="G14" s="10" t="s">
        <v>851</v>
      </c>
      <c r="H14" s="10" t="s">
        <v>852</v>
      </c>
      <c r="I14" s="10" t="s">
        <v>208</v>
      </c>
      <c r="J14" s="10" t="s">
        <v>30</v>
      </c>
      <c r="K14" s="10" t="s">
        <v>27</v>
      </c>
      <c r="L14" s="10" t="s">
        <v>844</v>
      </c>
      <c r="M14" s="10" t="s">
        <v>27</v>
      </c>
      <c r="N14" s="10" t="s">
        <v>31</v>
      </c>
      <c r="O14" s="10" t="s">
        <v>842</v>
      </c>
      <c r="P14" s="29">
        <v>1000000</v>
      </c>
      <c r="Q14" s="10" t="s">
        <v>411</v>
      </c>
      <c r="R14" s="10" t="s">
        <v>841</v>
      </c>
      <c r="S14" s="10" t="s">
        <v>27</v>
      </c>
      <c r="T14" s="10" t="s">
        <v>27</v>
      </c>
      <c r="U14" s="10" t="s">
        <v>34</v>
      </c>
      <c r="V14" s="10" t="s">
        <v>17</v>
      </c>
      <c r="W14" s="10" t="s">
        <v>19</v>
      </c>
      <c r="X14" s="10" t="s">
        <v>233</v>
      </c>
      <c r="Y14" s="10" t="s">
        <v>463</v>
      </c>
      <c r="Z14" s="10" t="s">
        <v>837</v>
      </c>
      <c r="AA14" s="10" t="s">
        <v>27</v>
      </c>
      <c r="AB14" s="10" t="s">
        <v>631</v>
      </c>
      <c r="AC14" s="10" t="s">
        <v>839</v>
      </c>
      <c r="AD14" s="10" t="s">
        <v>843</v>
      </c>
      <c r="AE14" s="10" t="s">
        <v>843</v>
      </c>
      <c r="AF14" s="10" t="s">
        <v>843</v>
      </c>
      <c r="AG14" s="10" t="s">
        <v>843</v>
      </c>
      <c r="AH14" s="10" t="s">
        <v>840</v>
      </c>
      <c r="AI14" s="10" t="s">
        <v>248</v>
      </c>
      <c r="AJ14" s="10" t="s">
        <v>27</v>
      </c>
      <c r="AK14" s="10" t="s">
        <v>339</v>
      </c>
      <c r="AL14" s="10" t="s">
        <v>27</v>
      </c>
      <c r="AM14" s="10" t="s">
        <v>846</v>
      </c>
      <c r="AN14" s="10" t="s">
        <v>847</v>
      </c>
      <c r="AO14" s="10" t="s">
        <v>845</v>
      </c>
      <c r="AP14" s="10" t="s">
        <v>836</v>
      </c>
    </row>
  </sheetData>
  <autoFilter ref="A1:AP14" xr:uid="{F8797AAF-1D2E-0348-91B1-0B5295A47A09}"/>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55E1-D084-0C4D-82AA-48294DBB7459}">
  <dimension ref="A1:AP13"/>
  <sheetViews>
    <sheetView topLeftCell="V1" zoomScale="138" workbookViewId="0">
      <pane ySplit="1" topLeftCell="A11" activePane="bottomLeft" state="frozen"/>
      <selection pane="bottomLeft" activeCell="W12" sqref="W12"/>
    </sheetView>
  </sheetViews>
  <sheetFormatPr baseColWidth="10" defaultColWidth="10.83203125" defaultRowHeight="16" x14ac:dyDescent="0.2"/>
  <cols>
    <col min="1" max="1" width="8.83203125" bestFit="1" customWidth="1"/>
    <col min="2" max="2" width="8.83203125" customWidth="1"/>
    <col min="3" max="3" width="5.5" bestFit="1" customWidth="1"/>
    <col min="4" max="4" width="19.83203125" customWidth="1"/>
    <col min="5" max="5" width="11.33203125" customWidth="1"/>
    <col min="6" max="6" width="18.1640625" customWidth="1"/>
    <col min="7" max="7" width="59" customWidth="1"/>
    <col min="8" max="8" width="30.83203125" customWidth="1"/>
    <col min="9" max="9" width="18.5" customWidth="1"/>
    <col min="10" max="10" width="19.5" bestFit="1" customWidth="1"/>
    <col min="11" max="11" width="4.6640625" bestFit="1" customWidth="1"/>
    <col min="12" max="12" width="10" customWidth="1"/>
    <col min="13" max="13" width="18.6640625" bestFit="1" customWidth="1"/>
    <col min="14" max="14" width="28.83203125" bestFit="1" customWidth="1"/>
    <col min="15" max="15" width="24.83203125" bestFit="1" customWidth="1"/>
    <col min="16" max="16" width="24.83203125" customWidth="1"/>
    <col min="17" max="17" width="25.33203125" bestFit="1" customWidth="1"/>
    <col min="18" max="18" width="36.33203125" bestFit="1" customWidth="1"/>
    <col min="19" max="19" width="36.33203125" customWidth="1"/>
    <col min="20" max="20" width="23.33203125" bestFit="1" customWidth="1"/>
    <col min="21" max="21" width="58.6640625" bestFit="1" customWidth="1"/>
    <col min="22" max="22" width="11.83203125" bestFit="1" customWidth="1"/>
    <col min="23" max="23" width="21.83203125" style="3" bestFit="1" customWidth="1"/>
    <col min="24" max="24" width="13" style="2" bestFit="1" customWidth="1"/>
    <col min="25" max="25" width="11.83203125" style="2" customWidth="1"/>
    <col min="26" max="26" width="31.5" bestFit="1" customWidth="1"/>
    <col min="27" max="33" width="31.5" customWidth="1"/>
    <col min="34" max="34" width="11.83203125" bestFit="1" customWidth="1"/>
    <col min="35" max="35" width="11.83203125" style="3" customWidth="1"/>
    <col min="36" max="36" width="18" bestFit="1" customWidth="1"/>
    <col min="37" max="37" width="25.83203125" style="8" bestFit="1" customWidth="1"/>
    <col min="38" max="38" width="25.83203125" style="8" customWidth="1"/>
    <col min="39" max="39" width="59.83203125" customWidth="1"/>
    <col min="40" max="40" width="37.1640625" customWidth="1"/>
    <col min="41" max="41" width="25.33203125" customWidth="1"/>
    <col min="42" max="42" width="26.5" customWidth="1"/>
  </cols>
  <sheetData>
    <row r="1" spans="1:42" ht="17" x14ac:dyDescent="0.2">
      <c r="A1" s="1" t="s">
        <v>11</v>
      </c>
      <c r="B1" s="1" t="s">
        <v>1132</v>
      </c>
      <c r="C1" s="1" t="s">
        <v>1</v>
      </c>
      <c r="D1" s="1" t="s">
        <v>0</v>
      </c>
      <c r="E1" s="1" t="s">
        <v>9</v>
      </c>
      <c r="F1" s="1" t="s">
        <v>2</v>
      </c>
      <c r="G1" s="1" t="s">
        <v>4</v>
      </c>
      <c r="H1" s="1" t="s">
        <v>3</v>
      </c>
      <c r="I1" s="1" t="s">
        <v>8</v>
      </c>
      <c r="J1" s="1" t="s">
        <v>1107</v>
      </c>
      <c r="K1" s="1" t="s">
        <v>25</v>
      </c>
      <c r="L1" s="1" t="s">
        <v>35</v>
      </c>
      <c r="M1" s="1" t="s">
        <v>1134</v>
      </c>
      <c r="N1" s="1" t="s">
        <v>1135</v>
      </c>
      <c r="O1" s="1" t="s">
        <v>1136</v>
      </c>
      <c r="P1" s="7" t="s">
        <v>1137</v>
      </c>
      <c r="Q1" s="1" t="s">
        <v>1138</v>
      </c>
      <c r="R1" s="7" t="s">
        <v>178</v>
      </c>
      <c r="S1" s="7" t="s">
        <v>655</v>
      </c>
      <c r="T1" s="1" t="s">
        <v>1139</v>
      </c>
      <c r="U1" s="1" t="s">
        <v>1140</v>
      </c>
      <c r="V1" s="1" t="s">
        <v>26</v>
      </c>
      <c r="W1" s="8" t="s">
        <v>1141</v>
      </c>
      <c r="X1" s="7" t="s">
        <v>200</v>
      </c>
      <c r="Y1" s="7" t="s">
        <v>1112</v>
      </c>
      <c r="Z1" s="1" t="s">
        <v>1142</v>
      </c>
      <c r="AA1" s="1" t="s">
        <v>273</v>
      </c>
      <c r="AB1" s="7" t="s">
        <v>1143</v>
      </c>
      <c r="AC1" s="1" t="s">
        <v>366</v>
      </c>
      <c r="AD1" s="7" t="s">
        <v>559</v>
      </c>
      <c r="AE1" s="7" t="s">
        <v>560</v>
      </c>
      <c r="AF1" s="7" t="s">
        <v>561</v>
      </c>
      <c r="AG1" s="7" t="s">
        <v>562</v>
      </c>
      <c r="AH1" s="1" t="s">
        <v>6</v>
      </c>
      <c r="AI1" s="9" t="s">
        <v>137</v>
      </c>
      <c r="AJ1" s="1" t="s">
        <v>7</v>
      </c>
      <c r="AK1" s="1" t="s">
        <v>363</v>
      </c>
      <c r="AL1" s="7" t="s">
        <v>1144</v>
      </c>
      <c r="AM1" s="1" t="s">
        <v>5</v>
      </c>
      <c r="AN1" s="1" t="s">
        <v>36</v>
      </c>
      <c r="AO1" s="1" t="s">
        <v>42</v>
      </c>
      <c r="AP1" s="1" t="s">
        <v>10</v>
      </c>
    </row>
    <row r="2" spans="1:42" s="3" customFormat="1" ht="409.6" x14ac:dyDescent="0.2">
      <c r="A2" s="3" t="s">
        <v>12</v>
      </c>
      <c r="B2" s="3" t="s">
        <v>27</v>
      </c>
      <c r="C2" s="3">
        <v>2021</v>
      </c>
      <c r="D2" s="3" t="s">
        <v>67</v>
      </c>
      <c r="E2" s="3" t="s">
        <v>68</v>
      </c>
      <c r="F2" s="3" t="s">
        <v>110</v>
      </c>
      <c r="G2" s="3" t="s">
        <v>69</v>
      </c>
      <c r="H2" s="3" t="s">
        <v>70</v>
      </c>
      <c r="I2" s="3" t="s">
        <v>62</v>
      </c>
      <c r="J2" s="3" t="s">
        <v>30</v>
      </c>
      <c r="K2" s="3" t="s">
        <v>27</v>
      </c>
      <c r="L2" s="3" t="s">
        <v>27</v>
      </c>
      <c r="M2" s="3" t="s">
        <v>27</v>
      </c>
      <c r="N2" s="3" t="s">
        <v>31</v>
      </c>
      <c r="O2" s="3" t="s">
        <v>796</v>
      </c>
      <c r="P2" s="23">
        <v>1920</v>
      </c>
      <c r="Q2" s="3" t="s">
        <v>411</v>
      </c>
      <c r="R2" s="3" t="s">
        <v>795</v>
      </c>
      <c r="S2" s="3" t="s">
        <v>798</v>
      </c>
      <c r="T2" s="3" t="s">
        <v>27</v>
      </c>
      <c r="U2" s="3" t="s">
        <v>34</v>
      </c>
      <c r="V2" s="3" t="s">
        <v>127</v>
      </c>
      <c r="W2" s="3" t="s">
        <v>19</v>
      </c>
      <c r="X2" s="3" t="s">
        <v>27</v>
      </c>
      <c r="Y2" s="3" t="s">
        <v>463</v>
      </c>
      <c r="Z2" s="3" t="s">
        <v>376</v>
      </c>
      <c r="AA2" s="3" t="s">
        <v>27</v>
      </c>
      <c r="AB2" s="3" t="s">
        <v>631</v>
      </c>
      <c r="AC2" s="3" t="s">
        <v>797</v>
      </c>
      <c r="AD2" s="3" t="s">
        <v>791</v>
      </c>
      <c r="AE2" s="3" t="s">
        <v>791</v>
      </c>
      <c r="AF2" s="3" t="s">
        <v>728</v>
      </c>
      <c r="AG2" s="3" t="s">
        <v>635</v>
      </c>
      <c r="AH2" s="3" t="s">
        <v>29</v>
      </c>
      <c r="AI2" s="3" t="s">
        <v>138</v>
      </c>
      <c r="AJ2" s="3" t="s">
        <v>27</v>
      </c>
      <c r="AK2" s="8" t="s">
        <v>339</v>
      </c>
      <c r="AL2" s="8" t="s">
        <v>623</v>
      </c>
      <c r="AM2" s="4" t="s">
        <v>84</v>
      </c>
      <c r="AN2" s="3" t="s">
        <v>65</v>
      </c>
      <c r="AO2" s="3" t="s">
        <v>64</v>
      </c>
      <c r="AP2" s="5" t="s">
        <v>66</v>
      </c>
    </row>
    <row r="3" spans="1:42" s="3" customFormat="1" ht="372" x14ac:dyDescent="0.2">
      <c r="A3" s="10" t="s">
        <v>12</v>
      </c>
      <c r="B3" s="10" t="s">
        <v>33</v>
      </c>
      <c r="C3" s="10">
        <v>2016</v>
      </c>
      <c r="D3" s="10" t="s">
        <v>88</v>
      </c>
      <c r="E3" s="10" t="s">
        <v>89</v>
      </c>
      <c r="F3" s="10" t="s">
        <v>111</v>
      </c>
      <c r="G3" s="10" t="s">
        <v>91</v>
      </c>
      <c r="H3" s="10" t="s">
        <v>90</v>
      </c>
      <c r="I3" s="10" t="s">
        <v>87</v>
      </c>
      <c r="J3" s="10" t="s">
        <v>30</v>
      </c>
      <c r="K3" s="10" t="s">
        <v>27</v>
      </c>
      <c r="L3" s="10" t="s">
        <v>507</v>
      </c>
      <c r="M3" s="10" t="s">
        <v>27</v>
      </c>
      <c r="N3" s="10" t="s">
        <v>31</v>
      </c>
      <c r="O3" s="10" t="s">
        <v>799</v>
      </c>
      <c r="P3" s="29">
        <v>372</v>
      </c>
      <c r="Q3" s="10" t="s">
        <v>411</v>
      </c>
      <c r="R3" s="10" t="s">
        <v>800</v>
      </c>
      <c r="S3" s="10" t="s">
        <v>798</v>
      </c>
      <c r="T3" s="10" t="s">
        <v>27</v>
      </c>
      <c r="U3" s="10" t="s">
        <v>34</v>
      </c>
      <c r="V3" s="10" t="s">
        <v>127</v>
      </c>
      <c r="W3" s="10" t="s">
        <v>19</v>
      </c>
      <c r="X3" s="10" t="s">
        <v>27</v>
      </c>
      <c r="Y3" s="10" t="s">
        <v>801</v>
      </c>
      <c r="Z3" s="10" t="s">
        <v>773</v>
      </c>
      <c r="AA3" s="10" t="s">
        <v>27</v>
      </c>
      <c r="AB3" s="10" t="s">
        <v>631</v>
      </c>
      <c r="AC3" s="10" t="s">
        <v>27</v>
      </c>
      <c r="AD3" s="10" t="s">
        <v>791</v>
      </c>
      <c r="AE3" s="10" t="s">
        <v>791</v>
      </c>
      <c r="AF3" s="10" t="s">
        <v>791</v>
      </c>
      <c r="AG3" s="10" t="s">
        <v>791</v>
      </c>
      <c r="AH3" s="10" t="s">
        <v>802</v>
      </c>
      <c r="AI3" s="10" t="s">
        <v>140</v>
      </c>
      <c r="AJ3" s="10" t="s">
        <v>33</v>
      </c>
      <c r="AK3" s="24" t="s">
        <v>342</v>
      </c>
      <c r="AL3" s="24" t="s">
        <v>623</v>
      </c>
      <c r="AM3" s="12" t="s">
        <v>93</v>
      </c>
      <c r="AN3" s="10" t="s">
        <v>95</v>
      </c>
      <c r="AO3" s="10" t="s">
        <v>94</v>
      </c>
      <c r="AP3" s="11" t="s">
        <v>92</v>
      </c>
    </row>
    <row r="4" spans="1:42" ht="289" x14ac:dyDescent="0.2">
      <c r="A4" s="3" t="s">
        <v>12</v>
      </c>
      <c r="B4" s="3" t="s">
        <v>27</v>
      </c>
      <c r="C4" s="3">
        <v>2016</v>
      </c>
      <c r="D4" s="3" t="s">
        <v>611</v>
      </c>
      <c r="E4" s="3" t="s">
        <v>422</v>
      </c>
      <c r="F4" s="3" t="s">
        <v>612</v>
      </c>
      <c r="G4" s="3" t="s">
        <v>613</v>
      </c>
      <c r="H4" s="3" t="s">
        <v>614</v>
      </c>
      <c r="I4" s="3" t="s">
        <v>604</v>
      </c>
      <c r="J4" s="3" t="s">
        <v>30</v>
      </c>
      <c r="K4" s="3" t="s">
        <v>33</v>
      </c>
      <c r="L4" s="3" t="s">
        <v>485</v>
      </c>
      <c r="M4" s="3" t="s">
        <v>27</v>
      </c>
      <c r="N4" s="3" t="s">
        <v>31</v>
      </c>
      <c r="O4" s="3" t="s">
        <v>803</v>
      </c>
      <c r="P4" s="23">
        <v>6000</v>
      </c>
      <c r="Q4" s="3" t="s">
        <v>411</v>
      </c>
      <c r="R4" s="3" t="s">
        <v>804</v>
      </c>
      <c r="S4" s="3" t="s">
        <v>27</v>
      </c>
      <c r="T4" s="3" t="s">
        <v>602</v>
      </c>
      <c r="U4" s="3" t="s">
        <v>34</v>
      </c>
      <c r="V4" s="3" t="s">
        <v>17</v>
      </c>
      <c r="W4" s="3" t="s">
        <v>19</v>
      </c>
      <c r="X4" s="3" t="s">
        <v>27</v>
      </c>
      <c r="Y4" s="3" t="s">
        <v>463</v>
      </c>
      <c r="Z4" s="3" t="s">
        <v>606</v>
      </c>
      <c r="AA4" s="3" t="s">
        <v>607</v>
      </c>
      <c r="AB4" s="3" t="s">
        <v>631</v>
      </c>
      <c r="AC4" s="3" t="s">
        <v>27</v>
      </c>
      <c r="AD4" s="3" t="s">
        <v>27</v>
      </c>
      <c r="AE4" s="3" t="s">
        <v>27</v>
      </c>
      <c r="AF4" s="3" t="s">
        <v>605</v>
      </c>
      <c r="AG4" s="3" t="s">
        <v>27</v>
      </c>
      <c r="AH4" s="3" t="s">
        <v>27</v>
      </c>
      <c r="AI4" s="3" t="s">
        <v>608</v>
      </c>
      <c r="AJ4" s="3" t="s">
        <v>27</v>
      </c>
      <c r="AK4" s="8" t="s">
        <v>342</v>
      </c>
      <c r="AL4" s="8" t="s">
        <v>27</v>
      </c>
      <c r="AM4" s="3" t="s">
        <v>609</v>
      </c>
      <c r="AN4" s="3" t="s">
        <v>610</v>
      </c>
      <c r="AO4" s="3" t="s">
        <v>603</v>
      </c>
      <c r="AP4" s="3" t="s">
        <v>601</v>
      </c>
    </row>
    <row r="5" spans="1:42" s="3" customFormat="1" ht="372" x14ac:dyDescent="0.2">
      <c r="A5" s="3" t="s">
        <v>12</v>
      </c>
      <c r="B5" s="3" t="s">
        <v>27</v>
      </c>
      <c r="C5" s="3">
        <v>2015</v>
      </c>
      <c r="D5" s="3" t="s">
        <v>201</v>
      </c>
      <c r="E5" s="3" t="s">
        <v>97</v>
      </c>
      <c r="F5" s="3" t="s">
        <v>202</v>
      </c>
      <c r="G5" s="3" t="s">
        <v>204</v>
      </c>
      <c r="H5" s="3" t="s">
        <v>203</v>
      </c>
      <c r="I5" s="3" t="s">
        <v>208</v>
      </c>
      <c r="J5" s="3" t="s">
        <v>30</v>
      </c>
      <c r="K5" s="3" t="s">
        <v>27</v>
      </c>
      <c r="L5" s="3" t="s">
        <v>886</v>
      </c>
      <c r="M5" s="3" t="s">
        <v>27</v>
      </c>
      <c r="N5" s="3" t="s">
        <v>31</v>
      </c>
      <c r="O5" s="3" t="s">
        <v>731</v>
      </c>
      <c r="P5" s="23">
        <v>700000</v>
      </c>
      <c r="Q5" s="3" t="s">
        <v>411</v>
      </c>
      <c r="R5" s="3" t="s">
        <v>792</v>
      </c>
      <c r="S5" s="3" t="s">
        <v>715</v>
      </c>
      <c r="T5" s="3" t="s">
        <v>206</v>
      </c>
      <c r="U5" s="3" t="s">
        <v>141</v>
      </c>
      <c r="V5" s="3" t="s">
        <v>127</v>
      </c>
      <c r="W5" s="3" t="s">
        <v>167</v>
      </c>
      <c r="X5" s="3" t="s">
        <v>27</v>
      </c>
      <c r="Y5" s="3" t="s">
        <v>463</v>
      </c>
      <c r="Z5" s="3" t="s">
        <v>534</v>
      </c>
      <c r="AA5" s="3" t="s">
        <v>35</v>
      </c>
      <c r="AB5" s="3" t="s">
        <v>631</v>
      </c>
      <c r="AC5" s="3" t="s">
        <v>805</v>
      </c>
      <c r="AD5" s="3" t="s">
        <v>27</v>
      </c>
      <c r="AE5" s="3" t="s">
        <v>27</v>
      </c>
      <c r="AF5" s="3" t="s">
        <v>27</v>
      </c>
      <c r="AG5" s="3" t="s">
        <v>27</v>
      </c>
      <c r="AH5" s="3" t="s">
        <v>209</v>
      </c>
      <c r="AI5" s="3" t="s">
        <v>138</v>
      </c>
      <c r="AJ5" s="3" t="s">
        <v>27</v>
      </c>
      <c r="AK5" s="3" t="s">
        <v>342</v>
      </c>
      <c r="AL5" s="3" t="s">
        <v>27</v>
      </c>
      <c r="AM5" s="3" t="s">
        <v>214</v>
      </c>
      <c r="AN5" s="3" t="s">
        <v>213</v>
      </c>
      <c r="AO5" s="3" t="s">
        <v>212</v>
      </c>
      <c r="AP5" s="5" t="s">
        <v>205</v>
      </c>
    </row>
    <row r="6" spans="1:42" s="3" customFormat="1" ht="356" x14ac:dyDescent="0.2">
      <c r="A6" s="3" t="s">
        <v>238</v>
      </c>
      <c r="B6" s="3" t="s">
        <v>27</v>
      </c>
      <c r="C6" s="3">
        <v>2018</v>
      </c>
      <c r="D6" s="3" t="s">
        <v>239</v>
      </c>
      <c r="E6" s="3" t="s">
        <v>68</v>
      </c>
      <c r="F6" s="3" t="s">
        <v>240</v>
      </c>
      <c r="G6" s="3" t="s">
        <v>242</v>
      </c>
      <c r="H6" s="3" t="s">
        <v>241</v>
      </c>
      <c r="I6" s="3" t="s">
        <v>251</v>
      </c>
      <c r="J6" s="3" t="s">
        <v>30</v>
      </c>
      <c r="K6" s="3" t="s">
        <v>27</v>
      </c>
      <c r="L6" s="3" t="s">
        <v>697</v>
      </c>
      <c r="M6" s="3" t="s">
        <v>27</v>
      </c>
      <c r="N6" s="3" t="s">
        <v>31</v>
      </c>
      <c r="O6" s="3" t="s">
        <v>808</v>
      </c>
      <c r="P6" s="23">
        <v>500</v>
      </c>
      <c r="Q6" s="3" t="s">
        <v>411</v>
      </c>
      <c r="R6" s="3" t="s">
        <v>809</v>
      </c>
      <c r="S6" s="3" t="s">
        <v>27</v>
      </c>
      <c r="T6" s="3" t="s">
        <v>250</v>
      </c>
      <c r="U6" s="3" t="s">
        <v>34</v>
      </c>
      <c r="V6" s="3" t="s">
        <v>17</v>
      </c>
      <c r="W6" s="3" t="s">
        <v>19</v>
      </c>
      <c r="X6" s="3" t="s">
        <v>233</v>
      </c>
      <c r="Y6" s="3" t="s">
        <v>76</v>
      </c>
      <c r="Z6" s="3" t="s">
        <v>806</v>
      </c>
      <c r="AA6" s="3" t="s">
        <v>27</v>
      </c>
      <c r="AB6" s="3" t="s">
        <v>631</v>
      </c>
      <c r="AC6" s="3" t="s">
        <v>27</v>
      </c>
      <c r="AD6" s="3" t="s">
        <v>810</v>
      </c>
      <c r="AE6" s="3" t="s">
        <v>811</v>
      </c>
      <c r="AF6" s="3" t="s">
        <v>27</v>
      </c>
      <c r="AG6" s="3" t="s">
        <v>27</v>
      </c>
      <c r="AH6" s="3" t="s">
        <v>29</v>
      </c>
      <c r="AI6" s="3" t="s">
        <v>248</v>
      </c>
      <c r="AJ6" s="3" t="s">
        <v>33</v>
      </c>
      <c r="AK6" s="3" t="s">
        <v>807</v>
      </c>
      <c r="AL6" s="3" t="s">
        <v>27</v>
      </c>
      <c r="AM6" s="3" t="s">
        <v>252</v>
      </c>
      <c r="AN6" s="3" t="s">
        <v>253</v>
      </c>
      <c r="AO6" s="3" t="s">
        <v>247</v>
      </c>
      <c r="AP6" s="5" t="s">
        <v>243</v>
      </c>
    </row>
    <row r="7" spans="1:42" s="3" customFormat="1" ht="372" x14ac:dyDescent="0.2">
      <c r="A7" s="10" t="s">
        <v>12</v>
      </c>
      <c r="B7" s="10" t="s">
        <v>33</v>
      </c>
      <c r="C7" s="10">
        <v>2016</v>
      </c>
      <c r="D7" s="10" t="s">
        <v>254</v>
      </c>
      <c r="E7" s="10" t="s">
        <v>256</v>
      </c>
      <c r="F7" s="10" t="s">
        <v>255</v>
      </c>
      <c r="G7" s="10" t="s">
        <v>258</v>
      </c>
      <c r="H7" s="10" t="s">
        <v>257</v>
      </c>
      <c r="I7" s="10" t="s">
        <v>208</v>
      </c>
      <c r="J7" s="10" t="s">
        <v>30</v>
      </c>
      <c r="K7" s="10" t="s">
        <v>27</v>
      </c>
      <c r="L7" s="10" t="s">
        <v>507</v>
      </c>
      <c r="M7" s="10" t="s">
        <v>27</v>
      </c>
      <c r="N7" s="10" t="s">
        <v>31</v>
      </c>
      <c r="O7" s="10" t="s">
        <v>731</v>
      </c>
      <c r="P7" s="29" t="s">
        <v>27</v>
      </c>
      <c r="Q7" s="10" t="s">
        <v>411</v>
      </c>
      <c r="R7" s="10" t="s">
        <v>694</v>
      </c>
      <c r="S7" s="10" t="s">
        <v>27</v>
      </c>
      <c r="T7" s="10" t="s">
        <v>249</v>
      </c>
      <c r="U7" s="10" t="s">
        <v>1148</v>
      </c>
      <c r="V7" s="10" t="s">
        <v>17</v>
      </c>
      <c r="W7" s="10" t="s">
        <v>270</v>
      </c>
      <c r="X7" s="10" t="s">
        <v>27</v>
      </c>
      <c r="Y7" s="10" t="s">
        <v>463</v>
      </c>
      <c r="Z7" s="10" t="s">
        <v>58</v>
      </c>
      <c r="AA7" s="10" t="s">
        <v>27</v>
      </c>
      <c r="AB7" s="10" t="s">
        <v>178</v>
      </c>
      <c r="AC7" s="10" t="s">
        <v>812</v>
      </c>
      <c r="AD7" s="10" t="s">
        <v>813</v>
      </c>
      <c r="AE7" s="10" t="s">
        <v>27</v>
      </c>
      <c r="AF7" s="10" t="s">
        <v>27</v>
      </c>
      <c r="AG7" s="10" t="s">
        <v>27</v>
      </c>
      <c r="AH7" s="10" t="s">
        <v>262</v>
      </c>
      <c r="AI7" s="10" t="s">
        <v>261</v>
      </c>
      <c r="AJ7" s="10" t="s">
        <v>33</v>
      </c>
      <c r="AK7" s="10" t="s">
        <v>339</v>
      </c>
      <c r="AL7" s="10" t="s">
        <v>709</v>
      </c>
      <c r="AM7" s="10" t="s">
        <v>263</v>
      </c>
      <c r="AN7" s="10" t="s">
        <v>264</v>
      </c>
      <c r="AO7" s="10" t="s">
        <v>260</v>
      </c>
      <c r="AP7" s="11" t="s">
        <v>259</v>
      </c>
    </row>
    <row r="8" spans="1:42" s="3" customFormat="1" ht="409.6" x14ac:dyDescent="0.2">
      <c r="A8" s="10" t="s">
        <v>12</v>
      </c>
      <c r="B8" s="10" t="s">
        <v>33</v>
      </c>
      <c r="C8" s="10">
        <v>2019</v>
      </c>
      <c r="D8" s="10" t="s">
        <v>266</v>
      </c>
      <c r="E8" s="10" t="s">
        <v>97</v>
      </c>
      <c r="F8" s="10" t="s">
        <v>268</v>
      </c>
      <c r="G8" s="10" t="s">
        <v>269</v>
      </c>
      <c r="H8" s="10" t="s">
        <v>267</v>
      </c>
      <c r="I8" s="10" t="s">
        <v>271</v>
      </c>
      <c r="J8" s="10" t="s">
        <v>30</v>
      </c>
      <c r="K8" s="10" t="s">
        <v>33</v>
      </c>
      <c r="L8" s="10" t="s">
        <v>27</v>
      </c>
      <c r="M8" s="10" t="s">
        <v>27</v>
      </c>
      <c r="N8" s="10" t="s">
        <v>31</v>
      </c>
      <c r="O8" s="10" t="s">
        <v>50</v>
      </c>
      <c r="P8" s="29">
        <v>360</v>
      </c>
      <c r="Q8" s="10" t="s">
        <v>411</v>
      </c>
      <c r="R8" s="10" t="s">
        <v>815</v>
      </c>
      <c r="S8" s="10" t="s">
        <v>27</v>
      </c>
      <c r="T8" s="10" t="s">
        <v>27</v>
      </c>
      <c r="U8" s="10" t="s">
        <v>1148</v>
      </c>
      <c r="V8" s="10" t="s">
        <v>17</v>
      </c>
      <c r="W8" s="10" t="s">
        <v>270</v>
      </c>
      <c r="X8" s="10" t="s">
        <v>27</v>
      </c>
      <c r="Y8" s="10" t="s">
        <v>463</v>
      </c>
      <c r="Z8" s="10" t="s">
        <v>814</v>
      </c>
      <c r="AA8" s="10" t="s">
        <v>27</v>
      </c>
      <c r="AB8" s="10" t="s">
        <v>178</v>
      </c>
      <c r="AC8" s="10" t="s">
        <v>816</v>
      </c>
      <c r="AD8" s="10" t="s">
        <v>27</v>
      </c>
      <c r="AE8" s="10" t="s">
        <v>27</v>
      </c>
      <c r="AF8" s="10" t="s">
        <v>27</v>
      </c>
      <c r="AG8" s="10" t="s">
        <v>27</v>
      </c>
      <c r="AH8" s="10" t="s">
        <v>817</v>
      </c>
      <c r="AI8" s="10" t="s">
        <v>261</v>
      </c>
      <c r="AJ8" s="10" t="s">
        <v>33</v>
      </c>
      <c r="AK8" s="10" t="s">
        <v>807</v>
      </c>
      <c r="AL8" s="10" t="s">
        <v>27</v>
      </c>
      <c r="AM8" s="10" t="s">
        <v>274</v>
      </c>
      <c r="AN8" s="10" t="s">
        <v>275</v>
      </c>
      <c r="AO8" s="10" t="s">
        <v>272</v>
      </c>
      <c r="AP8" s="11" t="s">
        <v>265</v>
      </c>
    </row>
    <row r="9" spans="1:42" s="4" customFormat="1" ht="409.6" x14ac:dyDescent="0.2">
      <c r="A9" s="16" t="s">
        <v>12</v>
      </c>
      <c r="B9" s="16" t="s">
        <v>1133</v>
      </c>
      <c r="C9" s="16">
        <v>2022</v>
      </c>
      <c r="D9" s="16" t="s">
        <v>444</v>
      </c>
      <c r="E9" s="16" t="s">
        <v>68</v>
      </c>
      <c r="F9" s="16" t="s">
        <v>446</v>
      </c>
      <c r="G9" s="16" t="s">
        <v>448</v>
      </c>
      <c r="H9" s="16" t="s">
        <v>447</v>
      </c>
      <c r="I9" s="16" t="s">
        <v>450</v>
      </c>
      <c r="J9" s="16" t="s">
        <v>30</v>
      </c>
      <c r="K9" s="16" t="s">
        <v>27</v>
      </c>
      <c r="L9" s="16" t="s">
        <v>507</v>
      </c>
      <c r="M9" s="16" t="s">
        <v>27</v>
      </c>
      <c r="N9" s="16" t="s">
        <v>31</v>
      </c>
      <c r="O9" s="16" t="s">
        <v>453</v>
      </c>
      <c r="P9" s="30"/>
      <c r="Q9" s="16" t="s">
        <v>411</v>
      </c>
      <c r="R9" s="17" t="s">
        <v>452</v>
      </c>
      <c r="S9" s="17"/>
      <c r="T9" s="17" t="s">
        <v>27</v>
      </c>
      <c r="U9" s="16" t="s">
        <v>34</v>
      </c>
      <c r="V9" s="16" t="s">
        <v>127</v>
      </c>
      <c r="W9" s="16" t="s">
        <v>19</v>
      </c>
      <c r="X9" s="16" t="s">
        <v>27</v>
      </c>
      <c r="Y9" s="16" t="s">
        <v>454</v>
      </c>
      <c r="Z9" s="16" t="s">
        <v>455</v>
      </c>
      <c r="AA9" s="16" t="s">
        <v>27</v>
      </c>
      <c r="AB9" s="16"/>
      <c r="AC9" s="16" t="s">
        <v>27</v>
      </c>
      <c r="AD9" s="16"/>
      <c r="AE9" s="16"/>
      <c r="AF9" s="16"/>
      <c r="AG9" s="16"/>
      <c r="AH9" s="16" t="s">
        <v>29</v>
      </c>
      <c r="AI9" s="16" t="s">
        <v>140</v>
      </c>
      <c r="AJ9" s="16" t="s">
        <v>27</v>
      </c>
      <c r="AK9" s="16" t="s">
        <v>451</v>
      </c>
      <c r="AL9" s="16"/>
      <c r="AM9" s="16"/>
      <c r="AN9" s="16"/>
      <c r="AO9" s="16" t="s">
        <v>449</v>
      </c>
      <c r="AP9" s="18" t="s">
        <v>445</v>
      </c>
    </row>
    <row r="10" spans="1:42" ht="323" x14ac:dyDescent="0.2">
      <c r="A10" s="4" t="s">
        <v>12</v>
      </c>
      <c r="B10" s="4" t="s">
        <v>27</v>
      </c>
      <c r="C10" s="4">
        <v>2019</v>
      </c>
      <c r="D10" s="4" t="s">
        <v>456</v>
      </c>
      <c r="E10" s="4" t="s">
        <v>422</v>
      </c>
      <c r="F10" s="4" t="s">
        <v>457</v>
      </c>
      <c r="G10" s="4" t="s">
        <v>459</v>
      </c>
      <c r="H10" s="4" t="s">
        <v>458</v>
      </c>
      <c r="I10" s="4" t="s">
        <v>462</v>
      </c>
      <c r="J10" s="4" t="s">
        <v>30</v>
      </c>
      <c r="K10" s="4" t="s">
        <v>27</v>
      </c>
      <c r="L10" s="4" t="s">
        <v>507</v>
      </c>
      <c r="M10" s="4" t="s">
        <v>27</v>
      </c>
      <c r="N10" s="4" t="s">
        <v>31</v>
      </c>
      <c r="O10" s="4" t="s">
        <v>28</v>
      </c>
      <c r="P10" s="23" t="s">
        <v>715</v>
      </c>
      <c r="Q10" s="4" t="s">
        <v>411</v>
      </c>
      <c r="R10" s="3" t="s">
        <v>28</v>
      </c>
      <c r="S10" s="3" t="s">
        <v>27</v>
      </c>
      <c r="T10" s="3" t="s">
        <v>293</v>
      </c>
      <c r="U10" s="4" t="s">
        <v>34</v>
      </c>
      <c r="V10" s="4" t="s">
        <v>127</v>
      </c>
      <c r="W10" s="4" t="s">
        <v>19</v>
      </c>
      <c r="X10" s="4" t="s">
        <v>27</v>
      </c>
      <c r="Y10" s="4" t="s">
        <v>463</v>
      </c>
      <c r="Z10" s="4" t="s">
        <v>464</v>
      </c>
      <c r="AA10" s="4" t="s">
        <v>27</v>
      </c>
      <c r="AB10" s="4" t="s">
        <v>631</v>
      </c>
      <c r="AC10" s="4" t="s">
        <v>818</v>
      </c>
      <c r="AD10" s="4" t="s">
        <v>27</v>
      </c>
      <c r="AE10" s="4" t="s">
        <v>27</v>
      </c>
      <c r="AF10" s="4" t="s">
        <v>27</v>
      </c>
      <c r="AG10" s="4" t="s">
        <v>27</v>
      </c>
      <c r="AH10" s="4" t="s">
        <v>209</v>
      </c>
      <c r="AI10" s="4" t="s">
        <v>138</v>
      </c>
      <c r="AJ10" s="4" t="s">
        <v>27</v>
      </c>
      <c r="AK10" s="4" t="s">
        <v>451</v>
      </c>
      <c r="AL10" s="4" t="s">
        <v>27</v>
      </c>
      <c r="AM10" s="4" t="s">
        <v>465</v>
      </c>
      <c r="AN10" s="4" t="s">
        <v>466</v>
      </c>
      <c r="AO10" s="4" t="s">
        <v>461</v>
      </c>
      <c r="AP10" s="6" t="s">
        <v>460</v>
      </c>
    </row>
    <row r="11" spans="1:42" ht="409.6" x14ac:dyDescent="0.2">
      <c r="A11" s="16" t="s">
        <v>12</v>
      </c>
      <c r="B11" s="16" t="s">
        <v>1133</v>
      </c>
      <c r="C11" s="16">
        <v>2022</v>
      </c>
      <c r="D11" s="16" t="s">
        <v>493</v>
      </c>
      <c r="E11" s="16" t="s">
        <v>124</v>
      </c>
      <c r="F11" s="16" t="s">
        <v>494</v>
      </c>
      <c r="G11" s="16" t="s">
        <v>496</v>
      </c>
      <c r="H11" s="16" t="s">
        <v>495</v>
      </c>
      <c r="I11" s="16"/>
      <c r="J11" s="16"/>
      <c r="K11" s="16" t="s">
        <v>27</v>
      </c>
      <c r="L11" s="16"/>
      <c r="M11" s="16" t="s">
        <v>27</v>
      </c>
      <c r="N11" s="16" t="s">
        <v>31</v>
      </c>
      <c r="O11" s="16"/>
      <c r="P11" s="30"/>
      <c r="Q11" s="16"/>
      <c r="R11" s="17"/>
      <c r="S11" s="17"/>
      <c r="T11" s="17" t="s">
        <v>27</v>
      </c>
      <c r="U11" s="16" t="s">
        <v>1148</v>
      </c>
      <c r="V11" s="16"/>
      <c r="W11" s="16"/>
      <c r="X11" s="16"/>
      <c r="Y11" s="16"/>
      <c r="Z11" s="16"/>
      <c r="AA11" s="16"/>
      <c r="AB11" s="16"/>
      <c r="AC11" s="16"/>
      <c r="AD11" s="16"/>
      <c r="AE11" s="16"/>
      <c r="AF11" s="16"/>
      <c r="AG11" s="16"/>
      <c r="AH11" s="16" t="s">
        <v>29</v>
      </c>
      <c r="AI11" s="16" t="s">
        <v>138</v>
      </c>
      <c r="AJ11" s="16"/>
      <c r="AK11" s="16"/>
      <c r="AL11" s="16"/>
      <c r="AM11" s="16"/>
      <c r="AN11" s="16"/>
      <c r="AO11" s="16" t="s">
        <v>498</v>
      </c>
      <c r="AP11" s="18" t="s">
        <v>497</v>
      </c>
    </row>
    <row r="12" spans="1:42" ht="340" x14ac:dyDescent="0.2">
      <c r="A12" s="10" t="s">
        <v>12</v>
      </c>
      <c r="B12" s="10" t="s">
        <v>33</v>
      </c>
      <c r="C12" s="10">
        <v>2021</v>
      </c>
      <c r="D12" s="10" t="s">
        <v>831</v>
      </c>
      <c r="E12" s="10" t="s">
        <v>124</v>
      </c>
      <c r="F12" s="10" t="s">
        <v>832</v>
      </c>
      <c r="G12" s="10" t="s">
        <v>833</v>
      </c>
      <c r="H12" s="10" t="s">
        <v>834</v>
      </c>
      <c r="I12" s="10" t="s">
        <v>823</v>
      </c>
      <c r="J12" s="10" t="s">
        <v>223</v>
      </c>
      <c r="K12" s="10" t="s">
        <v>27</v>
      </c>
      <c r="L12" s="10" t="s">
        <v>835</v>
      </c>
      <c r="M12" s="10" t="s">
        <v>27</v>
      </c>
      <c r="N12" s="10" t="s">
        <v>31</v>
      </c>
      <c r="O12" s="10" t="s">
        <v>28</v>
      </c>
      <c r="P12" s="29">
        <v>3000</v>
      </c>
      <c r="Q12" s="10" t="s">
        <v>411</v>
      </c>
      <c r="R12" s="10" t="s">
        <v>28</v>
      </c>
      <c r="S12" s="10" t="s">
        <v>27</v>
      </c>
      <c r="T12" s="10" t="s">
        <v>27</v>
      </c>
      <c r="U12" s="10" t="s">
        <v>34</v>
      </c>
      <c r="V12" s="10" t="s">
        <v>17</v>
      </c>
      <c r="W12" s="10" t="s">
        <v>19</v>
      </c>
      <c r="X12" s="10" t="s">
        <v>27</v>
      </c>
      <c r="Y12" s="10" t="s">
        <v>463</v>
      </c>
      <c r="Z12" s="10" t="s">
        <v>827</v>
      </c>
      <c r="AA12" s="10" t="s">
        <v>27</v>
      </c>
      <c r="AB12" s="10" t="s">
        <v>631</v>
      </c>
      <c r="AC12" s="10" t="s">
        <v>27</v>
      </c>
      <c r="AD12" s="10" t="s">
        <v>27</v>
      </c>
      <c r="AE12" s="10" t="s">
        <v>27</v>
      </c>
      <c r="AF12" s="10" t="s">
        <v>27</v>
      </c>
      <c r="AG12" s="10">
        <v>1</v>
      </c>
      <c r="AH12" s="10" t="s">
        <v>27</v>
      </c>
      <c r="AI12" s="10" t="s">
        <v>27</v>
      </c>
      <c r="AJ12" s="10" t="s">
        <v>27</v>
      </c>
      <c r="AK12" s="10" t="s">
        <v>27</v>
      </c>
      <c r="AL12" s="24" t="s">
        <v>338</v>
      </c>
      <c r="AM12" s="24" t="s">
        <v>829</v>
      </c>
      <c r="AN12" s="10" t="s">
        <v>830</v>
      </c>
      <c r="AO12" s="10" t="s">
        <v>828</v>
      </c>
      <c r="AP12" s="10" t="s">
        <v>819</v>
      </c>
    </row>
    <row r="13" spans="1:42" ht="323" x14ac:dyDescent="0.2">
      <c r="A13" s="3" t="s">
        <v>12</v>
      </c>
      <c r="B13" s="3" t="s">
        <v>27</v>
      </c>
      <c r="C13" s="3">
        <v>2019</v>
      </c>
      <c r="D13" s="3" t="s">
        <v>881</v>
      </c>
      <c r="E13" s="3" t="s">
        <v>882</v>
      </c>
      <c r="F13" s="3" t="s">
        <v>883</v>
      </c>
      <c r="G13" s="3" t="s">
        <v>884</v>
      </c>
      <c r="H13" s="3" t="s">
        <v>885</v>
      </c>
      <c r="I13" s="3" t="s">
        <v>868</v>
      </c>
      <c r="J13" s="3" t="s">
        <v>30</v>
      </c>
      <c r="K13" s="3" t="s">
        <v>27</v>
      </c>
      <c r="L13" s="3" t="s">
        <v>697</v>
      </c>
      <c r="M13" s="3" t="s">
        <v>27</v>
      </c>
      <c r="N13" s="3" t="s">
        <v>31</v>
      </c>
      <c r="O13" s="3" t="s">
        <v>875</v>
      </c>
      <c r="P13" s="23">
        <v>1000</v>
      </c>
      <c r="Q13" s="3" t="s">
        <v>411</v>
      </c>
      <c r="R13" s="3" t="s">
        <v>876</v>
      </c>
      <c r="S13" s="3" t="s">
        <v>27</v>
      </c>
      <c r="T13" s="3" t="s">
        <v>27</v>
      </c>
      <c r="U13" s="3" t="s">
        <v>34</v>
      </c>
      <c r="V13" s="3" t="s">
        <v>17</v>
      </c>
      <c r="W13" s="3" t="s">
        <v>19</v>
      </c>
      <c r="X13" s="3" t="s">
        <v>27</v>
      </c>
      <c r="Y13" s="3" t="s">
        <v>463</v>
      </c>
      <c r="Z13" s="3" t="s">
        <v>878</v>
      </c>
      <c r="AA13" s="3" t="s">
        <v>27</v>
      </c>
      <c r="AB13" s="3" t="s">
        <v>631</v>
      </c>
      <c r="AC13" s="3" t="s">
        <v>877</v>
      </c>
      <c r="AD13" s="3" t="s">
        <v>855</v>
      </c>
      <c r="AE13" s="3" t="s">
        <v>855</v>
      </c>
      <c r="AF13" s="3" t="s">
        <v>27</v>
      </c>
      <c r="AG13" s="3" t="s">
        <v>27</v>
      </c>
      <c r="AH13" s="3" t="s">
        <v>29</v>
      </c>
      <c r="AI13" s="3" t="s">
        <v>27</v>
      </c>
      <c r="AJ13" s="3" t="s">
        <v>27</v>
      </c>
      <c r="AK13" s="8" t="s">
        <v>339</v>
      </c>
      <c r="AL13" s="8" t="s">
        <v>27</v>
      </c>
      <c r="AM13" s="3" t="s">
        <v>879</v>
      </c>
      <c r="AN13" s="3" t="s">
        <v>880</v>
      </c>
      <c r="AO13" s="3" t="s">
        <v>869</v>
      </c>
      <c r="AP13" s="3" t="s">
        <v>867</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6160-6E15-D24A-841D-EBF23EC78DAB}">
  <dimension ref="A1:H60"/>
  <sheetViews>
    <sheetView zoomScale="89" workbookViewId="0"/>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891</v>
      </c>
      <c r="B1" t="s">
        <v>153</v>
      </c>
      <c r="C1" t="s">
        <v>14</v>
      </c>
      <c r="D1" t="s">
        <v>163</v>
      </c>
      <c r="E1" t="s">
        <v>15</v>
      </c>
      <c r="F1" t="s">
        <v>152</v>
      </c>
      <c r="H1" t="s">
        <v>1113</v>
      </c>
    </row>
    <row r="2" spans="1:8" x14ac:dyDescent="0.2">
      <c r="A2" t="s">
        <v>1067</v>
      </c>
      <c r="B2" t="s">
        <v>156</v>
      </c>
      <c r="C2" t="s">
        <v>647</v>
      </c>
      <c r="D2" t="s">
        <v>648</v>
      </c>
      <c r="E2" t="s">
        <v>649</v>
      </c>
      <c r="H2" t="str">
        <f>_xlfn.CONCAT(C2," &amp; ",D2," &amp; ",E2," &amp; ",F2," \\ ")</f>
        <v xml:space="preserve">Average rate &amp; AR &amp; Scheduling algorithm that supply the minimum power of the EVSE capacity. &amp;  \\ </v>
      </c>
    </row>
    <row r="3" spans="1:8" x14ac:dyDescent="0.2">
      <c r="A3" t="s">
        <v>1067</v>
      </c>
      <c r="B3" t="s">
        <v>871</v>
      </c>
      <c r="C3" s="1" t="s">
        <v>870</v>
      </c>
      <c r="D3" t="s">
        <v>872</v>
      </c>
      <c r="E3" t="s">
        <v>873</v>
      </c>
      <c r="H3" t="str">
        <f t="shared" ref="H3:H59" si="0">_xlfn.CONCAT(C3," &amp; ",D3," &amp; ",E3," &amp; ",F3," \\ ")</f>
        <v xml:space="preserve">Backward-forward sweep &amp; BFS &amp; Algorithm to compute the power flow in a network &amp;  \\ </v>
      </c>
    </row>
    <row r="4" spans="1:8" x14ac:dyDescent="0.2">
      <c r="A4" t="s">
        <v>1067</v>
      </c>
      <c r="B4" t="s">
        <v>156</v>
      </c>
      <c r="C4" t="s">
        <v>129</v>
      </c>
      <c r="D4" t="s">
        <v>128</v>
      </c>
      <c r="E4" t="s">
        <v>130</v>
      </c>
      <c r="H4" t="str">
        <f t="shared" si="0"/>
        <v xml:space="preserve">Earliest deadline first &amp; EDF &amp; Scheduling algorithm that schedules the charge of the vehicle with earliest departure time first. &amp;  \\ </v>
      </c>
    </row>
    <row r="5" spans="1:8" x14ac:dyDescent="0.2">
      <c r="A5" t="s">
        <v>1067</v>
      </c>
      <c r="B5" t="s">
        <v>156</v>
      </c>
      <c r="C5" t="s">
        <v>439</v>
      </c>
      <c r="D5" t="s">
        <v>440</v>
      </c>
      <c r="E5" t="s">
        <v>441</v>
      </c>
      <c r="H5" t="str">
        <f t="shared" si="0"/>
        <v xml:space="preserve">Earliest start time &amp; EST &amp; Scheduling algorithm that dispatches the EVSE firsly available with no spatial consideration. &amp;  \\ </v>
      </c>
    </row>
    <row r="6" spans="1:8" x14ac:dyDescent="0.2">
      <c r="A6" t="s">
        <v>1067</v>
      </c>
      <c r="B6" t="s">
        <v>156</v>
      </c>
      <c r="C6" t="s">
        <v>486</v>
      </c>
      <c r="D6" t="s">
        <v>487</v>
      </c>
      <c r="E6" t="s">
        <v>488</v>
      </c>
      <c r="F6" t="s">
        <v>557</v>
      </c>
      <c r="H6" t="str">
        <f t="shared" si="0"/>
        <v xml:space="preserve">First-in First-served &amp; FIFS &amp; Scheduling algorithm that dispatches EVs according to their arrival times. &amp; First-come first-served (FCFS) \\ </v>
      </c>
    </row>
    <row r="7" spans="1:8" x14ac:dyDescent="0.2">
      <c r="A7" t="s">
        <v>1067</v>
      </c>
      <c r="B7" t="s">
        <v>156</v>
      </c>
      <c r="C7" t="s">
        <v>132</v>
      </c>
      <c r="D7" t="s">
        <v>131</v>
      </c>
      <c r="E7" t="s">
        <v>136</v>
      </c>
      <c r="F7" t="s">
        <v>442</v>
      </c>
      <c r="H7" t="str">
        <f t="shared" si="0"/>
        <v xml:space="preserve">Least slack time &amp; LST &amp; Scheduling algorithm that prioritizes those vehicle with shortest remaining time to achieve the desired SoC. &amp; Least laxity first (LLF) \\ </v>
      </c>
    </row>
    <row r="8" spans="1:8" x14ac:dyDescent="0.2">
      <c r="A8" t="s">
        <v>1067</v>
      </c>
      <c r="B8" t="s">
        <v>156</v>
      </c>
      <c r="C8" t="s">
        <v>385</v>
      </c>
      <c r="D8" t="s">
        <v>386</v>
      </c>
      <c r="E8" t="s">
        <v>387</v>
      </c>
      <c r="H8" t="str">
        <f t="shared" si="0"/>
        <v xml:space="preserve">Lowest state-of-charge first &amp; LSF &amp; Scheduling algorithm that charges the vehicle with the lowest SoC first &amp;  \\ </v>
      </c>
    </row>
    <row r="9" spans="1:8" x14ac:dyDescent="0.2">
      <c r="A9" t="s">
        <v>1067</v>
      </c>
      <c r="B9" t="s">
        <v>156</v>
      </c>
      <c r="C9" t="s">
        <v>436</v>
      </c>
      <c r="D9" t="s">
        <v>437</v>
      </c>
      <c r="E9" t="s">
        <v>438</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1067</v>
      </c>
      <c r="B10" t="s">
        <v>871</v>
      </c>
      <c r="C10" t="s">
        <v>874</v>
      </c>
      <c r="E10" t="s">
        <v>873</v>
      </c>
      <c r="H10" t="str">
        <f t="shared" si="0"/>
        <v xml:space="preserve">Newton-Raphson &amp;  &amp; Algorithm to compute the power flow in a network &amp;  \\ </v>
      </c>
    </row>
    <row r="11" spans="1:8" x14ac:dyDescent="0.2">
      <c r="A11" t="s">
        <v>1067</v>
      </c>
      <c r="B11" t="s">
        <v>156</v>
      </c>
      <c r="C11" t="s">
        <v>719</v>
      </c>
      <c r="D11" t="s">
        <v>718</v>
      </c>
      <c r="E11" t="s">
        <v>720</v>
      </c>
      <c r="F11" t="s">
        <v>721</v>
      </c>
      <c r="H11" t="str">
        <f t="shared" si="0"/>
        <v xml:space="preserve">Price oriented scheduling &amp; POS &amp; Scheduling algorithm that supplies more energy during cheaper windows &amp; ToU scheduling \\ </v>
      </c>
    </row>
    <row r="12" spans="1:8" x14ac:dyDescent="0.2">
      <c r="A12" t="s">
        <v>1067</v>
      </c>
      <c r="B12" t="s">
        <v>156</v>
      </c>
      <c r="C12" t="s">
        <v>650</v>
      </c>
      <c r="D12" t="s">
        <v>653</v>
      </c>
      <c r="E12" t="s">
        <v>651</v>
      </c>
      <c r="H12" t="str">
        <f t="shared" si="0"/>
        <v xml:space="preserve">Randomly delayed charging &amp; RND &amp; Scheduling algorithm that starts to supplying power after a random amount of time. &amp;  \\ </v>
      </c>
    </row>
    <row r="13" spans="1:8" x14ac:dyDescent="0.2">
      <c r="A13" t="s">
        <v>1067</v>
      </c>
      <c r="B13" t="s">
        <v>156</v>
      </c>
      <c r="C13" t="s">
        <v>134</v>
      </c>
      <c r="D13" t="s">
        <v>133</v>
      </c>
      <c r="E13" t="s">
        <v>135</v>
      </c>
      <c r="H13" t="str">
        <f t="shared" si="0"/>
        <v xml:space="preserve">Shortest job first &amp; SJF &amp; Scheduling algorithm that charges the vehicle with less required energy first. &amp;  \\ </v>
      </c>
    </row>
    <row r="14" spans="1:8" x14ac:dyDescent="0.2">
      <c r="A14" t="s">
        <v>1067</v>
      </c>
      <c r="B14" t="s">
        <v>156</v>
      </c>
      <c r="C14" t="s">
        <v>674</v>
      </c>
      <c r="D14" t="s">
        <v>673</v>
      </c>
      <c r="E14" t="s">
        <v>675</v>
      </c>
      <c r="H14" t="str">
        <f t="shared" si="0"/>
        <v xml:space="preserve">Smart charging system with cooperation &amp; SCSC &amp; Scheduling algorithm that supplies energy according to maximizing the utilization of the available power. &amp;  \\ </v>
      </c>
    </row>
    <row r="15" spans="1:8" x14ac:dyDescent="0.2">
      <c r="A15" t="s">
        <v>1067</v>
      </c>
      <c r="B15" t="s">
        <v>156</v>
      </c>
      <c r="C15" t="s">
        <v>415</v>
      </c>
      <c r="D15" t="s">
        <v>414</v>
      </c>
      <c r="E15" t="s">
        <v>416</v>
      </c>
      <c r="H15" t="str">
        <f t="shared" si="0"/>
        <v xml:space="preserve">Without chargers assignment scheduling &amp; WCAS &amp; Scheduling algorithm that dispatches EV to charging stations but not to EVSE. &amp;  \\ </v>
      </c>
    </row>
    <row r="16" spans="1:8" x14ac:dyDescent="0.2">
      <c r="A16" t="s">
        <v>1099</v>
      </c>
      <c r="B16" t="s">
        <v>154</v>
      </c>
      <c r="C16" t="s">
        <v>16</v>
      </c>
      <c r="D16" t="s">
        <v>17</v>
      </c>
      <c r="E16" t="s">
        <v>430</v>
      </c>
      <c r="F16" t="s">
        <v>838</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1099</v>
      </c>
      <c r="B17" t="s">
        <v>155</v>
      </c>
      <c r="C17" t="s">
        <v>660</v>
      </c>
      <c r="E17" t="s">
        <v>661</v>
      </c>
      <c r="F17" t="s">
        <v>1104</v>
      </c>
      <c r="H17" t="str">
        <f t="shared" si="0"/>
        <v xml:space="preserve">Battery capacity (kWh) &amp;  &amp; It is the maximum energy the battery can save &amp; Battery health, state of the battery. \\ </v>
      </c>
    </row>
    <row r="18" spans="1:8" x14ac:dyDescent="0.2">
      <c r="A18" t="s">
        <v>1099</v>
      </c>
      <c r="B18" t="s">
        <v>155</v>
      </c>
      <c r="C18" t="s">
        <v>22</v>
      </c>
      <c r="E18" t="s">
        <v>24</v>
      </c>
      <c r="H18" t="str">
        <f t="shared" si="0"/>
        <v xml:space="preserve">Blackout &amp;  &amp; It is the loss of the electrical power network supply to an end user (a.k.a. power outage, powercut, a power out, a power blackout, a power failure or a power loss). &amp;  \\ </v>
      </c>
    </row>
    <row r="19" spans="1:8" x14ac:dyDescent="0.2">
      <c r="A19" t="s">
        <v>1099</v>
      </c>
      <c r="B19" t="s">
        <v>155</v>
      </c>
      <c r="C19" t="s">
        <v>21</v>
      </c>
      <c r="E19" t="s">
        <v>23</v>
      </c>
      <c r="H19" t="str">
        <f t="shared" si="0"/>
        <v xml:space="preserve">Brownout &amp;  &amp; Phemonenon when there is an intentional or unintentional drop in the voltage. &amp;  \\ </v>
      </c>
    </row>
    <row r="20" spans="1:8" x14ac:dyDescent="0.2">
      <c r="A20" t="s">
        <v>1099</v>
      </c>
      <c r="B20" t="s">
        <v>155</v>
      </c>
      <c r="C20" t="s">
        <v>659</v>
      </c>
      <c r="E20" t="s">
        <v>658</v>
      </c>
      <c r="H20" t="str">
        <f t="shared" si="0"/>
        <v xml:space="preserve">Charging capacity (kW) &amp;  &amp; It is the maximum power the battery stands &amp;  \\ </v>
      </c>
    </row>
    <row r="21" spans="1:8" x14ac:dyDescent="0.2">
      <c r="A21" t="s">
        <v>1099</v>
      </c>
      <c r="B21" t="s">
        <v>155</v>
      </c>
      <c r="C21" t="s">
        <v>1109</v>
      </c>
      <c r="H21" t="str">
        <f t="shared" si="0"/>
        <v xml:space="preserve">Charging efficiency &amp;  &amp;  &amp;  \\ </v>
      </c>
    </row>
    <row r="22" spans="1:8" x14ac:dyDescent="0.2">
      <c r="A22" t="s">
        <v>1099</v>
      </c>
      <c r="B22" t="s">
        <v>154</v>
      </c>
      <c r="C22" t="s">
        <v>363</v>
      </c>
      <c r="E22" t="s">
        <v>364</v>
      </c>
      <c r="H22" t="str">
        <f t="shared" si="0"/>
        <v xml:space="preserve">Charging facility &amp;  &amp; Place where there is an EVSE. It can be either a station, a home, a parking and a workplace. &amp;  \\ </v>
      </c>
    </row>
    <row r="23" spans="1:8" x14ac:dyDescent="0.2">
      <c r="A23" t="s">
        <v>1099</v>
      </c>
      <c r="B23" t="s">
        <v>154</v>
      </c>
      <c r="C23" t="s">
        <v>1118</v>
      </c>
      <c r="E23" t="s">
        <v>162</v>
      </c>
      <c r="F23" t="s">
        <v>1123</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1099</v>
      </c>
      <c r="B24" t="s">
        <v>155</v>
      </c>
      <c r="C24" t="s">
        <v>536</v>
      </c>
      <c r="E24" t="s">
        <v>537</v>
      </c>
      <c r="H24" t="str">
        <f t="shared" si="0"/>
        <v xml:space="preserve">Charging power modulation &amp;  &amp; It is the capability of the AU to control the power supplied. &amp;  \\ </v>
      </c>
    </row>
    <row r="25" spans="1:8" x14ac:dyDescent="0.2">
      <c r="A25" t="s">
        <v>1099</v>
      </c>
      <c r="B25" t="s">
        <v>158</v>
      </c>
      <c r="C25" t="s">
        <v>183</v>
      </c>
      <c r="E25" t="s">
        <v>185</v>
      </c>
      <c r="F25" t="s">
        <v>591</v>
      </c>
      <c r="H25" t="str">
        <f t="shared" si="0"/>
        <v xml:space="preserve">Coordinated charging &amp;  &amp; Energy supplied is controled under power availability and/or power grid constraints. &amp; Controlled charging, smart charging, charge management (CM), Optimized charging (OC). \\ </v>
      </c>
    </row>
    <row r="26" spans="1:8" x14ac:dyDescent="0.2">
      <c r="A26" t="s">
        <v>1099</v>
      </c>
      <c r="B26" t="s">
        <v>1108</v>
      </c>
      <c r="C26" t="s">
        <v>245</v>
      </c>
      <c r="D26" t="s">
        <v>244</v>
      </c>
      <c r="E26" t="s">
        <v>246</v>
      </c>
      <c r="F26" t="s">
        <v>350</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1099</v>
      </c>
      <c r="B27" t="s">
        <v>154</v>
      </c>
      <c r="C27" t="s">
        <v>18</v>
      </c>
      <c r="D27" t="s">
        <v>19</v>
      </c>
      <c r="E27" t="s">
        <v>20</v>
      </c>
      <c r="F27" t="s">
        <v>820</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 </v>
      </c>
    </row>
    <row r="28" spans="1:8" x14ac:dyDescent="0.2">
      <c r="A28" t="s">
        <v>1099</v>
      </c>
      <c r="B28" t="s">
        <v>1106</v>
      </c>
      <c r="C28" t="s">
        <v>166</v>
      </c>
      <c r="D28" t="s">
        <v>167</v>
      </c>
      <c r="E28" t="s">
        <v>187</v>
      </c>
      <c r="F28" t="s">
        <v>521</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1099</v>
      </c>
      <c r="B29" t="s">
        <v>154</v>
      </c>
      <c r="C29" t="s">
        <v>1125</v>
      </c>
      <c r="D29" t="s">
        <v>178</v>
      </c>
      <c r="E29" t="s">
        <v>1119</v>
      </c>
      <c r="F29" t="s">
        <v>1117</v>
      </c>
      <c r="H29" t="str">
        <f t="shared" si="0"/>
        <v xml:space="preserve">Electric vehicle supply equiment &amp; EVSE &amp; It is the cable to connect the EV to the charging pile where the power energy flows through. &amp; Charging equipment, Connector \\ </v>
      </c>
    </row>
    <row r="30" spans="1:8" x14ac:dyDescent="0.2">
      <c r="A30" t="s">
        <v>1099</v>
      </c>
      <c r="B30" t="s">
        <v>154</v>
      </c>
      <c r="C30" t="s">
        <v>1120</v>
      </c>
      <c r="D30" t="s">
        <v>1121</v>
      </c>
      <c r="E30" t="s">
        <v>1122</v>
      </c>
      <c r="F30" t="s">
        <v>1124</v>
      </c>
      <c r="H30" t="str">
        <f t="shared" si="0"/>
        <v xml:space="preserve">Electric vehicle supply equipement port &amp; EVSE port &amp; It the plug where the EVSE is plugged-in. &amp; Charging port \\ </v>
      </c>
    </row>
    <row r="31" spans="1:8" x14ac:dyDescent="0.2">
      <c r="A31" t="s">
        <v>1099</v>
      </c>
      <c r="B31" t="s">
        <v>155</v>
      </c>
      <c r="C31" t="s">
        <v>164</v>
      </c>
      <c r="E31" t="s">
        <v>165</v>
      </c>
      <c r="H31" t="str">
        <f t="shared" si="0"/>
        <v xml:space="preserve">EV load &amp;  &amp; It is the power or energy consumed at EVSEs over time. &amp;  \\ </v>
      </c>
    </row>
    <row r="32" spans="1:8" x14ac:dyDescent="0.2">
      <c r="A32" t="s">
        <v>1099</v>
      </c>
      <c r="B32" t="s">
        <v>1106</v>
      </c>
      <c r="C32" t="s">
        <v>180</v>
      </c>
      <c r="D32" t="s">
        <v>179</v>
      </c>
      <c r="E32" t="s">
        <v>188</v>
      </c>
      <c r="H32" t="str">
        <f t="shared" si="0"/>
        <v xml:space="preserve">Fuel cell electric vehicle &amp; FCEV &amp; Vehicles that work with hydrogen fuel. &amp;  \\ </v>
      </c>
    </row>
    <row r="33" spans="1:8" x14ac:dyDescent="0.2">
      <c r="A33" t="s">
        <v>1099</v>
      </c>
      <c r="B33" t="s">
        <v>1107</v>
      </c>
      <c r="C33" t="s">
        <v>174</v>
      </c>
      <c r="D33" t="s">
        <v>172</v>
      </c>
      <c r="E33" t="s">
        <v>173</v>
      </c>
      <c r="F33" t="s">
        <v>198</v>
      </c>
      <c r="H33" t="str">
        <f t="shared" si="0"/>
        <v xml:space="preserve">Grid-to-vehicle &amp; G2V &amp; The power grid supplies energy to EVs. &amp; Unidirectional, Unidirectional V2G, V1G. \\ </v>
      </c>
    </row>
    <row r="34" spans="1:8" x14ac:dyDescent="0.2">
      <c r="A34" t="s">
        <v>1099</v>
      </c>
      <c r="B34" t="s">
        <v>1106</v>
      </c>
      <c r="C34" t="s">
        <v>182</v>
      </c>
      <c r="D34" t="s">
        <v>181</v>
      </c>
      <c r="E34" t="s">
        <v>189</v>
      </c>
      <c r="F34" t="s">
        <v>520</v>
      </c>
      <c r="H34" t="str">
        <f t="shared" si="0"/>
        <v xml:space="preserve">Hybrid electric vehicle &amp; HEV &amp; Vehicles that use gasoline and electricity. &amp; Plug-in hybrid electric vehicle (PHEV), Hybrid electric cars (HEC). \\ </v>
      </c>
    </row>
    <row r="35" spans="1:8" x14ac:dyDescent="0.2">
      <c r="A35" t="s">
        <v>1099</v>
      </c>
      <c r="B35" t="s">
        <v>1106</v>
      </c>
      <c r="C35" t="s">
        <v>169</v>
      </c>
      <c r="D35" t="s">
        <v>168</v>
      </c>
      <c r="E35" t="s">
        <v>186</v>
      </c>
      <c r="F35" t="s">
        <v>192</v>
      </c>
      <c r="H35" t="str">
        <f t="shared" si="0"/>
        <v xml:space="preserve">Internal combustion engine vehicle &amp; ICEV &amp; Vehicles that use gasoline only. &amp; Internal combustion vehicles (ICVs), Conventional vehicle (CV). \\ </v>
      </c>
    </row>
    <row r="36" spans="1:8" x14ac:dyDescent="0.2">
      <c r="A36" t="s">
        <v>1099</v>
      </c>
      <c r="B36" t="s">
        <v>1108</v>
      </c>
      <c r="C36" t="s">
        <v>297</v>
      </c>
      <c r="D36" t="s">
        <v>273</v>
      </c>
      <c r="E36" t="s">
        <v>296</v>
      </c>
      <c r="F36" t="s">
        <v>295</v>
      </c>
      <c r="H36" t="str">
        <f t="shared" si="0"/>
        <v xml:space="preserve">Model predictive control &amp; MPC &amp; It aims to repeatedly solve an optimization problem using forecast of costs and demand, among others. &amp; Receding horizon control (RHC) \\ </v>
      </c>
    </row>
    <row r="37" spans="1:8" x14ac:dyDescent="0.2">
      <c r="A37" t="s">
        <v>1099</v>
      </c>
      <c r="B37" t="s">
        <v>157</v>
      </c>
      <c r="C37" t="s">
        <v>195</v>
      </c>
      <c r="E37" t="s">
        <v>196</v>
      </c>
      <c r="H37" t="str">
        <f t="shared" si="0"/>
        <v xml:space="preserve">Price control &amp;  &amp; Coordination method in which the AU sets the price over the day as an incentive or disincentive mechanism to plug-in EV when needed. &amp;  \\ </v>
      </c>
    </row>
    <row r="38" spans="1:8" x14ac:dyDescent="0.2">
      <c r="A38" t="s">
        <v>1099</v>
      </c>
      <c r="B38" t="s">
        <v>155</v>
      </c>
      <c r="C38" t="s">
        <v>581</v>
      </c>
      <c r="E38" t="s">
        <v>1103</v>
      </c>
      <c r="F38" t="s">
        <v>600</v>
      </c>
      <c r="H38" t="str">
        <f t="shared" si="0"/>
        <v xml:space="preserve">Sliding windows &amp;  &amp; It is the time between the arrival of the EV and the lattest charging time before departure (to get the desired SoC) &amp; Sojourn time, dwell time. \\ </v>
      </c>
    </row>
    <row r="39" spans="1:8" x14ac:dyDescent="0.2">
      <c r="A39" t="s">
        <v>1099</v>
      </c>
      <c r="B39" t="s">
        <v>1105</v>
      </c>
      <c r="C39" t="s">
        <v>160</v>
      </c>
      <c r="D39" t="s">
        <v>159</v>
      </c>
      <c r="E39" t="s">
        <v>161</v>
      </c>
      <c r="F39" t="s">
        <v>306</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1099</v>
      </c>
      <c r="B40" t="s">
        <v>154</v>
      </c>
      <c r="C40" t="s">
        <v>175</v>
      </c>
      <c r="D40" t="s">
        <v>176</v>
      </c>
      <c r="E40" t="s">
        <v>177</v>
      </c>
      <c r="F40" t="s">
        <v>578</v>
      </c>
      <c r="H40" t="str">
        <f t="shared" si="0"/>
        <v xml:space="preserve">Transmission system operator &amp; TSO &amp; The network that transports the enery at high voltage from the generation source to cities. &amp; Transmission system \\ </v>
      </c>
    </row>
    <row r="41" spans="1:8" x14ac:dyDescent="0.2">
      <c r="A41" t="s">
        <v>1099</v>
      </c>
      <c r="B41" t="s">
        <v>158</v>
      </c>
      <c r="C41" t="s">
        <v>184</v>
      </c>
      <c r="E41" t="s">
        <v>207</v>
      </c>
      <c r="F41" t="s">
        <v>510</v>
      </c>
      <c r="H41" t="str">
        <f t="shared" si="0"/>
        <v xml:space="preserve">Uncoordinated charging &amp;  &amp; When energy is supplied with no control nor constraint until desired SoC is reached. In other words, charge whenever possible (obviously). &amp; Uncontrolled charging, direct charging, simple charging, dumb charging, immediate charging (IMM), Expedient charging, Naïve charging, As fast as possible (AFAP) \\ </v>
      </c>
    </row>
    <row r="42" spans="1:8" x14ac:dyDescent="0.2">
      <c r="A42" t="s">
        <v>1099</v>
      </c>
      <c r="B42" t="s">
        <v>1107</v>
      </c>
      <c r="C42" t="s">
        <v>170</v>
      </c>
      <c r="D42" t="s">
        <v>25</v>
      </c>
      <c r="E42" t="s">
        <v>171</v>
      </c>
      <c r="F42" t="s">
        <v>519</v>
      </c>
      <c r="H42" t="str">
        <f t="shared" si="0"/>
        <v xml:space="preserve">Vehicle-to-grid &amp; V2G &amp; EVs are also energy sources since they can provide energy to the grid by discharging their batteries. &amp; Bi-directional V2G, Bi-directional charging. \\ </v>
      </c>
    </row>
    <row r="43" spans="1:8" x14ac:dyDescent="0.2">
      <c r="A43" t="s">
        <v>1098</v>
      </c>
      <c r="B43" t="s">
        <v>155</v>
      </c>
      <c r="C43" t="s">
        <v>592</v>
      </c>
      <c r="D43" t="s">
        <v>593</v>
      </c>
      <c r="E43" t="s">
        <v>594</v>
      </c>
      <c r="H43" t="str">
        <f t="shared" si="0"/>
        <v xml:space="preserve">Aging acceleration factor &amp; AAF &amp; Is a metric for determining how much a charging load impacts transformer life &amp;  \\ </v>
      </c>
    </row>
    <row r="44" spans="1:8" x14ac:dyDescent="0.2">
      <c r="A44" t="s">
        <v>1098</v>
      </c>
      <c r="B44" t="s">
        <v>155</v>
      </c>
      <c r="C44" t="s">
        <v>210</v>
      </c>
      <c r="E44" t="s">
        <v>211</v>
      </c>
      <c r="H44" t="str">
        <f t="shared" si="0"/>
        <v xml:space="preserve">Bottleneck &amp;  &amp; Line limits and transformer capacities across different voltage levels. &amp;  \\ </v>
      </c>
    </row>
    <row r="45" spans="1:8" x14ac:dyDescent="0.2">
      <c r="A45" t="s">
        <v>1098</v>
      </c>
      <c r="B45" t="s">
        <v>155</v>
      </c>
      <c r="C45" t="s">
        <v>595</v>
      </c>
      <c r="E45" t="s">
        <v>596</v>
      </c>
      <c r="H45" t="str">
        <f t="shared" si="0"/>
        <v xml:space="preserve">Equivalent aging factor &amp;  &amp; It is the aggregation of the AAF product of computing it at each time interval. &amp;  \\ </v>
      </c>
    </row>
    <row r="46" spans="1:8" x14ac:dyDescent="0.2">
      <c r="A46" t="s">
        <v>1098</v>
      </c>
      <c r="B46" t="s">
        <v>155</v>
      </c>
      <c r="C46" t="s">
        <v>597</v>
      </c>
      <c r="D46" t="s">
        <v>598</v>
      </c>
      <c r="E46" t="s">
        <v>599</v>
      </c>
      <c r="H46" t="str">
        <f t="shared" si="0"/>
        <v xml:space="preserve">Loss of life percentage &amp; LOL &amp; It is the wear of the transformer throughout time. It is computed by mutiplying the EAF by the total operation time dived by 180,000. &amp;  \\ </v>
      </c>
    </row>
    <row r="47" spans="1:8" x14ac:dyDescent="0.2">
      <c r="A47" t="s">
        <v>1098</v>
      </c>
      <c r="B47" t="s">
        <v>158</v>
      </c>
      <c r="C47" t="s">
        <v>576</v>
      </c>
      <c r="E47" t="s">
        <v>577</v>
      </c>
      <c r="H47" t="str">
        <f t="shared" si="0"/>
        <v xml:space="preserve">Power generation system &amp;  &amp; Encompasses the production of electricity and the allocation of required demand between producers. &amp;  \\ </v>
      </c>
    </row>
    <row r="48" spans="1:8" x14ac:dyDescent="0.2">
      <c r="A48" t="s">
        <v>1098</v>
      </c>
      <c r="B48" t="s">
        <v>158</v>
      </c>
      <c r="C48" t="s">
        <v>145</v>
      </c>
      <c r="D48" t="s">
        <v>146</v>
      </c>
      <c r="E48" t="s">
        <v>147</v>
      </c>
      <c r="H48" t="str">
        <f t="shared" si="0"/>
        <v xml:space="preserve">Unit commitment &amp; UC &amp; It is the problem that schedules the energy production at minimum cost. &amp;  \\ </v>
      </c>
    </row>
    <row r="49" spans="1:8" x14ac:dyDescent="0.2">
      <c r="A49" t="s">
        <v>1112</v>
      </c>
      <c r="B49" t="s">
        <v>155</v>
      </c>
      <c r="C49" t="s">
        <v>657</v>
      </c>
      <c r="E49" t="s">
        <v>426</v>
      </c>
      <c r="F49" t="s">
        <v>428</v>
      </c>
      <c r="H49" t="str">
        <f t="shared" si="0"/>
        <v xml:space="preserve">Non-preemptive charging &amp;  &amp; Once charging starts, it is not allowed to stop supplying energy. &amp; Non-stop charging \\ </v>
      </c>
    </row>
    <row r="50" spans="1:8" x14ac:dyDescent="0.2">
      <c r="A50" t="s">
        <v>1112</v>
      </c>
      <c r="B50" t="s">
        <v>155</v>
      </c>
      <c r="C50" t="s">
        <v>78</v>
      </c>
      <c r="D50" t="s">
        <v>79</v>
      </c>
      <c r="E50" t="s">
        <v>80</v>
      </c>
      <c r="F50" t="s">
        <v>191</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1112</v>
      </c>
      <c r="B51" t="s">
        <v>155</v>
      </c>
      <c r="C51" t="s">
        <v>656</v>
      </c>
      <c r="E51" t="s">
        <v>427</v>
      </c>
      <c r="F51" t="s">
        <v>429</v>
      </c>
      <c r="H51" t="str">
        <f t="shared" si="0"/>
        <v xml:space="preserve">Preemptive charging &amp;  &amp; Once charging starts, it is allowed to stop supplying energy. &amp; Free charging \\ </v>
      </c>
    </row>
    <row r="52" spans="1:8" x14ac:dyDescent="0.2">
      <c r="A52" t="s">
        <v>1112</v>
      </c>
      <c r="B52" t="s">
        <v>155</v>
      </c>
      <c r="C52" t="s">
        <v>77</v>
      </c>
      <c r="D52" t="s">
        <v>76</v>
      </c>
      <c r="E52" t="s">
        <v>81</v>
      </c>
      <c r="F52" t="s">
        <v>221</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1110</v>
      </c>
      <c r="B53" t="s">
        <v>158</v>
      </c>
      <c r="C53" t="s">
        <v>319</v>
      </c>
      <c r="D53" t="s">
        <v>318</v>
      </c>
      <c r="E53" t="s">
        <v>320</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1110</v>
      </c>
      <c r="B54" t="s">
        <v>158</v>
      </c>
      <c r="C54" t="s">
        <v>193</v>
      </c>
      <c r="E54" t="s">
        <v>759</v>
      </c>
      <c r="F54" t="s">
        <v>197</v>
      </c>
      <c r="H54" t="str">
        <f t="shared" si="0"/>
        <v xml:space="preserve">Centralized charging &amp;  &amp; The AU decides when and how much to charge each EV by gathering the information of all EVs that demand energy. &amp; Centralized control, Direct control. \\ </v>
      </c>
    </row>
    <row r="55" spans="1:8" x14ac:dyDescent="0.2">
      <c r="A55" t="s">
        <v>1110</v>
      </c>
      <c r="B55" t="s">
        <v>158</v>
      </c>
      <c r="C55" t="s">
        <v>194</v>
      </c>
      <c r="E55" t="s">
        <v>760</v>
      </c>
      <c r="F55" t="s">
        <v>199</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1110</v>
      </c>
      <c r="B56" t="s">
        <v>158</v>
      </c>
      <c r="C56" t="s">
        <v>758</v>
      </c>
      <c r="E56" t="s">
        <v>761</v>
      </c>
      <c r="F56" t="s">
        <v>321</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157</v>
      </c>
      <c r="B57" t="s">
        <v>157</v>
      </c>
      <c r="C57" t="s">
        <v>821</v>
      </c>
      <c r="D57" t="s">
        <v>822</v>
      </c>
      <c r="H57" t="str">
        <f t="shared" si="0"/>
        <v xml:space="preserve">Locational marginal pricing &amp; LMP &amp;  &amp;  \\ </v>
      </c>
    </row>
    <row r="58" spans="1:8" x14ac:dyDescent="0.2">
      <c r="A58" t="s">
        <v>157</v>
      </c>
      <c r="B58" t="s">
        <v>157</v>
      </c>
      <c r="C58" t="s">
        <v>149</v>
      </c>
      <c r="D58" t="s">
        <v>150</v>
      </c>
      <c r="E58" t="s">
        <v>151</v>
      </c>
      <c r="F58" t="s">
        <v>351</v>
      </c>
      <c r="H58" t="str">
        <f t="shared" si="0"/>
        <v xml:space="preserve">Real-time pricing &amp; RTP &amp; Pricing scheme that is adjusted according to a function that varies over the time. &amp; Dynamic pricing, time-varying price/tariff. \\ </v>
      </c>
    </row>
    <row r="59" spans="1:8" x14ac:dyDescent="0.2">
      <c r="A59" t="s">
        <v>157</v>
      </c>
      <c r="B59" t="s">
        <v>157</v>
      </c>
      <c r="C59" t="s">
        <v>148</v>
      </c>
      <c r="D59" t="s">
        <v>1111</v>
      </c>
      <c r="E59" t="s">
        <v>237</v>
      </c>
      <c r="F59" t="s">
        <v>190</v>
      </c>
      <c r="H59" t="str">
        <f t="shared" si="0"/>
        <v xml:space="preserve">Time-of-use &amp; ToU &amp; Pricing scheme that is constant by time frame (static price), commonly three frame: off-peak, shoulder and peak. &amp; Piece-wise constant, White tariff. \\ </v>
      </c>
    </row>
    <row r="60" spans="1:8" x14ac:dyDescent="0.2">
      <c r="B60" t="s">
        <v>155</v>
      </c>
      <c r="C60" t="s">
        <v>824</v>
      </c>
      <c r="D60" t="s">
        <v>825</v>
      </c>
      <c r="E60" t="s">
        <v>826</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7A22-8C2B-524F-B47F-602AA14B228E}">
  <sheetPr filterMode="1"/>
  <dimension ref="A1:F94"/>
  <sheetViews>
    <sheetView zoomScale="125" workbookViewId="0"/>
  </sheetViews>
  <sheetFormatPr baseColWidth="10" defaultRowHeight="16" x14ac:dyDescent="0.2"/>
  <cols>
    <col min="1" max="1" width="10.83203125" style="19"/>
    <col min="2" max="2" width="71.5" style="19" bestFit="1" customWidth="1"/>
    <col min="3" max="3" width="53.5" style="3" customWidth="1"/>
    <col min="4" max="4" width="71.1640625" style="19" customWidth="1"/>
    <col min="5" max="5" width="49.1640625" style="19" customWidth="1"/>
    <col min="6" max="6" width="48.1640625" style="19" customWidth="1"/>
    <col min="7" max="16384" width="10.83203125" style="19"/>
  </cols>
  <sheetData>
    <row r="1" spans="1:4" ht="17" x14ac:dyDescent="0.2">
      <c r="A1" s="19" t="s">
        <v>888</v>
      </c>
      <c r="B1" s="19" t="s">
        <v>891</v>
      </c>
      <c r="C1" s="3" t="s">
        <v>889</v>
      </c>
      <c r="D1" s="19" t="s">
        <v>890</v>
      </c>
    </row>
    <row r="2" spans="1:4" ht="164" hidden="1" customHeight="1" x14ac:dyDescent="0.2">
      <c r="A2" s="19">
        <v>1</v>
      </c>
      <c r="B2" s="19" t="s">
        <v>1069</v>
      </c>
      <c r="C2" s="3" t="s">
        <v>892</v>
      </c>
      <c r="D2" s="5" t="s">
        <v>894</v>
      </c>
    </row>
    <row r="3" spans="1:4" ht="51" hidden="1" x14ac:dyDescent="0.2">
      <c r="A3" s="19">
        <v>2</v>
      </c>
      <c r="B3" s="19" t="s">
        <v>1070</v>
      </c>
      <c r="C3" s="3" t="s">
        <v>895</v>
      </c>
    </row>
    <row r="4" spans="1:4" ht="204" hidden="1" x14ac:dyDescent="0.2">
      <c r="A4" s="26">
        <v>3</v>
      </c>
      <c r="B4" s="26" t="s">
        <v>1101</v>
      </c>
      <c r="C4" s="10" t="s">
        <v>897</v>
      </c>
      <c r="D4" s="11" t="s">
        <v>232</v>
      </c>
    </row>
    <row r="5" spans="1:4" ht="170" hidden="1" x14ac:dyDescent="0.2">
      <c r="A5" s="26">
        <v>4</v>
      </c>
      <c r="B5" s="26" t="s">
        <v>1086</v>
      </c>
      <c r="C5" s="10" t="s">
        <v>898</v>
      </c>
      <c r="D5" s="11" t="s">
        <v>899</v>
      </c>
    </row>
    <row r="6" spans="1:4" ht="187" hidden="1" x14ac:dyDescent="0.2">
      <c r="A6" s="26">
        <v>5</v>
      </c>
      <c r="B6" s="26" t="s">
        <v>1085</v>
      </c>
      <c r="C6" s="10" t="s">
        <v>900</v>
      </c>
      <c r="D6" s="11" t="s">
        <v>243</v>
      </c>
    </row>
    <row r="7" spans="1:4" ht="170" hidden="1" x14ac:dyDescent="0.2">
      <c r="A7" s="26">
        <v>6</v>
      </c>
      <c r="B7" s="26" t="s">
        <v>1069</v>
      </c>
      <c r="C7" s="10" t="s">
        <v>901</v>
      </c>
      <c r="D7" s="11" t="s">
        <v>265</v>
      </c>
    </row>
    <row r="8" spans="1:4" ht="204" hidden="1" x14ac:dyDescent="0.2">
      <c r="A8" s="26">
        <v>7</v>
      </c>
      <c r="B8" s="26" t="s">
        <v>1071</v>
      </c>
      <c r="C8" s="10" t="s">
        <v>903</v>
      </c>
      <c r="D8" s="11" t="s">
        <v>902</v>
      </c>
    </row>
    <row r="9" spans="1:4" ht="136" hidden="1" x14ac:dyDescent="0.2">
      <c r="A9" s="26">
        <v>8</v>
      </c>
      <c r="B9" s="26" t="s">
        <v>1071</v>
      </c>
      <c r="C9" s="10" t="s">
        <v>904</v>
      </c>
      <c r="D9" s="11" t="s">
        <v>905</v>
      </c>
    </row>
    <row r="10" spans="1:4" ht="187" hidden="1" x14ac:dyDescent="0.2">
      <c r="A10" s="26">
        <v>9</v>
      </c>
      <c r="B10" s="26" t="s">
        <v>1095</v>
      </c>
      <c r="C10" s="10" t="s">
        <v>907</v>
      </c>
      <c r="D10" s="11" t="s">
        <v>906</v>
      </c>
    </row>
    <row r="11" spans="1:4" ht="187" hidden="1" x14ac:dyDescent="0.2">
      <c r="A11" s="26">
        <v>10</v>
      </c>
      <c r="B11" s="26" t="s">
        <v>1076</v>
      </c>
      <c r="C11" s="10" t="s">
        <v>908</v>
      </c>
      <c r="D11" s="11" t="s">
        <v>281</v>
      </c>
    </row>
    <row r="12" spans="1:4" ht="187" hidden="1" x14ac:dyDescent="0.2">
      <c r="A12" s="19">
        <v>11</v>
      </c>
      <c r="B12" s="19" t="s">
        <v>1077</v>
      </c>
      <c r="C12" s="3" t="s">
        <v>909</v>
      </c>
      <c r="D12" s="5" t="s">
        <v>281</v>
      </c>
    </row>
    <row r="13" spans="1:4" ht="187" hidden="1" x14ac:dyDescent="0.2">
      <c r="A13" s="26">
        <v>12</v>
      </c>
      <c r="B13" s="26" t="s">
        <v>1076</v>
      </c>
      <c r="C13" s="10" t="s">
        <v>910</v>
      </c>
      <c r="D13" s="11" t="s">
        <v>911</v>
      </c>
    </row>
    <row r="14" spans="1:4" ht="204" hidden="1" x14ac:dyDescent="0.2">
      <c r="A14" s="26">
        <v>13</v>
      </c>
      <c r="B14" s="26" t="s">
        <v>1086</v>
      </c>
      <c r="C14" s="10" t="s">
        <v>913</v>
      </c>
      <c r="D14" s="11" t="s">
        <v>912</v>
      </c>
    </row>
    <row r="15" spans="1:4" ht="204" hidden="1" x14ac:dyDescent="0.2">
      <c r="A15" s="19">
        <v>14</v>
      </c>
      <c r="B15" s="19" t="s">
        <v>1069</v>
      </c>
      <c r="C15" s="3" t="s">
        <v>914</v>
      </c>
      <c r="D15" s="5" t="s">
        <v>912</v>
      </c>
    </row>
    <row r="16" spans="1:4" ht="187" hidden="1" x14ac:dyDescent="0.2">
      <c r="A16" s="26">
        <v>15</v>
      </c>
      <c r="B16" s="26" t="s">
        <v>1085</v>
      </c>
      <c r="C16" s="10" t="s">
        <v>915</v>
      </c>
      <c r="D16" s="11" t="s">
        <v>916</v>
      </c>
    </row>
    <row r="17" spans="1:6" ht="204" hidden="1" x14ac:dyDescent="0.2">
      <c r="A17" s="19">
        <v>16</v>
      </c>
      <c r="B17" s="19" t="s">
        <v>1085</v>
      </c>
      <c r="C17" s="3" t="s">
        <v>1131</v>
      </c>
      <c r="D17" s="5" t="s">
        <v>917</v>
      </c>
    </row>
    <row r="18" spans="1:6" ht="187" hidden="1" x14ac:dyDescent="0.2">
      <c r="A18" s="26">
        <v>17</v>
      </c>
      <c r="B18" s="26" t="s">
        <v>1085</v>
      </c>
      <c r="C18" s="10" t="s">
        <v>1130</v>
      </c>
      <c r="D18" s="11" t="s">
        <v>918</v>
      </c>
    </row>
    <row r="19" spans="1:6" ht="187" hidden="1" x14ac:dyDescent="0.2">
      <c r="A19" s="26">
        <v>18</v>
      </c>
      <c r="B19" s="26" t="s">
        <v>1078</v>
      </c>
      <c r="C19" s="10" t="s">
        <v>919</v>
      </c>
      <c r="D19" s="11" t="s">
        <v>305</v>
      </c>
    </row>
    <row r="20" spans="1:6" ht="187" hidden="1" x14ac:dyDescent="0.2">
      <c r="A20" s="26">
        <v>19</v>
      </c>
      <c r="B20" s="26" t="s">
        <v>1079</v>
      </c>
      <c r="C20" s="10" t="s">
        <v>920</v>
      </c>
      <c r="D20" s="11" t="s">
        <v>317</v>
      </c>
    </row>
    <row r="21" spans="1:6" ht="187" hidden="1" x14ac:dyDescent="0.2">
      <c r="A21" s="26">
        <v>20</v>
      </c>
      <c r="B21" s="26" t="s">
        <v>1069</v>
      </c>
      <c r="C21" s="10" t="s">
        <v>922</v>
      </c>
      <c r="D21" s="11" t="s">
        <v>331</v>
      </c>
    </row>
    <row r="22" spans="1:6" ht="17" hidden="1" x14ac:dyDescent="0.2">
      <c r="A22" s="26">
        <v>21</v>
      </c>
      <c r="B22" s="26" t="s">
        <v>1086</v>
      </c>
      <c r="C22" s="10" t="s">
        <v>923</v>
      </c>
      <c r="D22" s="26" t="s">
        <v>924</v>
      </c>
    </row>
    <row r="23" spans="1:6" ht="187" hidden="1" x14ac:dyDescent="0.2">
      <c r="A23" s="26">
        <v>22</v>
      </c>
      <c r="B23" s="26" t="s">
        <v>1076</v>
      </c>
      <c r="C23" s="10" t="s">
        <v>925</v>
      </c>
      <c r="D23" s="11" t="s">
        <v>926</v>
      </c>
    </row>
    <row r="24" spans="1:6" ht="170" hidden="1" x14ac:dyDescent="0.2">
      <c r="A24" s="26">
        <v>23</v>
      </c>
      <c r="B24" s="26" t="s">
        <v>1076</v>
      </c>
      <c r="C24" s="10" t="s">
        <v>927</v>
      </c>
      <c r="D24" s="11" t="s">
        <v>928</v>
      </c>
    </row>
    <row r="25" spans="1:6" ht="136" hidden="1" x14ac:dyDescent="0.2">
      <c r="A25" s="19">
        <v>24</v>
      </c>
      <c r="B25" s="19" t="s">
        <v>1100</v>
      </c>
      <c r="C25" s="3" t="s">
        <v>930</v>
      </c>
      <c r="D25" s="5" t="s">
        <v>929</v>
      </c>
    </row>
    <row r="26" spans="1:6" ht="102" hidden="1" x14ac:dyDescent="0.2">
      <c r="A26" s="26">
        <v>25</v>
      </c>
      <c r="B26" s="26" t="s">
        <v>1074</v>
      </c>
      <c r="C26" s="10" t="s">
        <v>931</v>
      </c>
      <c r="D26" s="11" t="s">
        <v>932</v>
      </c>
    </row>
    <row r="27" spans="1:6" ht="170" hidden="1" x14ac:dyDescent="0.2">
      <c r="A27" s="26">
        <v>26</v>
      </c>
      <c r="B27" s="26" t="s">
        <v>1069</v>
      </c>
      <c r="C27" s="10" t="s">
        <v>933</v>
      </c>
      <c r="D27" s="11" t="s">
        <v>934</v>
      </c>
    </row>
    <row r="28" spans="1:6" ht="204" hidden="1" x14ac:dyDescent="0.2">
      <c r="A28" s="26">
        <v>27</v>
      </c>
      <c r="B28" s="26" t="s">
        <v>1085</v>
      </c>
      <c r="C28" s="10" t="s">
        <v>936</v>
      </c>
      <c r="D28" s="11" t="s">
        <v>935</v>
      </c>
    </row>
    <row r="29" spans="1:6" ht="170" hidden="1" x14ac:dyDescent="0.2">
      <c r="A29" s="26">
        <v>28</v>
      </c>
      <c r="B29" s="26" t="s">
        <v>1069</v>
      </c>
      <c r="C29" s="10" t="s">
        <v>937</v>
      </c>
      <c r="D29" s="11" t="s">
        <v>358</v>
      </c>
    </row>
    <row r="30" spans="1:6" ht="170" hidden="1" x14ac:dyDescent="0.2">
      <c r="A30" s="26">
        <v>29</v>
      </c>
      <c r="B30" s="26" t="s">
        <v>1085</v>
      </c>
      <c r="C30" s="10" t="s">
        <v>938</v>
      </c>
      <c r="D30" s="11" t="s">
        <v>369</v>
      </c>
    </row>
    <row r="31" spans="1:6" ht="221" hidden="1" x14ac:dyDescent="0.2">
      <c r="A31" s="26">
        <v>30</v>
      </c>
      <c r="B31" s="26" t="s">
        <v>1069</v>
      </c>
      <c r="C31" s="10" t="s">
        <v>939</v>
      </c>
      <c r="D31" s="11" t="s">
        <v>940</v>
      </c>
      <c r="E31" s="11" t="s">
        <v>941</v>
      </c>
      <c r="F31" s="11" t="s">
        <v>942</v>
      </c>
    </row>
    <row r="32" spans="1:6" ht="170" hidden="1" x14ac:dyDescent="0.2">
      <c r="A32" s="19">
        <v>31</v>
      </c>
      <c r="B32" s="19" t="s">
        <v>1072</v>
      </c>
      <c r="C32" s="3" t="s">
        <v>943</v>
      </c>
      <c r="D32" s="5" t="s">
        <v>944</v>
      </c>
    </row>
    <row r="33" spans="1:4" ht="51" hidden="1" x14ac:dyDescent="0.2">
      <c r="A33" s="19">
        <v>32</v>
      </c>
      <c r="B33" s="19" t="s">
        <v>1101</v>
      </c>
      <c r="C33" s="3" t="s">
        <v>945</v>
      </c>
      <c r="D33" s="19" t="s">
        <v>946</v>
      </c>
    </row>
    <row r="34" spans="1:4" ht="51" hidden="1" x14ac:dyDescent="0.2">
      <c r="A34" s="19">
        <v>33</v>
      </c>
      <c r="B34" s="19" t="s">
        <v>1101</v>
      </c>
      <c r="C34" s="3" t="s">
        <v>1083</v>
      </c>
      <c r="D34" s="19" t="s">
        <v>946</v>
      </c>
    </row>
    <row r="35" spans="1:4" ht="51" hidden="1" x14ac:dyDescent="0.2">
      <c r="A35" s="26">
        <v>34</v>
      </c>
      <c r="B35" s="26" t="s">
        <v>1069</v>
      </c>
      <c r="C35" s="10" t="s">
        <v>947</v>
      </c>
      <c r="D35" s="10" t="s">
        <v>948</v>
      </c>
    </row>
    <row r="36" spans="1:4" ht="187" hidden="1" x14ac:dyDescent="0.2">
      <c r="A36" s="19">
        <v>35</v>
      </c>
      <c r="B36" s="19" t="s">
        <v>1077</v>
      </c>
      <c r="C36" s="3" t="s">
        <v>949</v>
      </c>
      <c r="D36" s="5" t="s">
        <v>950</v>
      </c>
    </row>
    <row r="37" spans="1:4" ht="85" hidden="1" x14ac:dyDescent="0.2">
      <c r="A37" s="19">
        <v>36</v>
      </c>
      <c r="B37" s="19" t="s">
        <v>1077</v>
      </c>
      <c r="C37" s="3" t="s">
        <v>951</v>
      </c>
      <c r="D37" s="3" t="s">
        <v>952</v>
      </c>
    </row>
    <row r="38" spans="1:4" ht="204" hidden="1" x14ac:dyDescent="0.2">
      <c r="A38" s="19">
        <v>37</v>
      </c>
      <c r="B38" s="19" t="s">
        <v>1072</v>
      </c>
      <c r="C38" s="3" t="s">
        <v>953</v>
      </c>
      <c r="D38" s="5" t="s">
        <v>954</v>
      </c>
    </row>
    <row r="39" spans="1:4" ht="187" hidden="1" x14ac:dyDescent="0.2">
      <c r="A39" s="26">
        <v>38</v>
      </c>
      <c r="B39" s="26" t="s">
        <v>1069</v>
      </c>
      <c r="C39" s="10" t="s">
        <v>955</v>
      </c>
      <c r="D39" s="11" t="s">
        <v>956</v>
      </c>
    </row>
    <row r="40" spans="1:4" ht="187" hidden="1" x14ac:dyDescent="0.2">
      <c r="A40" s="19">
        <v>39</v>
      </c>
      <c r="B40" s="19" t="s">
        <v>1074</v>
      </c>
      <c r="C40" s="3" t="s">
        <v>957</v>
      </c>
      <c r="D40" s="5" t="s">
        <v>958</v>
      </c>
    </row>
    <row r="41" spans="1:4" ht="187" hidden="1" x14ac:dyDescent="0.2">
      <c r="A41" s="26">
        <v>40</v>
      </c>
      <c r="B41" s="26" t="s">
        <v>1082</v>
      </c>
      <c r="C41" s="10" t="s">
        <v>959</v>
      </c>
      <c r="D41" s="11" t="s">
        <v>960</v>
      </c>
    </row>
    <row r="42" spans="1:4" ht="153" hidden="1" x14ac:dyDescent="0.2">
      <c r="A42" s="26">
        <v>41</v>
      </c>
      <c r="B42" s="26" t="s">
        <v>1082</v>
      </c>
      <c r="C42" s="10" t="s">
        <v>961</v>
      </c>
      <c r="D42" s="11" t="s">
        <v>962</v>
      </c>
    </row>
    <row r="43" spans="1:4" ht="204" hidden="1" x14ac:dyDescent="0.2">
      <c r="A43" s="26">
        <v>42</v>
      </c>
      <c r="B43" s="26" t="s">
        <v>1076</v>
      </c>
      <c r="C43" s="10" t="s">
        <v>964</v>
      </c>
      <c r="D43" s="11" t="s">
        <v>963</v>
      </c>
    </row>
    <row r="44" spans="1:4" ht="187" hidden="1" x14ac:dyDescent="0.2">
      <c r="A44" s="19">
        <v>43</v>
      </c>
      <c r="B44" s="19" t="s">
        <v>1102</v>
      </c>
      <c r="C44" s="3" t="s">
        <v>965</v>
      </c>
      <c r="D44" s="5" t="s">
        <v>966</v>
      </c>
    </row>
    <row r="45" spans="1:4" ht="119" hidden="1" x14ac:dyDescent="0.2">
      <c r="A45" s="26">
        <v>44</v>
      </c>
      <c r="B45" s="26" t="s">
        <v>1095</v>
      </c>
      <c r="C45" s="10" t="s">
        <v>967</v>
      </c>
      <c r="D45" s="27" t="s">
        <v>969</v>
      </c>
    </row>
    <row r="46" spans="1:4" ht="187" hidden="1" x14ac:dyDescent="0.2">
      <c r="A46" s="26">
        <v>45</v>
      </c>
      <c r="B46" s="26" t="s">
        <v>1095</v>
      </c>
      <c r="C46" s="10" t="s">
        <v>968</v>
      </c>
      <c r="D46" s="11" t="s">
        <v>970</v>
      </c>
    </row>
    <row r="47" spans="1:4" ht="68" hidden="1" x14ac:dyDescent="0.2">
      <c r="A47" s="19">
        <v>46</v>
      </c>
      <c r="B47" s="19" t="s">
        <v>1080</v>
      </c>
      <c r="C47" s="3" t="s">
        <v>971</v>
      </c>
      <c r="D47" s="25" t="s">
        <v>972</v>
      </c>
    </row>
    <row r="48" spans="1:4" ht="51" hidden="1" x14ac:dyDescent="0.2">
      <c r="A48" s="19">
        <v>47</v>
      </c>
      <c r="B48" s="19" t="s">
        <v>1077</v>
      </c>
      <c r="C48" s="3" t="s">
        <v>973</v>
      </c>
      <c r="D48" s="25" t="s">
        <v>974</v>
      </c>
    </row>
    <row r="49" spans="1:5" ht="153" hidden="1" x14ac:dyDescent="0.2">
      <c r="A49" s="19">
        <v>48</v>
      </c>
      <c r="B49" s="19" t="s">
        <v>1077</v>
      </c>
      <c r="C49" s="3" t="s">
        <v>975</v>
      </c>
      <c r="D49" s="5" t="s">
        <v>976</v>
      </c>
    </row>
    <row r="50" spans="1:5" ht="51" hidden="1" x14ac:dyDescent="0.2">
      <c r="A50" s="19">
        <v>49</v>
      </c>
      <c r="B50" s="19" t="s">
        <v>1077</v>
      </c>
      <c r="C50" s="3" t="s">
        <v>977</v>
      </c>
      <c r="D50" s="19" t="s">
        <v>978</v>
      </c>
    </row>
    <row r="51" spans="1:5" ht="204" hidden="1" x14ac:dyDescent="0.2">
      <c r="A51" s="26">
        <v>50</v>
      </c>
      <c r="B51" s="26" t="s">
        <v>1085</v>
      </c>
      <c r="C51" s="10" t="s">
        <v>979</v>
      </c>
      <c r="D51" s="11" t="s">
        <v>980</v>
      </c>
    </row>
    <row r="52" spans="1:5" ht="204" hidden="1" x14ac:dyDescent="0.2">
      <c r="A52" s="19">
        <v>51</v>
      </c>
      <c r="B52" s="19" t="s">
        <v>1072</v>
      </c>
      <c r="C52" s="3" t="s">
        <v>982</v>
      </c>
      <c r="D52" s="5" t="s">
        <v>981</v>
      </c>
    </row>
    <row r="53" spans="1:5" ht="136" hidden="1" x14ac:dyDescent="0.2">
      <c r="A53" s="26">
        <v>52</v>
      </c>
      <c r="B53" s="26" t="s">
        <v>1076</v>
      </c>
      <c r="C53" s="10" t="s">
        <v>983</v>
      </c>
      <c r="D53" s="11" t="s">
        <v>984</v>
      </c>
    </row>
    <row r="54" spans="1:5" ht="187" hidden="1" x14ac:dyDescent="0.2">
      <c r="A54" s="26">
        <v>53</v>
      </c>
      <c r="B54" s="26" t="s">
        <v>1086</v>
      </c>
      <c r="C54" s="10" t="s">
        <v>985</v>
      </c>
      <c r="D54" s="11" t="s">
        <v>547</v>
      </c>
    </row>
    <row r="55" spans="1:5" ht="85" hidden="1" x14ac:dyDescent="0.2">
      <c r="A55" s="26">
        <v>54</v>
      </c>
      <c r="B55" s="26" t="s">
        <v>1101</v>
      </c>
      <c r="C55" s="10" t="s">
        <v>986</v>
      </c>
      <c r="D55" s="27" t="s">
        <v>987</v>
      </c>
    </row>
    <row r="56" spans="1:5" ht="68" hidden="1" x14ac:dyDescent="0.2">
      <c r="A56" s="19">
        <v>55</v>
      </c>
      <c r="B56" s="19" t="s">
        <v>1101</v>
      </c>
      <c r="C56" s="3" t="s">
        <v>988</v>
      </c>
      <c r="D56" s="19" t="s">
        <v>989</v>
      </c>
    </row>
    <row r="57" spans="1:5" ht="204" hidden="1" x14ac:dyDescent="0.2">
      <c r="A57" s="19">
        <v>56</v>
      </c>
      <c r="B57" s="19" t="s">
        <v>1081</v>
      </c>
      <c r="C57" s="3" t="s">
        <v>991</v>
      </c>
      <c r="D57" s="5" t="s">
        <v>990</v>
      </c>
      <c r="E57" s="5" t="s">
        <v>992</v>
      </c>
    </row>
    <row r="58" spans="1:5" ht="170" x14ac:dyDescent="0.2">
      <c r="A58" s="26">
        <v>57</v>
      </c>
      <c r="B58" s="26" t="s">
        <v>1087</v>
      </c>
      <c r="C58" s="10" t="s">
        <v>993</v>
      </c>
      <c r="D58" s="11" t="s">
        <v>994</v>
      </c>
    </row>
    <row r="59" spans="1:5" ht="170" hidden="1" x14ac:dyDescent="0.2">
      <c r="A59" s="19">
        <v>58</v>
      </c>
      <c r="B59" s="19" t="s">
        <v>1077</v>
      </c>
      <c r="C59" s="3" t="s">
        <v>995</v>
      </c>
      <c r="D59" s="5" t="s">
        <v>996</v>
      </c>
    </row>
    <row r="60" spans="1:5" ht="187" hidden="1" x14ac:dyDescent="0.2">
      <c r="A60" s="26">
        <v>59</v>
      </c>
      <c r="B60" s="26" t="s">
        <v>1085</v>
      </c>
      <c r="C60" s="10" t="s">
        <v>997</v>
      </c>
      <c r="D60" s="11" t="s">
        <v>916</v>
      </c>
    </row>
    <row r="61" spans="1:5" ht="187" hidden="1" x14ac:dyDescent="0.2">
      <c r="A61" s="26">
        <v>60</v>
      </c>
      <c r="B61" s="26" t="s">
        <v>1086</v>
      </c>
      <c r="C61" s="10" t="s">
        <v>998</v>
      </c>
      <c r="D61" s="11" t="s">
        <v>1000</v>
      </c>
    </row>
    <row r="62" spans="1:5" ht="102" hidden="1" x14ac:dyDescent="0.2">
      <c r="A62" s="26">
        <v>61</v>
      </c>
      <c r="B62" s="26" t="s">
        <v>1076</v>
      </c>
      <c r="C62" s="10" t="s">
        <v>999</v>
      </c>
      <c r="D62" s="11" t="s">
        <v>1001</v>
      </c>
    </row>
    <row r="63" spans="1:5" ht="187" hidden="1" x14ac:dyDescent="0.2">
      <c r="A63" s="19">
        <v>62</v>
      </c>
      <c r="B63" s="19" t="s">
        <v>1074</v>
      </c>
      <c r="C63" s="3" t="s">
        <v>1002</v>
      </c>
      <c r="D63" s="5" t="s">
        <v>1003</v>
      </c>
    </row>
    <row r="64" spans="1:5" ht="51" hidden="1" x14ac:dyDescent="0.2">
      <c r="A64" s="19">
        <v>63</v>
      </c>
      <c r="B64" s="19" t="s">
        <v>1086</v>
      </c>
      <c r="C64" s="3" t="s">
        <v>1004</v>
      </c>
      <c r="D64" s="25" t="s">
        <v>1005</v>
      </c>
    </row>
    <row r="65" spans="1:4" ht="170" hidden="1" x14ac:dyDescent="0.2">
      <c r="A65" s="19">
        <v>64</v>
      </c>
      <c r="B65" s="19" t="s">
        <v>1081</v>
      </c>
      <c r="C65" s="3" t="s">
        <v>1006</v>
      </c>
      <c r="D65" s="5" t="s">
        <v>1007</v>
      </c>
    </row>
    <row r="66" spans="1:4" ht="68" hidden="1" x14ac:dyDescent="0.2">
      <c r="A66" s="19">
        <v>65</v>
      </c>
      <c r="B66" s="19" t="s">
        <v>1088</v>
      </c>
      <c r="C66" s="3" t="s">
        <v>1008</v>
      </c>
      <c r="D66" s="19" t="s">
        <v>1009</v>
      </c>
    </row>
    <row r="67" spans="1:4" ht="170" x14ac:dyDescent="0.2">
      <c r="A67" s="26">
        <v>66</v>
      </c>
      <c r="B67" s="26" t="s">
        <v>1087</v>
      </c>
      <c r="C67" s="10" t="s">
        <v>1010</v>
      </c>
      <c r="D67" s="11" t="s">
        <v>1011</v>
      </c>
    </row>
    <row r="68" spans="1:4" ht="102" hidden="1" x14ac:dyDescent="0.2">
      <c r="A68" s="19">
        <v>67</v>
      </c>
      <c r="B68" s="19" t="s">
        <v>1077</v>
      </c>
      <c r="C68" s="3" t="s">
        <v>1012</v>
      </c>
      <c r="D68" s="19" t="s">
        <v>1013</v>
      </c>
    </row>
    <row r="69" spans="1:4" ht="187" hidden="1" x14ac:dyDescent="0.2">
      <c r="A69" s="26">
        <v>68</v>
      </c>
      <c r="B69" s="26" t="s">
        <v>1069</v>
      </c>
      <c r="C69" s="10" t="s">
        <v>1014</v>
      </c>
      <c r="D69" s="11" t="s">
        <v>1015</v>
      </c>
    </row>
    <row r="70" spans="1:4" ht="187" hidden="1" x14ac:dyDescent="0.2">
      <c r="A70" s="26">
        <v>69</v>
      </c>
      <c r="B70" s="26" t="s">
        <v>1069</v>
      </c>
      <c r="C70" s="10" t="s">
        <v>1016</v>
      </c>
      <c r="D70" s="11" t="s">
        <v>1017</v>
      </c>
    </row>
    <row r="71" spans="1:4" ht="85" hidden="1" x14ac:dyDescent="0.2">
      <c r="A71" s="19">
        <v>70</v>
      </c>
      <c r="B71" s="19" t="s">
        <v>1073</v>
      </c>
      <c r="C71" s="3" t="s">
        <v>1018</v>
      </c>
      <c r="D71" s="19" t="s">
        <v>1019</v>
      </c>
    </row>
    <row r="72" spans="1:4" ht="187" hidden="1" x14ac:dyDescent="0.2">
      <c r="A72" s="19">
        <v>71</v>
      </c>
      <c r="B72" s="19" t="s">
        <v>1072</v>
      </c>
      <c r="C72" s="3" t="s">
        <v>1020</v>
      </c>
      <c r="D72" s="5" t="s">
        <v>1021</v>
      </c>
    </row>
    <row r="73" spans="1:4" ht="170" hidden="1" x14ac:dyDescent="0.2">
      <c r="A73" s="19">
        <v>72</v>
      </c>
      <c r="B73" s="19" t="s">
        <v>1072</v>
      </c>
      <c r="C73" s="3" t="s">
        <v>1022</v>
      </c>
      <c r="D73" s="5" t="s">
        <v>1023</v>
      </c>
    </row>
    <row r="74" spans="1:4" ht="170" hidden="1" x14ac:dyDescent="0.2">
      <c r="A74" s="19">
        <v>73</v>
      </c>
      <c r="B74" s="19" t="s">
        <v>1081</v>
      </c>
      <c r="C74" s="3" t="s">
        <v>1024</v>
      </c>
      <c r="D74" s="5" t="s">
        <v>1025</v>
      </c>
    </row>
    <row r="75" spans="1:4" ht="187" hidden="1" x14ac:dyDescent="0.2">
      <c r="A75" s="26">
        <v>74</v>
      </c>
      <c r="B75" s="26" t="s">
        <v>1085</v>
      </c>
      <c r="C75" s="10" t="s">
        <v>1026</v>
      </c>
      <c r="D75" s="11" t="s">
        <v>1027</v>
      </c>
    </row>
    <row r="76" spans="1:4" ht="153" hidden="1" x14ac:dyDescent="0.2">
      <c r="A76" s="26">
        <v>75</v>
      </c>
      <c r="B76" s="26" t="s">
        <v>1095</v>
      </c>
      <c r="C76" s="10" t="s">
        <v>1028</v>
      </c>
      <c r="D76" s="11" t="s">
        <v>1029</v>
      </c>
    </row>
    <row r="77" spans="1:4" ht="204" hidden="1" x14ac:dyDescent="0.2">
      <c r="A77" s="19">
        <v>76</v>
      </c>
      <c r="B77" s="19" t="s">
        <v>1101</v>
      </c>
      <c r="C77" s="3" t="s">
        <v>1030</v>
      </c>
      <c r="D77" s="5" t="s">
        <v>1031</v>
      </c>
    </row>
    <row r="78" spans="1:4" ht="187" x14ac:dyDescent="0.2">
      <c r="A78" s="26">
        <v>77</v>
      </c>
      <c r="B78" s="26" t="s">
        <v>1087</v>
      </c>
      <c r="C78" s="10" t="s">
        <v>1032</v>
      </c>
      <c r="D78" s="11" t="s">
        <v>1033</v>
      </c>
    </row>
    <row r="79" spans="1:4" ht="204" hidden="1" x14ac:dyDescent="0.2">
      <c r="A79" s="19">
        <v>78</v>
      </c>
      <c r="B79" s="19" t="s">
        <v>1081</v>
      </c>
      <c r="C79" s="3" t="s">
        <v>1034</v>
      </c>
      <c r="D79" s="5" t="s">
        <v>819</v>
      </c>
    </row>
    <row r="80" spans="1:4" ht="51" hidden="1" x14ac:dyDescent="0.2">
      <c r="A80" s="26">
        <v>79</v>
      </c>
      <c r="B80" s="26" t="s">
        <v>1085</v>
      </c>
      <c r="C80" s="10" t="s">
        <v>1035</v>
      </c>
      <c r="D80" s="26" t="s">
        <v>1036</v>
      </c>
    </row>
    <row r="81" spans="1:5" ht="187" hidden="1" x14ac:dyDescent="0.2">
      <c r="A81" s="26">
        <v>80</v>
      </c>
      <c r="B81" s="26" t="s">
        <v>1086</v>
      </c>
      <c r="C81" s="10" t="s">
        <v>1037</v>
      </c>
      <c r="D81" s="11" t="s">
        <v>836</v>
      </c>
    </row>
    <row r="82" spans="1:5" ht="170" hidden="1" x14ac:dyDescent="0.2">
      <c r="A82" s="26">
        <v>81</v>
      </c>
      <c r="B82" s="26" t="s">
        <v>1100</v>
      </c>
      <c r="C82" s="10" t="s">
        <v>1038</v>
      </c>
      <c r="D82" s="11" t="s">
        <v>1039</v>
      </c>
      <c r="E82" s="5"/>
    </row>
    <row r="83" spans="1:5" ht="85" hidden="1" x14ac:dyDescent="0.2">
      <c r="A83" s="26">
        <v>82</v>
      </c>
      <c r="B83" s="26" t="s">
        <v>1079</v>
      </c>
      <c r="C83" s="10" t="s">
        <v>1040</v>
      </c>
      <c r="D83" s="11" t="s">
        <v>1041</v>
      </c>
    </row>
    <row r="84" spans="1:5" ht="204" x14ac:dyDescent="0.2">
      <c r="A84" s="19">
        <v>83</v>
      </c>
      <c r="B84" s="19" t="s">
        <v>1087</v>
      </c>
      <c r="C84" s="3" t="s">
        <v>1042</v>
      </c>
      <c r="D84" s="5" t="s">
        <v>1043</v>
      </c>
    </row>
    <row r="85" spans="1:5" ht="204" hidden="1" x14ac:dyDescent="0.2">
      <c r="A85" s="26">
        <v>84</v>
      </c>
      <c r="B85" s="26" t="s">
        <v>1086</v>
      </c>
      <c r="C85" s="10" t="s">
        <v>1044</v>
      </c>
      <c r="D85" s="11" t="s">
        <v>867</v>
      </c>
    </row>
    <row r="86" spans="1:5" ht="187" hidden="1" x14ac:dyDescent="0.2">
      <c r="A86" s="26"/>
      <c r="B86" s="26" t="s">
        <v>1095</v>
      </c>
      <c r="C86" s="10" t="s">
        <v>1090</v>
      </c>
      <c r="D86" s="11" t="s">
        <v>1089</v>
      </c>
    </row>
    <row r="87" spans="1:5" ht="17" hidden="1" x14ac:dyDescent="0.2">
      <c r="A87" s="26"/>
      <c r="B87" s="26" t="s">
        <v>1095</v>
      </c>
      <c r="C87" s="10" t="s">
        <v>1091</v>
      </c>
      <c r="D87" s="26" t="s">
        <v>1092</v>
      </c>
    </row>
    <row r="88" spans="1:5" ht="187" hidden="1" x14ac:dyDescent="0.2">
      <c r="A88" s="26"/>
      <c r="B88" s="26" t="s">
        <v>1095</v>
      </c>
      <c r="C88" s="10" t="s">
        <v>1093</v>
      </c>
      <c r="D88" s="11" t="s">
        <v>894</v>
      </c>
    </row>
    <row r="89" spans="1:5" ht="17" hidden="1" x14ac:dyDescent="0.2">
      <c r="A89" s="26"/>
      <c r="B89" s="26" t="s">
        <v>1095</v>
      </c>
      <c r="C89" s="10" t="s">
        <v>1096</v>
      </c>
      <c r="D89" s="26" t="s">
        <v>1092</v>
      </c>
    </row>
    <row r="90" spans="1:5" ht="170" hidden="1" x14ac:dyDescent="0.2">
      <c r="A90" s="26"/>
      <c r="B90" s="26" t="s">
        <v>1102</v>
      </c>
      <c r="C90" s="10" t="s">
        <v>1097</v>
      </c>
      <c r="D90" s="11" t="s">
        <v>1007</v>
      </c>
    </row>
    <row r="91" spans="1:5" ht="119" hidden="1" x14ac:dyDescent="0.2">
      <c r="A91" s="26"/>
      <c r="B91" s="26" t="s">
        <v>1102</v>
      </c>
      <c r="C91" s="10" t="s">
        <v>1114</v>
      </c>
      <c r="D91" s="28" t="s">
        <v>1115</v>
      </c>
    </row>
    <row r="92" spans="1:5" ht="68" hidden="1" x14ac:dyDescent="0.2">
      <c r="A92" s="26"/>
      <c r="B92" s="26" t="s">
        <v>1102</v>
      </c>
      <c r="C92" s="10" t="s">
        <v>1006</v>
      </c>
      <c r="D92" s="26" t="s">
        <v>1013</v>
      </c>
    </row>
    <row r="93" spans="1:5" ht="136" hidden="1" x14ac:dyDescent="0.2">
      <c r="A93" s="26"/>
      <c r="B93" s="26" t="s">
        <v>1102</v>
      </c>
      <c r="C93" s="10" t="s">
        <v>1116</v>
      </c>
      <c r="D93" s="11" t="s">
        <v>1126</v>
      </c>
    </row>
    <row r="94" spans="1:5" ht="68" hidden="1" x14ac:dyDescent="0.2">
      <c r="A94" s="26"/>
      <c r="B94" s="26" t="s">
        <v>1128</v>
      </c>
      <c r="C94" s="10" t="s">
        <v>1127</v>
      </c>
      <c r="D94" s="26" t="s">
        <v>1129</v>
      </c>
    </row>
  </sheetData>
  <autoFilter ref="A1:F94" xr:uid="{6B577A22-8C2B-524F-B47F-602AA14B228E}">
    <filterColumn colId="1">
      <filters>
        <filter val="Formulation approaches - MPC -"/>
      </filters>
    </filterColumn>
  </autoFilter>
  <hyperlinks>
    <hyperlink ref="D45" r:id="rId1" xr:uid="{545E475B-D7B6-B743-9D57-13EDF31B1D2E}"/>
    <hyperlink ref="D47" r:id="rId2" xr:uid="{1CB00EC8-3381-8D4C-B961-AA14DB46EA0E}"/>
    <hyperlink ref="D48" r:id="rId3" xr:uid="{D4EFACD3-56A7-AF44-B553-0AB0E224BF2C}"/>
    <hyperlink ref="D55" r:id="rId4" xr:uid="{06C88A28-B2E2-524B-BCC3-3A0D5115EDAC}"/>
    <hyperlink ref="D64" r:id="rId5" xr:uid="{A6B6C521-2D04-A243-86A0-D57B9D66C577}"/>
    <hyperlink ref="D91" r:id="rId6" xr:uid="{862BB7C2-658B-0D4D-A5A5-E665C3D87B55}"/>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BDEF7D26-819D-1A4F-AD50-2570B1D339AF}">
          <x14:formula1>
            <xm:f>Paper_Structure!$E$2:$E$45</xm:f>
          </x14:formula1>
          <xm:sqref>B2:B94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ReadingList</vt:lpstr>
      <vt:lpstr>Dashboard</vt:lpstr>
      <vt:lpstr>Deletion</vt:lpstr>
      <vt:lpstr>Draft</vt:lpstr>
      <vt:lpstr>Single_Station</vt:lpstr>
      <vt:lpstr>Multi_Station</vt:lpstr>
      <vt:lpstr>Power_Grid</vt:lpstr>
      <vt:lpstr>Dictionary</vt:lpstr>
      <vt:lpstr>Comments</vt:lpstr>
      <vt:lpstr>Paper_Structure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Rojo González</dc:creator>
  <cp:lastModifiedBy>Luis Rojo González</cp:lastModifiedBy>
  <dcterms:created xsi:type="dcterms:W3CDTF">2022-05-19T16:42:42Z</dcterms:created>
  <dcterms:modified xsi:type="dcterms:W3CDTF">2022-12-21T21:19:05Z</dcterms:modified>
</cp:coreProperties>
</file>