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https://usachcl-my.sharepoint.com/personal/luis_rojo_g_usach_cl/Documents/PhD/Literature_Review/Coordinated-Charging-Literature-Review/"/>
    </mc:Choice>
  </mc:AlternateContent>
  <xr:revisionPtr revIDLastSave="3851" documentId="8_{11581BE0-299A-8F49-932A-90BA12D1B0CB}" xr6:coauthVersionLast="47" xr6:coauthVersionMax="47" xr10:uidLastSave="{4FFC7CB0-807A-5344-B3E5-2C55717E35E1}"/>
  <bookViews>
    <workbookView xWindow="0" yWindow="760" windowWidth="30240" windowHeight="17600" xr2:uid="{00000000-000D-0000-FFFF-FFFF00000000}"/>
  </bookViews>
  <sheets>
    <sheet name="ReadingList" sheetId="11" r:id="rId1"/>
    <sheet name="Dashboard" sheetId="7" r:id="rId2"/>
    <sheet name="WorkFlow" sheetId="12" r:id="rId3"/>
    <sheet name="Draft" sheetId="2" r:id="rId4"/>
    <sheet name="Single_Facility" sheetId="8" r:id="rId5"/>
    <sheet name="Multi_Facility" sheetId="9" r:id="rId6"/>
    <sheet name="Distribution_Network" sheetId="10" r:id="rId7"/>
    <sheet name="Dictionary" sheetId="3" r:id="rId8"/>
  </sheets>
  <definedNames>
    <definedName name="_xlnm._FilterDatabase" localSheetId="7" hidden="1">Dictionary!$A$1:$F$60</definedName>
    <definedName name="_xlnm._FilterDatabase" localSheetId="0" hidden="1">ReadingList!$A$1:$N$138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1" i="11" l="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N7" i="7"/>
  <c r="N6" i="7"/>
  <c r="N5" i="7"/>
  <c r="N4" i="7"/>
  <c r="N3" i="7"/>
  <c r="L7" i="7"/>
  <c r="L6" i="7"/>
  <c r="L5" i="7"/>
  <c r="L4" i="7"/>
  <c r="L3" i="7"/>
  <c r="M7" i="7"/>
  <c r="M6" i="7"/>
  <c r="M5" i="7"/>
  <c r="M4" i="7"/>
  <c r="M3" i="7"/>
  <c r="F3" i="7"/>
  <c r="J12" i="12" l="1"/>
  <c r="J14" i="12"/>
  <c r="K14" i="12"/>
  <c r="K13" i="12"/>
  <c r="K12" i="12"/>
  <c r="J13" i="12"/>
  <c r="I14" i="12"/>
  <c r="I13" i="12"/>
  <c r="I12" i="12"/>
  <c r="H14" i="12"/>
  <c r="H13" i="12"/>
  <c r="H12" i="12"/>
  <c r="K11" i="12" l="1"/>
  <c r="J11" i="12"/>
  <c r="I11" i="12"/>
  <c r="H11" i="12"/>
  <c r="A3" i="11" l="1"/>
  <c r="C6" i="7"/>
  <c r="D9" i="7"/>
  <c r="E9" i="7"/>
  <c r="D3" i="7"/>
  <c r="E3" i="7"/>
  <c r="C3" i="7"/>
  <c r="B10" i="7"/>
  <c r="B11" i="7" s="1"/>
  <c r="F2" i="2" l="1"/>
  <c r="H2" i="2"/>
  <c r="E2" i="2"/>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B12" i="7"/>
  <c r="E12" i="7" s="1"/>
  <c r="D11" i="7"/>
  <c r="D10" i="7"/>
  <c r="E10" i="7"/>
  <c r="E11" i="7"/>
  <c r="B2" i="2"/>
  <c r="G9" i="7"/>
  <c r="C9" i="7"/>
  <c r="I3" i="7"/>
  <c r="H3" i="7"/>
  <c r="G3" i="7"/>
  <c r="D2" i="2" l="1"/>
  <c r="G2" i="2"/>
  <c r="I2" i="2"/>
  <c r="B13" i="7"/>
  <c r="D12" i="7"/>
  <c r="C10" i="7"/>
  <c r="B14" i="7" l="1"/>
  <c r="D13" i="7"/>
  <c r="E13" i="7"/>
  <c r="G10" i="7"/>
  <c r="C11" i="7"/>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B15" i="7" l="1"/>
  <c r="E14" i="7"/>
  <c r="D14" i="7"/>
  <c r="G11" i="7"/>
  <c r="C12" i="7"/>
  <c r="B16" i="7" l="1"/>
  <c r="D15" i="7"/>
  <c r="E15" i="7"/>
  <c r="G12" i="7"/>
  <c r="C13" i="7"/>
  <c r="B17" i="7" l="1"/>
  <c r="E16" i="7"/>
  <c r="D16" i="7"/>
  <c r="G13" i="7"/>
  <c r="C14" i="7"/>
  <c r="B18" i="7" l="1"/>
  <c r="D17" i="7"/>
  <c r="E17" i="7"/>
  <c r="G14" i="7"/>
  <c r="C15" i="7"/>
  <c r="B19" i="7" l="1"/>
  <c r="D18" i="7"/>
  <c r="E18" i="7"/>
  <c r="G15" i="7"/>
  <c r="C16" i="7"/>
  <c r="B20" i="7" l="1"/>
  <c r="D19" i="7"/>
  <c r="E19" i="7"/>
  <c r="G16" i="7"/>
  <c r="C17" i="7"/>
  <c r="B21" i="7" l="1"/>
  <c r="E20" i="7"/>
  <c r="D20" i="7"/>
  <c r="G17" i="7"/>
  <c r="C18" i="7"/>
  <c r="B22" i="7" l="1"/>
  <c r="E21" i="7"/>
  <c r="D21" i="7"/>
  <c r="G18" i="7"/>
  <c r="C19" i="7"/>
  <c r="B23" i="7" l="1"/>
  <c r="D22" i="7"/>
  <c r="E22" i="7"/>
  <c r="G19" i="7"/>
  <c r="C20" i="7"/>
  <c r="B24" i="7" l="1"/>
  <c r="E23" i="7"/>
  <c r="D23" i="7"/>
  <c r="G20" i="7"/>
  <c r="C21" i="7"/>
  <c r="B25" i="7" l="1"/>
  <c r="E24" i="7"/>
  <c r="D24" i="7"/>
  <c r="G21" i="7"/>
  <c r="C22" i="7"/>
  <c r="B26" i="7" l="1"/>
  <c r="D25" i="7"/>
  <c r="E25" i="7"/>
  <c r="G22" i="7"/>
  <c r="C23" i="7"/>
  <c r="B27" i="7" l="1"/>
  <c r="D26" i="7"/>
  <c r="E26" i="7"/>
  <c r="G23" i="7"/>
  <c r="C24" i="7"/>
  <c r="B28" i="7" l="1"/>
  <c r="E27" i="7"/>
  <c r="D27" i="7"/>
  <c r="G24" i="7"/>
  <c r="C25" i="7"/>
  <c r="B29" i="7" l="1"/>
  <c r="D28" i="7"/>
  <c r="E28" i="7"/>
  <c r="G25" i="7"/>
  <c r="C26" i="7"/>
  <c r="B30" i="7" l="1"/>
  <c r="E29" i="7"/>
  <c r="D29" i="7"/>
  <c r="G26" i="7"/>
  <c r="C27" i="7"/>
  <c r="B31" i="7" l="1"/>
  <c r="E30" i="7"/>
  <c r="D30" i="7"/>
  <c r="G27" i="7"/>
  <c r="C28" i="7"/>
  <c r="B32" i="7" l="1"/>
  <c r="E31" i="7"/>
  <c r="D31" i="7"/>
  <c r="G28" i="7"/>
  <c r="C29" i="7"/>
  <c r="B33" i="7" l="1"/>
  <c r="D32" i="7"/>
  <c r="E32" i="7"/>
  <c r="G29" i="7"/>
  <c r="C30" i="7"/>
  <c r="E33" i="7" l="1"/>
  <c r="D33" i="7"/>
  <c r="G30" i="7"/>
  <c r="C31" i="7"/>
  <c r="G31" i="7" l="1"/>
  <c r="C32" i="7"/>
  <c r="G32" i="7" l="1"/>
  <c r="C33" i="7"/>
  <c r="G33" i="7" l="1"/>
  <c r="B6" i="7"/>
  <c r="F18" i="7"/>
  <c r="F11" i="7"/>
  <c r="F33" i="7"/>
  <c r="F14" i="7"/>
  <c r="F20" i="7"/>
  <c r="F24" i="7"/>
  <c r="F22" i="7" l="1"/>
  <c r="B15" i="12"/>
  <c r="F13" i="7"/>
  <c r="F16" i="7"/>
  <c r="F15" i="7"/>
  <c r="F31" i="7"/>
  <c r="F12" i="7"/>
  <c r="F21" i="7"/>
  <c r="F29" i="7"/>
  <c r="F9" i="7"/>
  <c r="F28" i="7"/>
  <c r="F10" i="7"/>
  <c r="F30" i="7"/>
  <c r="F27" i="7"/>
  <c r="F32" i="7"/>
  <c r="F6" i="7"/>
  <c r="I6" i="7" s="1"/>
  <c r="F26" i="7"/>
  <c r="F19" i="7"/>
  <c r="F23" i="7"/>
  <c r="F17" i="7"/>
  <c r="F25" i="7"/>
  <c r="H27" i="7" l="1"/>
  <c r="H31" i="7"/>
  <c r="H28" i="7"/>
  <c r="H22" i="7"/>
  <c r="H17" i="7"/>
  <c r="H15" i="7"/>
  <c r="E6" i="7"/>
  <c r="G6" i="7" s="1"/>
  <c r="H21" i="7"/>
  <c r="H11" i="7"/>
  <c r="H18" i="7"/>
  <c r="H30" i="7"/>
  <c r="H12" i="7"/>
  <c r="H20" i="7"/>
  <c r="H23" i="7"/>
  <c r="H19" i="7"/>
  <c r="H14" i="7"/>
  <c r="H10" i="7"/>
  <c r="H24" i="7"/>
  <c r="H33" i="7"/>
  <c r="H32" i="7"/>
  <c r="D6" i="7"/>
  <c r="H25" i="7"/>
  <c r="H26" i="7"/>
  <c r="H16" i="7"/>
  <c r="H29" i="7"/>
  <c r="H1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tc={5C9B66DC-A084-EA40-9D0D-F12CD7BC3F18}</author>
  </authors>
  <commentList>
    <comment ref="C1" authorId="0" shapeId="0" xr:uid="{5C9B66DC-A084-EA40-9D0D-F12CD7BC3F18}">
      <text>
        <t>[Threaded comment]
Your version of Excel allows you to read this threaded comment; however, any edits to it will get removed if the file is opened in a newer version of Excel. Learn more: https://go.microsoft.com/fwlink/?linkid=870924
Comment:
    Bi-level or Tri-level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tc={FE7DA266-AB3A-8349-B93F-9EFB1295B463}</author>
    <author>tc={2A71CAF8-43A4-2C44-A6CD-1A2B2211FA7C}</author>
    <author>tc={6F48C977-2914-AF4A-810B-15CD5B4B420A}</author>
    <author>tc={C99DF3AF-B081-4442-9645-5C097978A752}</author>
    <author>tc={916B3C1C-4214-4442-819B-7E36A3CC4811}</author>
    <author>tc={4B5B5414-9736-B24E-9CA1-17CF3F383AF4}</author>
    <author>tc={E78FA254-9617-3A44-B9F1-F51E95A99119}</author>
    <author>tc={8D018A93-79B3-5C4E-BFD4-BDAAFECD31C6}</author>
    <author>tc={EAA2FECB-250D-EF47-A4F4-0CC84FA2FFCA}</author>
    <author>tc={E7431414-F00F-FE40-B809-AFE49C3E07F1}</author>
    <author>tc={4225326F-0146-2A4C-85D6-8D74584CC1AF}</author>
    <author>tc={8EDE8A1C-B627-DC47-A65E-EB7CFCFFD25F}</author>
    <author>tc={FA3C56C8-4F2C-3541-A7D2-33962BEB4B76}</author>
    <author>tc={BB5CA701-04EE-8C46-8CC7-316610DF4A95}</author>
    <author>tc={E384A8E7-8603-634D-A01F-927D4A609E53}</author>
    <author>tc={4B06012C-67C7-2D4A-AD78-5562589D1783}</author>
  </authors>
  <commentList>
    <comment ref="K1" authorId="0" shapeId="0" xr:uid="{FE7DA266-AB3A-8349-B93F-9EFB1295B463}">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2A71CAF8-43A4-2C44-A6CD-1A2B2211FA7C}">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6F48C977-2914-AF4A-810B-15CD5B4B420A}">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C99DF3AF-B081-4442-9645-5C097978A752}">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916B3C1C-4214-4442-819B-7E36A3CC4811}">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4B5B5414-9736-B24E-9CA1-17CF3F383AF4}">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E78FA254-9617-3A44-B9F1-F51E95A99119}">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8D018A93-79B3-5C4E-BFD4-BDAAFECD31C6}">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EAA2FECB-250D-EF47-A4F4-0CC84FA2FFCA}">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E7431414-F00F-FE40-B809-AFE49C3E07F1}">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4225326F-0146-2A4C-85D6-8D74584CC1AF}">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8EDE8A1C-B627-DC47-A65E-EB7CFCFFD25F}">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FA3C56C8-4F2C-3541-A7D2-33962BEB4B76}">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BB5CA701-04EE-8C46-8CC7-316610DF4A95}">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E384A8E7-8603-634D-A01F-927D4A609E53}">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4B06012C-67C7-2D4A-AD78-5562589D1783}">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tc={84186AF0-2AC4-2E4F-B7C6-A2E8E72C6D71}</author>
    <author>tc={454CBBDA-180A-E442-A561-BF0E7B32D169}</author>
    <author>tc={69235D67-C89C-5D44-ACBC-DF9F1C25B8F3}</author>
    <author>tc={172307A8-2091-E24B-8B67-F72BFC070594}</author>
    <author>tc={03CA9BFA-FBDC-1A4B-8275-83434A437FA0}</author>
    <author>tc={FCBBFAF9-BCC3-EC49-87C0-03D07CFC80BD}</author>
    <author>tc={6516372B-E32F-8A40-86A9-14A3DD0B1648}</author>
    <author>tc={76D821DD-38FD-5F4A-ADE7-1B65ED5B58E7}</author>
    <author>tc={02FC83B9-1B8C-5F41-A5AF-1548CE35FA8C}</author>
    <author>tc={25FDDE67-95BE-4C4E-9754-D2C0FCFDC344}</author>
    <author>tc={DE22572C-B00B-A744-A8D5-4AE25CE1D1A7}</author>
    <author>tc={F515E987-2653-A54C-AA8A-F26552D3E3B9}</author>
    <author>tc={3D35DA33-9FC7-0946-BF6C-A7E867B7D6DB}</author>
    <author>tc={3AC4122C-DE23-274F-A1E2-774DB4037B44}</author>
    <author>tc={88D8A2A8-9010-BA4B-A4C2-23B45037BE3B}</author>
    <author>tc={9F4FC70B-381E-2445-8BE6-E86E6FD6E97E}</author>
  </authors>
  <commentList>
    <comment ref="K1" authorId="0" shapeId="0" xr:uid="{84186AF0-2AC4-2E4F-B7C6-A2E8E72C6D71}">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454CBBDA-180A-E442-A561-BF0E7B32D169}">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69235D67-C89C-5D44-ACBC-DF9F1C25B8F3}">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172307A8-2091-E24B-8B67-F72BFC070594}">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03CA9BFA-FBDC-1A4B-8275-83434A437FA0}">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FCBBFAF9-BCC3-EC49-87C0-03D07CFC80BD}">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6516372B-E32F-8A40-86A9-14A3DD0B1648}">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76D821DD-38FD-5F4A-ADE7-1B65ED5B58E7}">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02FC83B9-1B8C-5F41-A5AF-1548CE35FA8C}">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25FDDE67-95BE-4C4E-9754-D2C0FCFDC344}">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DE22572C-B00B-A744-A8D5-4AE25CE1D1A7}">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F515E987-2653-A54C-AA8A-F26552D3E3B9}">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3D35DA33-9FC7-0946-BF6C-A7E867B7D6DB}">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3AC4122C-DE23-274F-A1E2-774DB4037B44}">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88D8A2A8-9010-BA4B-A4C2-23B45037BE3B}">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9F4FC70B-381E-2445-8BE6-E86E6FD6E97E}">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tc={E8376D4E-B0E5-AE4A-A21C-8984F994671B}</author>
    <author>tc={DA9F2890-84F3-314E-AE90-C927B7781A02}</author>
    <author>tc={0872E4F6-C66D-D34B-AA27-7AD4C6ED4348}</author>
    <author>tc={8173354D-7929-6A40-9851-4F21AEEFF2D0}</author>
    <author>tc={7E95135D-F8EB-6344-BFB3-BE7653A9D232}</author>
    <author>tc={2F529146-E08D-BC45-B4CB-40AA28259BA5}</author>
    <author>tc={18E6514D-D499-9240-95A9-B46585154A74}</author>
    <author>tc={8E60E95C-7125-0045-84E3-6D90E649E58F}</author>
    <author>tc={7455E39F-4B31-E647-9091-EECE8362A344}</author>
    <author>tc={323F6741-F84D-D44E-9600-D7409DD00CBE}</author>
    <author>tc={E5AEC698-668E-E84A-82D2-69719EBE527C}</author>
    <author>tc={264D743B-BBB6-1348-A2A2-52AAA08B43BA}</author>
    <author>tc={DE0D6D61-AC01-0D4D-A0C0-97C9097B6382}</author>
    <author>tc={AC56668E-C1ED-3B49-9E4B-F337DC6033A6}</author>
    <author>tc={4CF83453-782F-DB4A-B648-7BD36F6FBED8}</author>
    <author>tc={0477CEEF-C007-584B-9237-E1FF7EE34E55}</author>
  </authors>
  <commentList>
    <comment ref="K1" authorId="0" shapeId="0" xr:uid="{E8376D4E-B0E5-AE4A-A21C-8984F994671B}">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DA9F2890-84F3-314E-AE90-C927B7781A02}">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0872E4F6-C66D-D34B-AA27-7AD4C6ED4348}">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8173354D-7929-6A40-9851-4F21AEEFF2D0}">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7E95135D-F8EB-6344-BFB3-BE7653A9D232}">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2F529146-E08D-BC45-B4CB-40AA28259BA5}">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18E6514D-D499-9240-95A9-B46585154A74}">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8E60E95C-7125-0045-84E3-6D90E649E58F}">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7455E39F-4B31-E647-9091-EECE8362A344}">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323F6741-F84D-D44E-9600-D7409DD00CBE}">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E5AEC698-668E-E84A-82D2-69719EBE527C}">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264D743B-BBB6-1348-A2A2-52AAA08B43BA}">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DE0D6D61-AC01-0D4D-A0C0-97C9097B6382}">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AC56668E-C1ED-3B49-9E4B-F337DC6033A6}">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4CF83453-782F-DB4A-B648-7BD36F6FBED8}">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0477CEEF-C007-584B-9237-E1FF7EE34E55}">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tc={2FA04038-811E-174E-87EA-8BAE7BE14073}</author>
    <author>tc={8FB575E1-B383-1245-B618-5664B51FC2C1}</author>
    <author>tc={4FAFD6FA-B050-6046-B9CB-18D1BF0457D9}</author>
    <author>tc={3A73B33F-68FC-C449-AF01-DE7D6C6F8CC4}</author>
    <author>tc={F90D5230-8740-FD45-94E1-AFB8DD263516}</author>
    <author>tc={6015DFF4-E078-E34F-BD20-6AE32E2E5AAC}</author>
    <author>tc={47495CB6-FEA1-754A-B43D-778431FD8E36}</author>
    <author>tc={1A2B0595-74B3-7047-8A6B-BD8A6DA6B213}</author>
    <author>tc={1DB1114C-0663-6047-9E35-6046FA9036DE}</author>
    <author>tc={7ED4C9A9-B597-B048-84D1-D426F2A5A72F}</author>
    <author>tc={453CF51A-94F9-264C-B621-FBA688D973D6}</author>
    <author>tc={DE9DCCC8-38CA-984B-BB4C-442816BF40D4}</author>
    <author>tc={24ED855D-8092-B04C-9C17-5A95F13FFAB6}</author>
    <author>tc={A2932C5C-7CB3-F34F-84B7-6F844216F6F7}</author>
    <author>tc={4081080E-B0C8-B849-B6DA-25ACD886D260}</author>
    <author>tc={A96806C7-F5C9-3A4A-ADEB-E99DCEDD9E9C}</author>
  </authors>
  <commentList>
    <comment ref="K1" authorId="0" shapeId="0" xr:uid="{2FA04038-811E-174E-87EA-8BAE7BE14073}">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8FB575E1-B383-1245-B618-5664B51FC2C1}">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4FAFD6FA-B050-6046-B9CB-18D1BF0457D9}">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3A73B33F-68FC-C449-AF01-DE7D6C6F8CC4}">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F90D5230-8740-FD45-94E1-AFB8DD263516}">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6015DFF4-E078-E34F-BD20-6AE32E2E5AAC}">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47495CB6-FEA1-754A-B43D-778431FD8E36}">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1A2B0595-74B3-7047-8A6B-BD8A6DA6B213}">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1DB1114C-0663-6047-9E35-6046FA9036DE}">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7ED4C9A9-B597-B048-84D1-D426F2A5A72F}">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453CF51A-94F9-264C-B621-FBA688D973D6}">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DE9DCCC8-38CA-984B-BB4C-442816BF40D4}">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24ED855D-8092-B04C-9C17-5A95F13FFAB6}">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A2932C5C-7CB3-F34F-84B7-6F844216F6F7}">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4081080E-B0C8-B849-B6DA-25ACD886D260}">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A96806C7-F5C9-3A4A-ADEB-E99DCEDD9E9C}">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sharedStrings.xml><?xml version="1.0" encoding="utf-8"?>
<sst xmlns="http://schemas.openxmlformats.org/spreadsheetml/2006/main" count="2074" uniqueCount="958">
  <si>
    <t>Title</t>
  </si>
  <si>
    <t>Author</t>
  </si>
  <si>
    <t>Source</t>
  </si>
  <si>
    <t>Publication year</t>
  </si>
  <si>
    <t>DOI</t>
  </si>
  <si>
    <t>Abstract</t>
  </si>
  <si>
    <t>Database</t>
  </si>
  <si>
    <t>Compendex</t>
  </si>
  <si>
    <t>IEEE Transactions on Intelligent Transportation Systems</t>
  </si>
  <si>
    <t>Inspec</t>
  </si>
  <si>
    <t>Transportation Research Part C: Emerging Technologies</t>
  </si>
  <si>
    <t>10.1016/j.trc.2017.11.026</t>
  </si>
  <si>
    <t>Energy</t>
  </si>
  <si>
    <t>Energies</t>
  </si>
  <si>
    <t>IEEE Access</t>
  </si>
  <si>
    <t>10.1109/TITS.2017.2754382</t>
  </si>
  <si>
    <t>Journal of Advanced Transportation</t>
  </si>
  <si>
    <t>Transportation Research Part B: Methodological</t>
  </si>
  <si>
    <t>10.1016/j.trb.2017.01.005</t>
  </si>
  <si>
    <t>Electric Power Systems Research</t>
  </si>
  <si>
    <t>Applied Energy</t>
  </si>
  <si>
    <t>Journal of Cleaner Production</t>
  </si>
  <si>
    <t>Model predictive control</t>
  </si>
  <si>
    <t>Vehicle-to-grid</t>
  </si>
  <si>
    <t>IEEE Transactions on Vehicular Technology</t>
  </si>
  <si>
    <t>IEEE Transactions on Smart Grid</t>
  </si>
  <si>
    <t>10.1109/TSG.2017.2687522</t>
  </si>
  <si>
    <t>10.3390/en11010229</t>
  </si>
  <si>
    <t>10.1016/j.apenergy.2016.03.091</t>
  </si>
  <si>
    <t>IEEE Transactions on Power Systems</t>
  </si>
  <si>
    <t>ID</t>
  </si>
  <si>
    <t>Selected</t>
  </si>
  <si>
    <t>Year</t>
  </si>
  <si>
    <t>Journal</t>
  </si>
  <si>
    <t>Authors</t>
  </si>
  <si>
    <t>Keywords</t>
  </si>
  <si>
    <t>Charging</t>
  </si>
  <si>
    <t>V2G</t>
  </si>
  <si>
    <t>Price</t>
  </si>
  <si>
    <t>EVs</t>
  </si>
  <si>
    <t>EVSE</t>
  </si>
  <si>
    <t>RESs</t>
  </si>
  <si>
    <t>Formulation</t>
  </si>
  <si>
    <t>MPC</t>
  </si>
  <si>
    <t>Dispatching</t>
  </si>
  <si>
    <t>Dataset</t>
  </si>
  <si>
    <t>Charging facility</t>
  </si>
  <si>
    <t>Analysis</t>
  </si>
  <si>
    <t>Cristicism</t>
  </si>
  <si>
    <t>Why this classification?</t>
  </si>
  <si>
    <t>Bibtex</t>
  </si>
  <si>
    <t>Section</t>
  </si>
  <si>
    <t>Class</t>
  </si>
  <si>
    <t>Name</t>
  </si>
  <si>
    <t>Acronym</t>
  </si>
  <si>
    <t>Description</t>
  </si>
  <si>
    <t>Synonyms</t>
  </si>
  <si>
    <t>Latex</t>
  </si>
  <si>
    <t>Algorithms</t>
  </si>
  <si>
    <t>Scheduling algorithm</t>
  </si>
  <si>
    <t>Average rate</t>
  </si>
  <si>
    <t>AR</t>
  </si>
  <si>
    <t>Scheduling algorithm that supply the minimum power of the EVSE capacity.</t>
  </si>
  <si>
    <t>Algorithm</t>
  </si>
  <si>
    <t>Backward-forward sweep</t>
  </si>
  <si>
    <t>BFS</t>
  </si>
  <si>
    <t>Algorithm to compute the power flow in a network</t>
  </si>
  <si>
    <t>Earliest deadline first</t>
  </si>
  <si>
    <t>EDF</t>
  </si>
  <si>
    <t>Scheduling algorithm that schedules the charge of the vehicle with earliest departure time first.</t>
  </si>
  <si>
    <t>Earliest start time</t>
  </si>
  <si>
    <t>EST</t>
  </si>
  <si>
    <t>Scheduling algorithm that dispatches the EVSE firsly available with no spatial consideration.</t>
  </si>
  <si>
    <t>First-in First-served</t>
  </si>
  <si>
    <t>FIFS</t>
  </si>
  <si>
    <t>Scheduling algorithm that dispatches EVs according to their arrival times.</t>
  </si>
  <si>
    <t>First-come first-served (FCFS)</t>
  </si>
  <si>
    <t>Least slack time</t>
  </si>
  <si>
    <t>LST</t>
  </si>
  <si>
    <t>Scheduling algorithm that prioritizes those vehicle with shortest remaining time to achieve the desired SoC.</t>
  </si>
  <si>
    <t>Least laxity first (LLF)</t>
  </si>
  <si>
    <t>Lowest state-of-charge first</t>
  </si>
  <si>
    <t>LSF</t>
  </si>
  <si>
    <t>Scheduling algorithm that charges the vehicle with the lowest SoC first</t>
  </si>
  <si>
    <t>Nearest Neighbor Charging Routing</t>
  </si>
  <si>
    <t>NNCR</t>
  </si>
  <si>
    <t>Scheduling algorithm that dispatches the EV to the nearest charging station and the corresponding EVSE that is firstly available.</t>
  </si>
  <si>
    <t>Newton-Raphson</t>
  </si>
  <si>
    <t>Price oriented scheduling</t>
  </si>
  <si>
    <t>POS</t>
  </si>
  <si>
    <t>Scheduling algorithm that supplies more energy during cheaper windows</t>
  </si>
  <si>
    <t>ToU scheduling</t>
  </si>
  <si>
    <t>Randomly delayed charging</t>
  </si>
  <si>
    <t>RND</t>
  </si>
  <si>
    <t>Scheduling algorithm that starts to supplying power after a random amount of time.</t>
  </si>
  <si>
    <t>Shortest job first</t>
  </si>
  <si>
    <t>SJF</t>
  </si>
  <si>
    <t>Scheduling algorithm that charges the vehicle with less required energy first.</t>
  </si>
  <si>
    <t>Smart charging system with cooperation</t>
  </si>
  <si>
    <t>SCSC</t>
  </si>
  <si>
    <t>Scheduling algorithm that supplies energy according to maximizing the utilization of the available power.</t>
  </si>
  <si>
    <t>Without chargers assignment scheduling</t>
  </si>
  <si>
    <t>WCAS</t>
  </si>
  <si>
    <t>Scheduling algorithm that dispatches EV to charging stations but not to EVSE.</t>
  </si>
  <si>
    <t>Dictionary</t>
  </si>
  <si>
    <t>Infrastructure</t>
  </si>
  <si>
    <t>Aggregator unit</t>
  </si>
  <si>
    <t>AU</t>
  </si>
  <si>
    <t>Is a central entity acting as an interface between EV users and the system operator or electricity market [4] \cite{han2017optimal}.</t>
  </si>
  <si>
    <t>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t>
  </si>
  <si>
    <t>Concept</t>
  </si>
  <si>
    <t>Battery capacity (kWh)</t>
  </si>
  <si>
    <t>It is the maximum energy the battery can save</t>
  </si>
  <si>
    <t>Battery health, state of the battery.</t>
  </si>
  <si>
    <t>Blackout</t>
  </si>
  <si>
    <t>It is the loss of the electrical power network supply to an end user (a.k.a. power outage, powercut, a power out, a power blackout, a power failure or a power loss).</t>
  </si>
  <si>
    <t>Brownout</t>
  </si>
  <si>
    <t>Phemonenon when there is an intentional or unintentional drop in the voltage.</t>
  </si>
  <si>
    <t>Charging capacity (kW)</t>
  </si>
  <si>
    <t>It is the maximum power the battery stands</t>
  </si>
  <si>
    <t>Charging efficiency</t>
  </si>
  <si>
    <t>Place where there is an EVSE. It can be either a station, a home, a parking and a workplace.</t>
  </si>
  <si>
    <t>Charging pile</t>
  </si>
  <si>
    <t>It is the box where the vehicle is connected through the cable.</t>
  </si>
  <si>
    <t>Charging power modulation</t>
  </si>
  <si>
    <t>It is the capability of the AU to control the power supplied.</t>
  </si>
  <si>
    <t>Problem</t>
  </si>
  <si>
    <t>Coordinated charging</t>
  </si>
  <si>
    <t>Energy supplied is controled under power availability and/or power grid constraints.</t>
  </si>
  <si>
    <t>Other</t>
  </si>
  <si>
    <t>Distributed energy resource</t>
  </si>
  <si>
    <t>DER</t>
  </si>
  <si>
    <t>It refers to those energies that are not generated and distributed by the distribution network, e.g. renewable energy resources.</t>
  </si>
  <si>
    <t>Intermittent energy resource (IER)</t>
  </si>
  <si>
    <t>Distribution system operator</t>
  </si>
  <si>
    <t>DSO</t>
  </si>
  <si>
    <t>The AUs are connected to them. They manage the energy demand of the connected AUs. They are located between the transmission and distribution networks.</t>
  </si>
  <si>
    <t>Vehicle</t>
  </si>
  <si>
    <t>Electric vehicle</t>
  </si>
  <si>
    <t>EV</t>
  </si>
  <si>
    <t>Light-weight vehicles that require a rechargeable battery.</t>
  </si>
  <si>
    <t>Plug-in electric vehicle (PEV), Battery electric vehicle (BEV), Full electric vehicle (FEV), Pure electric cars (PEC).</t>
  </si>
  <si>
    <t>Electric vehicle supply equiment</t>
  </si>
  <si>
    <t>It is the cable to connect the EV to the charging pile where the power energy flows through.</t>
  </si>
  <si>
    <t>Charging equipment, Connector</t>
  </si>
  <si>
    <t>Electric vehicle supply equipement port</t>
  </si>
  <si>
    <t>EVSE port</t>
  </si>
  <si>
    <t>It the plug where the EVSE is plugged-in.</t>
  </si>
  <si>
    <t>Charging port</t>
  </si>
  <si>
    <t>EV load</t>
  </si>
  <si>
    <t>It is the power or energy consumed at EVSEs over time.</t>
  </si>
  <si>
    <t>Fuel cell electric vehicle</t>
  </si>
  <si>
    <t>FCEV</t>
  </si>
  <si>
    <t>Vehicles that work with hydrogen fuel.</t>
  </si>
  <si>
    <t>Grid-to-vehicle</t>
  </si>
  <si>
    <t>G2V</t>
  </si>
  <si>
    <t>The power grid supplies energy to EVs.</t>
  </si>
  <si>
    <t>Unidirectional, Unidirectional V2G, V1G.</t>
  </si>
  <si>
    <t>Hybrid electric vehicle</t>
  </si>
  <si>
    <t>HEV</t>
  </si>
  <si>
    <t>Vehicles that use gasoline and electricity.</t>
  </si>
  <si>
    <t>Plug-in hybrid electric vehicle (PHEV), Hybrid electric cars (HEC).</t>
  </si>
  <si>
    <t>Internal combustion engine vehicle</t>
  </si>
  <si>
    <t>ICEV</t>
  </si>
  <si>
    <t>Vehicles that use gasoline only.</t>
  </si>
  <si>
    <t>Internal combustion vehicles (ICVs), Conventional vehicle (CV).</t>
  </si>
  <si>
    <t>It aims to repeatedly solve an optimization problem using forecast of costs and demand, among others.</t>
  </si>
  <si>
    <t>Receding horizon control (RHC)</t>
  </si>
  <si>
    <t>Pricing</t>
  </si>
  <si>
    <t>Price control</t>
  </si>
  <si>
    <t>Coordination method in which the AU sets the price over the day as an incentive or disincentive mechanism to plug-in EV when needed.</t>
  </si>
  <si>
    <t>Sliding windows</t>
  </si>
  <si>
    <t>It is the time between the arrival of the EV and the lattest charging time before departure (to get the desired SoC)</t>
  </si>
  <si>
    <t>Sojourn time, dwell time.</t>
  </si>
  <si>
    <t>Battery</t>
  </si>
  <si>
    <t>State-of-chage</t>
  </si>
  <si>
    <t>SoC</t>
  </si>
  <si>
    <t>Almacenated energy in the battery, commonly represented as a fraction of the total capacity.</t>
  </si>
  <si>
    <t>State-of-energy (SoE), Depth-of-Dischard (DoD) if 1 - SoC, Battery state of charging (BSOC).</t>
  </si>
  <si>
    <t>Transmission system operator</t>
  </si>
  <si>
    <t>TSO</t>
  </si>
  <si>
    <t>The network that transports the enery at high voltage from the generation source to cities.</t>
  </si>
  <si>
    <t>Transmission system</t>
  </si>
  <si>
    <t>Uncoordinated charging</t>
  </si>
  <si>
    <t>When energy is supplied with no control nor constraint until desired SoC is reached. In other words, charge whenever possible (obviously).</t>
  </si>
  <si>
    <t>EVs are also energy sources since they can provide energy to the grid by discharging their batteries.</t>
  </si>
  <si>
    <t>Bi-directional V2G, Bi-directional charging.</t>
  </si>
  <si>
    <t>Energy supply</t>
  </si>
  <si>
    <t>Aging acceleration factor</t>
  </si>
  <si>
    <t>AAF</t>
  </si>
  <si>
    <t>Is a metric for determining how much a charging load impacts transformer life</t>
  </si>
  <si>
    <t>Bottleneck</t>
  </si>
  <si>
    <t>Line limits and transformer capacities across different voltage levels.</t>
  </si>
  <si>
    <t>Equivalent aging factor</t>
  </si>
  <si>
    <t>It is the aggregation of the AAF product of computing it at each time interval.</t>
  </si>
  <si>
    <t>Loss of life percentage</t>
  </si>
  <si>
    <t>LOL</t>
  </si>
  <si>
    <t>It is the wear of the transformer throughout time. It is computed by mutiplying the EAF by the total operation time dived by 180,000.</t>
  </si>
  <si>
    <t>Power generation system</t>
  </si>
  <si>
    <t>Encompasses the production of electricity and the allocation of required demand between producers.</t>
  </si>
  <si>
    <t>Unit commitment</t>
  </si>
  <si>
    <t>UC</t>
  </si>
  <si>
    <t>It is the problem that schedules the energy production at minimum cost.</t>
  </si>
  <si>
    <t>Non-preemptive charging</t>
  </si>
  <si>
    <t>Once charging starts, it is not allowed to stop supplying energy.</t>
  </si>
  <si>
    <t>Non-stop charging</t>
  </si>
  <si>
    <t>Power coordinated charging</t>
  </si>
  <si>
    <t>PCC</t>
  </si>
  <si>
    <t>The power consumer by each EV is controlled such that the total load demand does not exceed the total power availability.</t>
  </si>
  <si>
    <t>Variable charge-rate coordination (VCC).</t>
  </si>
  <si>
    <t>Preemptive charging</t>
  </si>
  <si>
    <t>Once charging starts, it is allowed to stop supplying energy.</t>
  </si>
  <si>
    <t>Free charging</t>
  </si>
  <si>
    <t>Time coordinated charging</t>
  </si>
  <si>
    <t>TCC</t>
  </si>
  <si>
    <t>There is a maximum number of Evs each time such that the total load demand does not exceed the total power availability.</t>
  </si>
  <si>
    <t>Fixed charge-rate coordination (FCC), on-off based charging.</t>
  </si>
  <si>
    <t>Modelling</t>
  </si>
  <si>
    <t>Alternating direction method of multipliers</t>
  </si>
  <si>
    <t>ADMM</t>
  </si>
  <si>
    <t>This approach solves the cooperative charging problem decomposing the original problem into smaller subproblems that are assigned to each PEV and an aggregator</t>
  </si>
  <si>
    <t>Centralized charging</t>
  </si>
  <si>
    <t>The AU decides when and how much to charge each EV by gathering the information of all EVs that demand energy.</t>
  </si>
  <si>
    <t>Centralized control, Direct control.</t>
  </si>
  <si>
    <t>Decentralized charging</t>
  </si>
  <si>
    <t>Coordination methods in which the decision is taken by the EV under a negotiation process, e.g. a game, without information provided by the other EVs.</t>
  </si>
  <si>
    <t>Distributed charging, self-scheduling, transactive control, Indirect control.</t>
  </si>
  <si>
    <t>Distributed charging</t>
  </si>
  <si>
    <t>EVs schedule their charging by themselves based on information provided by the AU about other EVs.</t>
  </si>
  <si>
    <t>Hierarchical charging, Aggregator-assisted charging.</t>
  </si>
  <si>
    <t>Locational marginal pricing</t>
  </si>
  <si>
    <t>LMP</t>
  </si>
  <si>
    <t>Real-time pricing</t>
  </si>
  <si>
    <t>RTP</t>
  </si>
  <si>
    <t>Pricing scheme that is adjusted according to a function that varies over the time.</t>
  </si>
  <si>
    <t>Dynamic pricing, time-varying price/tariff.</t>
  </si>
  <si>
    <t>Time-of-use</t>
  </si>
  <si>
    <t>ToU</t>
  </si>
  <si>
    <t>Pricing scheme that is constant by time frame (static price), commonly three frame: off-peak, shoulder and peak.</t>
  </si>
  <si>
    <t>Piece-wise constant, White tariff.</t>
  </si>
  <si>
    <t>Wardrop equilibrium</t>
  </si>
  <si>
    <t>WE</t>
  </si>
  <si>
    <t>In the context of interaction among drivers with congestion effects, it is an equilibrium where there is no incentive to change the decision unilaterally.</t>
  </si>
  <si>
    <t>Included</t>
  </si>
  <si>
    <t>Deleted</t>
  </si>
  <si>
    <t>Stand-by</t>
  </si>
  <si>
    <t>Literature reviews</t>
  </si>
  <si>
    <t>No access</t>
  </si>
  <si>
    <t>Articles</t>
  </si>
  <si>
    <t>Read</t>
  </si>
  <si>
    <t>Total</t>
  </si>
  <si>
    <t>Acceptation</t>
  </si>
  <si>
    <t>Date</t>
  </si>
  <si>
    <t>Preemptive</t>
  </si>
  <si>
    <t>PowerSupply</t>
  </si>
  <si>
    <t>ChargingTime</t>
  </si>
  <si>
    <t>BatteryDegradation</t>
  </si>
  <si>
    <t>VehicleType</t>
  </si>
  <si>
    <t>FleetSize</t>
  </si>
  <si>
    <t>ArrivalTime</t>
  </si>
  <si>
    <t>DepartureTime</t>
  </si>
  <si>
    <t>DesiredSoC</t>
  </si>
  <si>
    <t>StartingSoC</t>
  </si>
  <si>
    <t>TimeHorizon</t>
  </si>
  <si>
    <t>TimeInterval</t>
  </si>
  <si>
    <t>RealTimeAlgorithm</t>
  </si>
  <si>
    <t>EnergyMarket</t>
  </si>
  <si>
    <t>AU_Location</t>
  </si>
  <si>
    <t>PowerCapacity</t>
  </si>
  <si>
    <t>BenchmarkAlgorithms</t>
  </si>
  <si>
    <t>ObjectiveSoC</t>
  </si>
  <si>
    <t>-</t>
  </si>
  <si>
    <t>Uncontrolled charging, unregulated charging, direct charging, simple charging, dumb charging, immediate charging (IMM), Expedient charging, Naïve charging, As fast as possible (AFAP)</t>
  </si>
  <si>
    <t>Energy Technology</t>
  </si>
  <si>
    <t>10.1002/ente.201800705</t>
  </si>
  <si>
    <t>IEEE Transactions on Industry Applications</t>
  </si>
  <si>
    <t>10.1109/TIA.2020.2984614</t>
  </si>
  <si>
    <t>Transportation Research Part D: Transport and Environment</t>
  </si>
  <si>
    <t>IET Renewable Power Generation</t>
  </si>
  <si>
    <t>10.1049/iet-rpg.2020.0837</t>
  </si>
  <si>
    <t>10.1109/TIA.2020.2984741</t>
  </si>
  <si>
    <t>Journal of Energy Storage</t>
  </si>
  <si>
    <t>10.1109/ACCESS.2020.2964391</t>
  </si>
  <si>
    <t>10.1109/TSG.2020.2991232</t>
  </si>
  <si>
    <t>10.1002/2050-7038.12366</t>
  </si>
  <si>
    <t>10.1016/j.jclepro.2021.129313</t>
  </si>
  <si>
    <t>10.1016/j.trd.2020.102682</t>
  </si>
  <si>
    <t>10.1109/TSG.2021.3053026</t>
  </si>
  <si>
    <t>IEEE Transactions on Sustainable Energy</t>
  </si>
  <si>
    <t>10.1109/TSTE.2021.3090463</t>
  </si>
  <si>
    <t>Sustainable Cities and Society</t>
  </si>
  <si>
    <t>10.1109/ACCESS.2022.3177842</t>
  </si>
  <si>
    <t>10.1016/j.est.2022.105633</t>
  </si>
  <si>
    <t>10.1109/TSG.2022.3181359</t>
  </si>
  <si>
    <t>10.1016/j.est.2022.104012</t>
  </si>
  <si>
    <t>10.1016/j.epsr.2022.108889</t>
  </si>
  <si>
    <t>10.1109/TITS.2021.3076008</t>
  </si>
  <si>
    <t>Tran, Cong Quoc; Keyvan-Ekbatani, Mehdi; Ngoduy, Dong; Watling, David</t>
  </si>
  <si>
    <t>Zhang, Bo; Zhao, Meng; Hu, Xiangpei</t>
  </si>
  <si>
    <t>10.1016/j.tre.2021.102460</t>
  </si>
  <si>
    <t>10.1080/00207543.2021.2023832</t>
  </si>
  <si>
    <t>This study aims to seek the optimal deployment of fast-charging stations concerning the traffic flow equilibrium and various realistic considerations to promote Electric Vehicles (EVs) widespread adoption. A bi-level optimization framework has been developed in which the upper level aims to minimize the total system cost (i.e., capital cost, travel cost, and environmental cost). Meanwhile, the lower level captures travellers' routing behaviours with stochastic demands and driving range limitation. A meta-heuristic approach has been proposed, combining the Cross-Entropy Method and the Method of Successive Average to solve the problem. Finally, numerical studies are conducted to demonstrate the proposed framework's performance and provide insights into the impact of uncertain driving range and charging congestion on the planning decision and the system performance. Generally, both on-route congestion and charging congestion tend to be more serious when there are more EVs in the network; however, the system performance can be improved by increasing EVs' driving range limitation and providing appropriate charging infrastructure.</t>
  </si>
  <si>
    <t>Interactive users' preferences and waiting time together have great impact on charging station network design of electric vehicles (EVs), but only waiting time was considered in previous studies. To fill this research gap, this paper addresses a location planning problem for EV charging stations, which considers users' preferences and waiting time simultaneously. The problem is formulated as a multi-objective bi-level programming model, the upper level model determines locations and capacity options of charging stations with the objectives of minimising total cost and minimising total service tardiness, and the lower level model determines the allocation of users to stations with the objective of minimising total travel time. A hybrid non-dominated sorting genetic algorithm II (HNSGA-II) with embedded level determination algorithm (LDA) and a partial enumeration algorithm (PEA) are proposed, respectively, to solve the model. Furthermore, managerial analysis is implemented to verify the advantages of considering users' preferences in reducing charging service tardiness and saving cost compared with the mode of no considering users' preferences. And sensitivity analysis is also performed to provide managerial insights for EV charging station location practice. Finally, a real-world case study is conducted to verify the applicability of the proposed approach in solving practical location planning problems.</t>
  </si>
  <si>
    <t>WoS</t>
  </si>
  <si>
    <t>ChargingFacilityDesign</t>
  </si>
  <si>
    <t>Static charging infrastructure</t>
  </si>
  <si>
    <t>The problem of charging facilities placement</t>
  </si>
  <si>
    <t>Dynamic charging infrastructure</t>
  </si>
  <si>
    <t>The problem of electrified roads</t>
  </si>
  <si>
    <t>Market clearing</t>
  </si>
  <si>
    <t>Process in which the demand is equal to the offer</t>
  </si>
  <si>
    <t>To read</t>
  </si>
  <si>
    <t>PrimaryControlTechnique</t>
  </si>
  <si>
    <t>Controlled charging, smart charging, charge management (CM), Optimized charging (OC), EV charging scheduling (EVCS), EV charging charging coordination (EVCC)</t>
  </si>
  <si>
    <t>Upper_player</t>
  </si>
  <si>
    <t>Middle_player</t>
  </si>
  <si>
    <t>Lower_player</t>
  </si>
  <si>
    <t>Upper_player_number</t>
  </si>
  <si>
    <t>Middle_player_number</t>
  </si>
  <si>
    <t>Lower_player_number</t>
  </si>
  <si>
    <t>Upper_player_objective</t>
  </si>
  <si>
    <t>Middle_player_objective</t>
  </si>
  <si>
    <t>Lower_player_objective</t>
  </si>
  <si>
    <t>PublicFacility</t>
  </si>
  <si>
    <t>WorkplaceFacility</t>
  </si>
  <si>
    <t>HomeFacility</t>
  </si>
  <si>
    <t>Goal</t>
  </si>
  <si>
    <t>Comment</t>
  </si>
  <si>
    <t>E (Included)</t>
  </si>
  <si>
    <t>NetworkProblem</t>
  </si>
  <si>
    <t>Category</t>
  </si>
  <si>
    <t>SingleProblem</t>
  </si>
  <si>
    <t>MultiProblem</t>
  </si>
  <si>
    <t>A Bi-Level Optimisation Framework For Electric Vehicle Fleet Charging Management</t>
  </si>
  <si>
    <t>Škugor, Branimir(1); Deur, Joko(1)</t>
  </si>
  <si>
    <t>The paper proposes a bi-level optimisation framework for Electric Vehicle (EV) fleet charging based on a realistic EV fleet model including a transport demand sub-model. The EV fleet is described by an aggregate battery model, which is parameterised by using recorded driving cycle data of a delivery vehicle fleet. The EV fleet model is used within the inner level of the bi-level optimisation framework, where the aggregate charging power is optimised by using the dynamic programming (DP) algorithm. At the superimposed optimisation level, the final State-of-Charge (SoC) values of individual EVs being disconnected from the grid are optimised by using a multi-objective genetic algorithm-based optimisation. In each iteration of the bi-level optimisation algorithm, it is generally needed to recalculate the transport demand sub-model for the new set of final SoC values. In order to simplify this process, the transport demand is modelled by using a computationally efficient response surface method, which is based on naturalistic synthetic driving cycles and agent-based simulations of the EV model. When compared to the single-level charging optimisation approach, which assumes the final SoC values to be equal to 1 (full batteries on departure), the bi-level optimisation provides a degree of optimisation freedom more for more accurate techno-economic analyses of the integrated transport-energy system. The two approaches are compared through a simulation study of the particular delivery vehicle fleet transport-energy system. © 2016 Elsevier Ltd</t>
  </si>
  <si>
    <t>GoogleScholar</t>
  </si>
  <si>
    <t>Locating Multiple Types Of Charging Facilities For Battery Electric Vehicles</t>
  </si>
  <si>
    <t>Liu, Haoxiang; Wang, David Z. W.</t>
  </si>
  <si>
    <t>To reduce greenhouse gas emissions in transportation sector, battery electric vehicle (BEV) is a better choice towards the ultimate goal of zero-emission. However, the shortened range, extended recharging time and insufficient charging facilities hinder the wide adoption of BEV. Recently, a wireless power transfer technology, which can provide dynamic recharging when vehicles are moving on roadway, has the potential to solve these problems. The dynamic recharging facilities, if widely applied on road network, can allow travelers to drive in unlimited range without stopping to recharge. This paper aims to study the complex charging facilities location problem, assuming the wireless charging is technologically mature and a new type of wireless recharging BEV is available to be selected by consumers in the future other than the traditional BEV requiring fixed and static charging stations. The objective is to assist the government planners on optimally locating multiple types of BEV recharging facilities to satisfy the need of different BEV types within a given budget to minimize the public social cost. Road users' ownership choice among multiple types BEV and BEV drivers' routing choice behavior are both explicitly considered. A trilevel programming is then developed to model the presented problem. The formulated model is first treated as a black-box optimization, and then solved by an efficient surface response approximation model based solution algorithm. (C) 2017 Elsevier Ltd. All rights reserved.</t>
  </si>
  <si>
    <t>Real-Time Optimal Energy And Reserve Management Of Electric Vehicle Fast Charging Station: Hierarchical Game Approach</t>
  </si>
  <si>
    <t>Zhao, Tianyang; Li, Yuanzheng; Pan, Xuewei; Wang, Peng; Zhang, Jianhua</t>
  </si>
  <si>
    <t>In this paper, the aggregation of electric vehicles (EVs) and fast charging station (FCS) is modeled as a leader followers game to provide regulation reserves for power systems. The leader of the game is FCS operator, who manages local sources and sets energy/reserve prices for EVs to increase its revenue, with the consideration of uncertain renewable sources and reserves called by the independent system operator. On the other hand, EVs act as the followers to obtain a tradeoff between the benefits from energy consumption and reserves provision, by deciding their charging and reserve strategies. The proposed game is reformulated as a bi-level optimization problem, which is solved by a mathematical programming with equilibrium constraints method. Furthermore, the existence of Stackelberg equilibriums has been proved. Effectiveness of the proposed game is verified by both single-period and multiple-periods simulation study. Simulation results demonstrate that the proposed game can increase the benefits of FCS operator and EVs simultaneously, compared with the centralized management method.</t>
  </si>
  <si>
    <t>A Bi-Level Optimization Approach To Charging Load Regulation Of Electric Vehicle Fast Charging Stations Based On A Battery Energy Storage System</t>
  </si>
  <si>
    <t>Fast charging stations enable the high-powered rapid recharging of electric vehicles. However, these stations also face challenges due to power fluctuations, high peak loads, and low load factors, affecting the reliable and economic operation of charging stations and distribution networks. This paper introduces a battery energy storage system (BESS) for charging load control, which is a more user-friendly approach and is more robust to perturbations. With the goals of peak-shaving, total electricity cost reduction, and minimization of variation in the state-of-charge (SOC) range, a BESS-based bi-level optimization strategy for the charging load regulation of fast charging stations is proposed in this paper. At the first level, a day-ahead optimization strategy generates the optimal planned load curve and the deviation band to be used as a reference for ensuring multiple control objectives through linear programming, and even for avoiding control failure caused by insufficient BESS energy. Based on this day-ahead optimal plan, at a second level, real-time rolling optimization converts the control process to a multistage decision-making problem. The predictive control-based real-time rolling optimization strategy in the proposed model was used to achieve the above control objectives and maintain battery life. Finally, through a horizontal comparison of two control approaches in each case study, and a longitudinal comparison of the control robustness against different degrees of load disturbances in three cases, the results indicated that the proposed control strategy was able to significantly improve the charging load characteristics, even with large disturbances. Meanwhile, the proposed approach ensures the least amount of variation in the range of battery SOC and reduces the total electricity cost, which will be of a considerable benefit to station operators. © 2018 by the authors. Licensee MDPI, Basel, Switzerland.</t>
  </si>
  <si>
    <t>Optimal Electric Vehicle Fast Charging Station Placement Based On Game Theoretical Framework</t>
  </si>
  <si>
    <t>Xiong, Yanhai(1); Gan, Jiarui(2); An, Bo(3); Miao, Chunyan(3); Bazzan, Ana L.C.(4)</t>
  </si>
  <si>
    <t>To reduce the air pollution and improve the energy efficiency, many countries and cities (e.g., Singapore) are on the way of introducing electric vehicles (EVs) to replace the vehicles serving in current traffic system. Effective placement of charging stations is essential for the rapid development of EVs, because it is necessary for providing convenience for EVs and ensuring the efficiency of the traffic network. However, existing works mostly concentrate on the mileage anxiety from EV users but ignore their strategic and competitive charging behaviors. To capture the competitive and strategic charging behaviors of the EV users, we consider that an EV user's charging cost, which is dependent on other EV users' choices, consists of the travel cost to access the charging station and the queuing cost in charging stations. First, we formulate the Charging Station Placement Problem (CSPP) as a bilevel optimization problem. Then, by exploiting the equilibrium of the EV charging game, we convert the bilevel optimization problem to a single-level one, following which we analyze the properties of CSPP and propose an algorithm Optimizing eleCtric vEhicle chArging statioN (OCEAN) to compute the optimal allocation of charging stations. Due to OCEAN's scalability issue, we furthermore present a heuristic algorithm OCEAN with Continuous variables to deal with large-scale real-world problems. Finally, we demonstrate and discuss the results of the extensive experiments we did. It is shown that our approach outperform baseline methods significantly. © 2000-2011 IEEE.</t>
  </si>
  <si>
    <t>An Optimal Charging Station Location Model With The Consideration Of Electric Vehicle's Driving Range</t>
  </si>
  <si>
    <t>Reasonable charging station positions are critical to prompt the widespread use of electric vehicles (EVs). This paper proposes a bi-level programming model with the consideration of EV's driving range, for finding the optimal locations of charging stations. In this model, the upper level is to optimize the position of charging stations so as to maximize the path flows that use the charging stations, while the user equilibrium of route choice with the EV's driving range constraint is formulated in the lower level. In order to find the optimal solution of the model efficiently, we reformulate the proposed model as a single-level mathematical program and further linearize it in designing the heuristic algorithm. The model validity is demonstrated with numerical examples on two test networks. It is shown that the vehicle's driving range has a great influence on the optimal charging station locations. © 2017 Elsevier Ltd</t>
  </si>
  <si>
    <t>A Real-Time Multilevel Energy Management Strategy For Electric Vehicle Charging In A Smart Electric Energy Distribution System</t>
  </si>
  <si>
    <t>Hu, Yong; Su, Su; He, Luobin; Wu, Xuezhi; Ma, Tao; Liu, Ziqi; Wei, Xiangxiang</t>
  </si>
  <si>
    <t>The randomness of electric vehicle (EV) charging has negative impacts on three-phase imbalance and peak-valley difference in electric energy distribution systems. Traditional EV charging strategies have shortcomings: the performance of three-phase imbalance mitigation may be limited if the grid-connected EVs are extremely imbalanced on three phases; in addition, the comprehensive regulation of peak-valley difference and three-phase imbalance is not developed, and the three-phase imbalance of reactive power is ignored. Therefore, a real-time multilevel energy management strategy (RMEMS) for EV charging is proposed. A tri-level optimization model (TOM) is designed as the central system. In upper-level optimization, the three-phase selection (TPS) of EVs is optimized to balance active or reactive power consumption on three phases. Based on the results from upper-level optimization, the charging active power is regulated in middle-level optimization to reduce the peak-valley difference on each phase. In lower-level optimization, the reactive power compensated by EV chargers is optimized based on the results from upper-level and middle-level optimization to balance the reactive power on three phases. Case studies show that the proposed RMEMS performs well for balancing active and reactive power consumption on three phases, and the peak-valley differences of active power consumption on each phase are all mitigated.</t>
  </si>
  <si>
    <t>Collaborative Optimization Of Vehicle And Charging Scheduling For A Bus Fleet Mixed With Electric And Traditional Buses</t>
  </si>
  <si>
    <t>Zhou, Guang-Jing; Xie, Dong-Fan; Zhao, Xiao-Mei; Lu, Chaoru</t>
  </si>
  <si>
    <t>To address sustainable development issues of urban traffic, electric buses will join traditional bus system, and the scheduling of bus fleet should be adjusted due to the distinct features of electric buses. To this end, this paper develops a Multi-objective Bi-level programming model to collaboratively optimize the vehicle scheduling and charging scheduling of the mixed bus fleet under the operating conditions of a single depot. The upper level determines the vehicle scheduling to minimize the operating cost and carbon emissions under the constraints of connecting time between trips and the limited driving range of electric buses. The lower level is a charging scheduling problem that considers the charging time and the limited driving distance constraint to minimize the charging cost. The proposed model is solved with an integrated heuristic algorithm. The vehicle scheduling problem is addressed with the iterative neighborhood search algorithm based on simulated annealing, while the charging scheduling problem is solved with a greedy dynamic selection strategy based on the approach of multi-stage decision. Finally, case study is carried out based on a mixed bus fleet in Beijing, and the results validate the availability of the proposed model and solution algorithm.</t>
  </si>
  <si>
    <t>Optimal Allocation Of Distributed Generation And Electric Vehicle Charging Stations Based On Intelligent Algorithm And Bi-Level Programming</t>
  </si>
  <si>
    <t>Liu, Lijun; Zhang, Yan; Da, Chao; Huang, Zonglong; Wang, Mengqi</t>
  </si>
  <si>
    <t>To facilitate the development of active distribution networks with high penetration of large-scale distributed generation (DG) and electric vehicles (EVs), active management strategies should be considered at the planning stage to implement the coordinated optimal allocations of DG and electric vehicle charging stations (EVCSs). In this article, EV charging load curves are obtained by the Monte Carlo simulation method. This article reduces the number of photovoltaic outputs and load scenarios by the K-means++ clustering algorithm to obtain a typical scenario set. Additionally, we propose a bi-level programming model for the coordinated DG and EVCSs planning problem. The maximisation of annual overall profit for the power supply company is taken as the objective function for the upper planning level. Then, each scenario is optimised at the lower level by using active management strategies. The improved harmonic particle swarm optimisation algorithm is used to solve the bi-level model. The validation results for the IEEE-33 node, PG&amp;E-69 node test system and an actual regional 30-node distribution network show that the bi-level programming model proposed in this article can improve the planning capacity of DG and EVCSs, and effectively increase the annual overall profit of the power supply company, while improving environmental and social welfare, and reducing system power losses and voltage shifts. The study provides a new perspective on the distribution network planning problem.</t>
  </si>
  <si>
    <t>A Deep Reinforcement Learning Method For Pricing Electric Vehicles With Discrete Charging Levels</t>
  </si>
  <si>
    <t>Qiu, Dawei; Ye, Yujian; Papadaskalopoulos, Dimitrios; Strbac, Goran</t>
  </si>
  <si>
    <t>The effective pricing of electric vehicle (EV) charging by aggregators constitutes a key problem toward the realization of the significant EV flexibility potential in deregulated electricity systems and has been addressed by previous work through bi-level optimization formulations. However, the solution approach adopted in previous work cannot capture the discrete nature of the EV charging/discharging levels. Although reinforcement learning (RL) can tackle this challenge, state-of-the-art RL methods require discretization of state and/or action spaces and thus exhibit limitations in terms of solution optimality and computational requirements. This article proposes a novel deep reinforcement learning (DRL) method to solve the examined EV pricing problem, combining deep deterministic policy gradient (DDPG) principles with a prioritized experience replay (PER) strategy and setting up the problem in multi-dimensional continuous state and action spaces. Case studies demonstrate that the proposed method outperforms state-of-the-art RL methods in terms of both solution optimality and computational requirements and comprehensively analyze the economic impacts of smart-charging and vehicle-to-grid (V2G) flexibility on both aggregators and EV owners.</t>
  </si>
  <si>
    <t>Enhancing Hosting Capacity Of Intermittent Wind Turbine Systems Using Bi-Level Optimisation Considering Oltc And Electric Vehicle Charging Stations</t>
  </si>
  <si>
    <t>Deployment Of The Electric Vehicle Charging Station Considering Existing Competitors</t>
  </si>
  <si>
    <t>The problem of optimal planning of plug-in electric vehicle (PEV) charging stations is studied. Different from many other works, we assume the station investor to be a new private entrant into the market who intends to maximize its own profit in a competitive environment. A modified Huff gravity-based model is adopted to describe the probabilistic patronizing behaviors of PEV drivers. Accordingly, a bi-level optimization model is formulated to decide not only the optimal site and size of the new charging station, but also the retail charging prices in the future operation stage. Based on the specific characteristics of the problem, the operation level sub-problem is reformulated to a convex programming and an efficient solution algorithm is designed for the overall bi-level optimization. Numerical examples of different scales demonstrate the effectiveness of the proposed modeling and computation methods, as well as the importance of considering the competitive effects when planning the charging station. © 2010-2012 IEEE.</t>
  </si>
  <si>
    <t>Bilevel Robust Optimization Of Electric Vehicle Charging Stations With Distributed Energy Resources</t>
  </si>
  <si>
    <t>Stochasticity And Environmental Cost Inclusion For Electric Vehicles Fast-Charging Facility Deployment</t>
  </si>
  <si>
    <t>Optimal Pricing Of Public Electric Vehicle Charging Stations Considering Operations Of Coupled Transportation And Power Systems</t>
  </si>
  <si>
    <t>Cui, Yan; Hu, Zechun; Duan, Xiaoyu</t>
  </si>
  <si>
    <t>Recognized as an efficient approach to reduce fossil fuel consumption and alleviate environment crisis, the adoption of electric vehicles (EVs) in urban transportation system is receiving more and more attention. EVs will tightly couple the operations of urban transportation network (UTN) and power distribution network (PDN), necessitating the interdependent traffic-power modeling to optimize the on-road EV charging decisions. In this article, the optimal charging pricing problem of public electric vehicle charging stations (EVCSs) considering the interdependent operations of UTN and PDN is modeled from the view of the charging network operator (CNO), which is formulated as a bi-level optimization problem. In order to match the spatial size of UTN and power capacity of PDN, multiple PDNs are incorporated in the modeling to support EVCSs at different parts of UTN, permitting charging load migration across PDNs. Fixed point theory is used to analyze properties of the CNO's optimal charging pricing problem. An iterative method is designed to obtain the optimal charging pricing result, which solves the CNO's pricing subproblem and PDN market clearing subproblem in turn. Numerical case study results validate the effectiveness of proposed models and methods, and demonstrate the impacts of the CNO pricing on the operations of UTN and PDN.</t>
  </si>
  <si>
    <t>Coordinating Flexible Demand Response And Renewable Uncertainties For Scheduling Of Community Integrated Energy Systems With An Electric Vehicle Charging Station: A Bi-Level Approach</t>
  </si>
  <si>
    <t>Li, Yang; Han, Meng; Yang, Zhen; Li, Guoqing</t>
  </si>
  <si>
    <t>A community integrated energy system (CIES) with an electric vehicle charging station (EVCS) provides a new way for tackling growing concerns of energy efficiency and environmental pollution, it is a critical task to coordinate flexible demand response and multiple renewable uncertainties. To this end, a novel bi-level optimal dispatching model for the CIES with an EVCS in multi-stakeholder scenarios is established in this paper. In this model, an integrated demand response program is designed to promote a balance between energy supply and demand while maintaining a user comprehensive satisfaction within an acceptable range. To further tap the potential of demand response through flexibly guiding users energy consumption and electric vehicles behaviors (charging, discharging and providing spinning reserves), a dynamic pricing mechanism combining time-of-use and real-time pricing is put forward. In the solution phase, by using sequence operation theory (SOT), the original chance-constrained programming (CCP) model is converted into a readily solvable mixed-integer linear programming (MILP) formulation and finally solved by CPLEX solver. The simulation results on a practical CIES located in North China demonstrate that the presented method manages to balance the interests between CIES and EVCS via the coordination of flexible demand response and uncertain renewables.</t>
  </si>
  <si>
    <t>Optimal Fast Charging Station Locations For Electric Ridesharing With Vehicle-Charging Station Assignment</t>
  </si>
  <si>
    <t>Ma T.-Y., Xie S.</t>
  </si>
  <si>
    <t>Electrified shared mobility services need to handle charging infrastructure planning and manage their daily charging operations to minimize total charging operation time and cost. However, existing studies tend to address these problems separately. A new online vehicle-charging assignment model is proposed and integrated into the fast charging location problem for dynamic ridesharing services using electric vehicles. The latter is formulated as a bi-level optimization problem to minimize the fleet's daily charging operation time. A surrogate-assisted optimization approach is proposed to solve the combinatorial optimization problem efficiently. The proposed model is tested on a realistic flexible bus service in Luxembourg. The results show that the proposed online charging policy can effectively reduce the charging delays of the fleet compared to the state-of-the-art methods. With 10 additional DC fast chargers installed, charging operation time can be reduced up to 27.8% when applying the online charging policy under the test scenarios. © 2020 Elsevier Ltd</t>
  </si>
  <si>
    <t>Scopus</t>
  </si>
  <si>
    <t>A Bi-Level Optimization Model For Electric Vehicle Charging Strategy Based On Regional Grid Load Following</t>
  </si>
  <si>
    <t>Yang, Xiaolong(1,2); Niu, Dongxiao(1,3); Sun, Lijie(1,3); Ji, Zhengsen(1,3); Zhou, Jiancheng(4); Wang, Keke(1,3); Siqin, Zhuoya(1,3)</t>
  </si>
  <si>
    <t>Because a greater proportion of large-scale electric vehicles (EVs) are connected to the grid, their stochastic charging load has a significant impact on the power quality and economic operation of the distribution network. However, a random charging load can be transformed into flexible demand response resources through intelligent control of the EV charging process. Therefore, a bi-level optimization model for EV charging is proposed in this study based on the real-time charging price according to the regional grid load, providing more flexible charging strategies for EVs. First, the framework for a bi-level optimization control strategy for EV charging based on the load is developed. Based on the regional grid load, the charging price of each period is optimized in accordance with the load elasticity coefficient of the real-time charging price. Second, an upper-level EV charging price optimization model and a lower-level EV charging load optimization model are established. Third, an optimal control strategy for the scheduling of EV charging is developed, which considers the charging cost of EV users as the objective function and the standard deviation and peak-valley difference of the regional grid load as validation functions. Finally, using a regional power grid in China as the simulation object, the daily operation data of the grid are used to analyze and verify the proposed model. The simulation results demonstrate that the optimized real-time charging price can better respond to the regional grid load, smooth the regional grid load curve, reduce the peak-valley difference, promote clean energy consumption, and further lower the charging cost for EV users. © 2021</t>
  </si>
  <si>
    <t>Electronics</t>
  </si>
  <si>
    <t>M Bilal, M Rizwan</t>
  </si>
  <si>
    <t>Applied Sciences</t>
  </si>
  <si>
    <t>Electric Vehicle User Data-Induced Cyber Attack On Electric Vehicle Charging Station</t>
  </si>
  <si>
    <t>Jeong, Seong Ile; Choi, Dae-Hyun</t>
  </si>
  <si>
    <t>Electric vehicle (EV) user data (e.g., arrival/departure times and initial/desired state of energy (SOE) of the EV at EV charging stations (EVCSs)) are crucial data based on which the energy management system (EMS) of EVCS calculates the economic charging schedules of EVs according to their preferred charging conditions. In this paper, we present a novel cyber attack via the manipulation of EV user data against the EMS of an EVCS that may result in incorrect electricity costs incurred by the EVCS through distorted charging schedules of EVs. The proposed attack method is formulated as a mixed-integer linear-programming-based bi-level optimization problem that comprises upper- and lower-level optimization problems. At the upper level, malicious EV user data injected into the communication network between the EVs and the EMS of the EVCS are calculated, while a normal operation of the EV charging optimization algorithm in the EMS is ensured at the lower level even if malicious data are delivered from the upper level. The formulated bi-level optimization problem is converted into a single-level optimization problem by replacing the lower-level problem with its corresponding Karush-Kuhn-Tucker conditions. The feasibility of the proposed cyber attack against EVCSs is demonstrated via a simulated scenario in which 40 EVs arrive at an EVCS, which has six charging poles with different charging speeds. The economic impact of such an attack is quantified in terms of the total electricity cost incurred by the EVCS, charging schedule, initial/desired SOE of EVs, and attack effort.</t>
  </si>
  <si>
    <t>Bi-Level Planning Method Of Urban Electric Vehicle Charging Station Considering Multiple Demand Scenarios And Multi-Type Charging Piles</t>
  </si>
  <si>
    <t>Liu X.</t>
  </si>
  <si>
    <t>The planning of electric vehicle (EV) charging stations with a comprehensive consideration of the multi-type charging demands and the acceptance capacities of the distribution network is of great significance to the development of EVs and the transformation of the distribution network. At present, most studies determine EV charging needs based on user travel paths, but they have not taken the behavior uncertainty of EV owners and the diversity of their demands into account. The probability statistics on the massive data of EV travels can help excavating the travel and charging rules of the EVs. Based on user travel data, the Markov chain and the roulette method are used to simulates EV charging requirements in three scenarios considering various uncertain factors, and then a K-means clustering algorithm is used to obtain charging requirements in three scenarios. On this basis, a bi-level planning model of charging station with maximum annual profit of construction and operation and minimum comprehensive charging cost of EVs as multi-objective function is proposed. This model also considers many constraints, such as cooperative service of multi-type charging piles, acceptance capacity of distribution network and so on. The upper model takes the location and capacity of charging station planning as control variables. The lower model was established to minimize the comprehensive charging cost of EVs. The upper and lower models interact and couple with each other. The solution process of bi-level planning model was designed through using firefly algorithm. Finally, taking the urban area of a city in China as the planning area, and the transportation network coupled with the IEEE 69 node distribution network as an example, the validity and correctness of the proposed model are verified. © 2022 Elsevier Ltd</t>
  </si>
  <si>
    <t>Location Planning Of Electric Vehicle Charging Station With Users’ Preferences And Waiting Time: Multi-Objective Bi-Level Programming Model And Hnsga-Ii Algorithm</t>
  </si>
  <si>
    <t>Zhang B., Zhao M., Hu X.</t>
  </si>
  <si>
    <t>International Journal of Production Research</t>
  </si>
  <si>
    <t>Interactive users’ preferences and waiting time together have great impact on charging station network design of electric vehicles (EVs), but only waiting time was considered in previous studies. To fill this research gap, this paper addresses a location planning problem for EV charging stations, which considers users’ preferences and waiting time simultaneously. The problem is formulated as a multi-objective bi-level programming model, the upper level model determines locations and capacity options of charging stations with the objectives of minimising total cost and minimising total service tardiness, and the lower level model determines the allocation of users to stations with the objective of minimising total travel time. A hybrid non-dominated sorting genetic algorithm II (HNSGA-II) with embedded level determination algorithm (LDA) and a partial enumeration algorithm (PEA) are proposed, respectively, to solve the model. Furthermore, managerial analysis is implemented to verify the advantages of considering users’ preferences in reducing charging service tardiness and saving cost compared with the mode of no considering users’ preferences. And sensitivity analysis is also performed to provide managerial insights for EV charging station location practice. Finally, a real-world case study is conducted to verify the applicability of the proposed approach in solving practical location planning problems. © 2022 Informa UK Limited, trading as Taylor &amp; Francis Group.</t>
  </si>
  <si>
    <t>Trilevel Optimization Model For Competitive Pricing Of Electric Vehicle Charging Station Considering Distribution Locational Marginal Price</t>
  </si>
  <si>
    <t>Sustainable Energy Supply Of Electric Vehicle Charging Parks And Hydrogen Refueling Stations Integrated In Local Energy Systems Under A Risk-Averse Optimization Strategy</t>
  </si>
  <si>
    <t>Shoja, Zahra Moshaver(1); Mirzaei, Mohammad Amin(1); Seyedi, Heresh(1); Zare, Kazem(1)</t>
  </si>
  <si>
    <t>This paper proposes a day-ahead optimization framework for the sustainable energy supply of an electric vehicle (EV) charging park and hydrogen refueling station (HRS) outfitted with the power-tohydrogen (P2H) conversion facility in a local multi-energy system (LMES). A novel integrated demand response (IDR) program with an incentive mechanism is used for power and heat demands, EV charging park, and HRS to further improve system flexibility and operational costs. A hybrid multi-objective information-gap decision theory/robust optimization (HMIRO) framework is also applied as an effective modeling technique for dealing with existing uncertainties with no need for a probability density function and scenario creation. The suggested HMIRO model is formulated as a tri-level mixed-integer linear programming (MILP) problem and converted into a single-level MILP problem using duality theory that enables the LMES operator to utilize two risk-averse strategies simultaneously due to the information-gap on uncertain parameters. The numerical results indicate that the proposed hybrid risk-averse strategy enables the LMES operator to guarantee a risk reduction of wind generation and HRS demand up to 20.6 % and 14.3 %, respectively, in day-ahead optimization while leading to a 5 % increase in the daily operation cost. Also, the daily energy cost can be reduced by up to 3.52 %, 2.88 %, 7.03 %, and 1.15 % with optimal IDR implementation for power load, heat load, EV charging park, and HRS in LMES, respectively. © 2022 Elsevier Ltd</t>
  </si>
  <si>
    <t>Strategic Pricing Of Electric Vehicle Charging Service Providers In Coupled Power-Transportation Networks</t>
  </si>
  <si>
    <t>Sustainability</t>
  </si>
  <si>
    <t>Bi-Level Programming Model Approach For Electric Vehicle Charging Stations Considering User Charging Costs</t>
  </si>
  <si>
    <t>The rapid development of electric vehicles (EV) has placed greater demands on the planning and construction of public electric vehicle charging stations (EVCS). As EV users are highly autonomous in their charging behavior, the interests of investors and EV users are mutually affected and challenging to balance. Therefore, this paper proposes a bi-level planning model to balance the interests of investors and EV users and optimize global economic costs while improving the service satisfaction of users. The upper-level model aims to optimize the economic cost. In contrast, the lower-level model aims to optimize the service satisfaction of EV users and characterizes the charging satisfaction of EV users through the costs of charging queuing time, distance traveled, desired to charge volume, and actual charging volume, to more accurately reflect the autonomy of EV users. A combination of fast and slow charging piles is also used for planning to meet the needs of different users and improve charging stations' operational efficiency. Finally, a case study is conducted in an area of Beijing to verify that the optimization model has the advantages of low global economic cost, short charging queuing time for users, and high service satisfaction. © 2022 Elsevier B.V.</t>
  </si>
  <si>
    <t>Location Planning Of Electric Vehicle Charging Station With Users' Preferences And Waiting Time: Multi-Objective Bi-Level Programming Model And Hnsga-Ii Algorithm</t>
  </si>
  <si>
    <t>Matching Uncertain Renewable Supply With Electric Vehicle Charging Demand—A Bi-Level Event-Based Optimization Method</t>
  </si>
  <si>
    <t>Teng Long(1); Qing-Shan Jia(1)</t>
  </si>
  <si>
    <t>Complex System Modeling and Simulation</t>
  </si>
  <si>
    <t>10.23919/CSMS.2021.0001</t>
  </si>
  <si>
    <t>The matching between dynamic supply of renewable power generation and flexible charging demand of the Electric Vehicles (EVs) can not only increase the penetration of renewables but also reduce the load to the state electric power grid. The challenges herein are the curse of dimensionality, the multiple decision making stages involved, and the uncertainty of both the supply and demand sides. Event-Based Optimization (EBO) provides a new way to solve large-scale Markov decision process. Considering different spatial scales, we develop a bi-level EBO model in this paper which can both catch the changes on the macro and micro levels. By proper definition, the size of event space stays fixed with the scale of the problem, which shows good scalability in online optimization. Then a bi-level Q-learning method is developed to solve the problem iteratively. We demonstrate the performance of the method by numerical examples. Our method outperforms other methods both in performance and scalability.</t>
  </si>
  <si>
    <t>System Of Systems Model For Planning Electric Vehicle Charging Infrastructure In Intercity Transportation Networks Under Emission Consideration</t>
  </si>
  <si>
    <t>Chao Lei(1,2); Liqun Lu(3); Yanfeng Ouyang(1)</t>
  </si>
  <si>
    <t>Rapid development of electric vehicles holds the promise to significantly mitigate greenhouse gas emissions. However, the lack of pervasive en-route charging infrastructure on regional highway networks hinders the use of electric vehicles for long-distance intercity trips. Traditionally, transportation and power systems are often studied separately, each by itself as a complex system. This paper proposes a system of systems modeling framework for planning charging infrastructure deployment in intercity transportation networks while considering users' travel behavior and coupling relationships between transportation and power systems. The aim is at facilitating long-distance electric vehicle travels and providing an effective and comprehensive tool to evaluate the total emissions from both the transportation and power sectors. We look at a somewhat "forward-looking" problem in which the charging loads of widely-adopted electric vehicles induce interdependence between the power and the transportation sectors. A general equilibrium modeling framework is developed to capture the interdependencies among charging infrastructure design, users' travel behaviors, and power sector operations. An iterative solution approach is proposed to solve the overall equilibrium between the transportation and power sectors, and a heuristic algorithm is developed to solve the bi-level subproblem for the charging infrastructure deployment. Numerical experiments based on a semi-realistic case study are performed to demonstrate the applicability of the proposed modeling and solution approach.</t>
  </si>
  <si>
    <t>International Journal of Electrical Power &amp; Energy Systems</t>
  </si>
  <si>
    <t>Transportation Research Part E: Logistics and Transportation Review</t>
  </si>
  <si>
    <t>Sustainable Energy, Grids and Networks</t>
  </si>
  <si>
    <t>10.1109/TSG.2022.3219109</t>
  </si>
  <si>
    <t>Journal of Operation and Automation in Power Engineering</t>
  </si>
  <si>
    <t>Coordination</t>
  </si>
  <si>
    <t>Hierarchical</t>
  </si>
  <si>
    <t>Optimal Placement And Sizing Of Plug In Electric Vehicles Charging Stations Within Distribution Networks With High Penetration Of Photovoltaic Panels</t>
  </si>
  <si>
    <t>E Pashajavid, MA Golkar</t>
  </si>
  <si>
    <t>10.1063/1.4822257</t>
  </si>
  <si>
    <t>An Improved Pso-Based Charging Strategy Of Electric Vehicles In Electrical Distribution Grid</t>
  </si>
  <si>
    <t>J Yang, L He, S Fu</t>
  </si>
  <si>
    <t>User Equilibrium–Based Location Model Of Rapid Charging Stations For Electric Vehicles With Batteries That Have Different States Of Charge</t>
  </si>
  <si>
    <t>YG Lee, HS Kim, SY Kho, C Lee</t>
  </si>
  <si>
    <t>10.3141/2454-13</t>
  </si>
  <si>
    <t>Research On Charging And Discharging Dispatching Strategy For Electric Vehicles</t>
  </si>
  <si>
    <t>Yong W., Haihong B., Chunning W.</t>
  </si>
  <si>
    <t>Open Fuels and Energy Science Journal</t>
  </si>
  <si>
    <t>10.2174/1876973X01508010176</t>
  </si>
  <si>
    <t>The popularity of electric vehicles may lead to negative effects on the power system if the charging procedures of plug-in electric vehicles (PEVs) are uncoordinated. In order to solve the problem, the hierarchical and zonal dispatching architecture and a new bi-level optimization model are respectively presented for the charging/discharging schedules of the PEVs. The upper level model is devoted to minimizing the system load variance so as to implement peak load shifting by optimizing the dispatching plan of all periods for each electric vehicle aggregator (EVA), and the lower one is aimed at tracing the dispatching scheme determined by the upper decision-maker through presenting an optimal schedule of charging and discharging for electric vehicles in the charging areas. Two highly efficient commercial solvers, AMPL/IPOPT and AMPL/CPLEX respectively, are employed to solve the developed optimization problem. Finally, the testing IEEE system consisting of 5 agents and 30 nodes is adopted to illustrate the characteristics of the model and solving method presented in this paper. © 2015, Yong et al.; Licensee Bentham Open.</t>
  </si>
  <si>
    <t>Centralized Bi-Level Spatial-Temporal Coordination Charging Strategy For Area Electric Vehicles</t>
  </si>
  <si>
    <t>L Yu, T Zhao, Q Chen, J Zhang</t>
  </si>
  <si>
    <t>Deploying Public Charging Stations For Electric Vehicles On Urban Road Networks</t>
  </si>
  <si>
    <t>F He, Y Yin, J Zhou</t>
  </si>
  <si>
    <t>Stochastic Multiperiod Decision Making Framework Of An Electricity Retailer Considering Aggregated Optimal Charging And Discharging Of Electric Vehicles</t>
  </si>
  <si>
    <t>A Badri, K Hoseinpour Lonbar</t>
  </si>
  <si>
    <t>Decentralized Optimal Scheduling For Charging And Discharging Of Plug-In Electric Vehicles In Smart Grids</t>
  </si>
  <si>
    <t>H Xing, M Fu, Z Lin, Y Mou</t>
  </si>
  <si>
    <t>Sustainability Si: Optimal Prices Of Electricity At Public Charging Stations For Plug-In Electric Vehicles</t>
  </si>
  <si>
    <t>F He, Y Yin, J Wang, Y Yang</t>
  </si>
  <si>
    <t>Networks and Spatial Economics</t>
  </si>
  <si>
    <t>10.1007/s11067-013-9212-8</t>
  </si>
  <si>
    <t>Optimal Deployment Of Charging Lanes For Electric Vehicles In Transportation Networks</t>
  </si>
  <si>
    <t>Z Chen, F He, Y Yin</t>
  </si>
  <si>
    <t>Location Design Of Electric Vehicle Charging Facilities: A Path-Distance Constrained Stochastic User Equilibrium Approach</t>
  </si>
  <si>
    <t>Jing, Wentao(1); An, Kun(1); Ramezani, Mohsen(2); Kim, Inhi(1)</t>
  </si>
  <si>
    <t>10.1155/2017/4252946</t>
  </si>
  <si>
    <t>Location of public charging stations, range limit, and long battery-charging time inevitably affect drivers' path choice behavior and equilibrium flows of battery electric vehicles (BEVs) in a transportation network. This study investigates the effect of the location of BEVs public charging facilities on a network with mixed conventional gasoline vehicles (GVs) and BEVs. These two types of vehicles are distinguished from each other in terms of travel cost composition and distance limit. A bilevel model is developed to address this problem. In the upper level, the objective is to maximize coverage of BEV flows by locating a given number of charging stations on road segments considering budget constraints. A mixed-integer nonlinear program is proposed to formulate this model. A simple equilibrium-based heuristic algorithm is developed to obtain the solution. Finally, two numerical tests are presented to demonstrate applicability of the proposed model and feasibility and effectiveness of the solution algorithm. The results demonstrate that the equilibrium traffic flows are affected by charging speed, range limit, and charging facilities' utility and that BEV drivers incline to choose the route with charging stations and less charging time. © 2017 Wentao Jing et al.</t>
  </si>
  <si>
    <t>Traffic Equilibrium And Charging Facility Locations For Electric Vehicles</t>
  </si>
  <si>
    <t>H Zheng, X He, Y Li, S Peeta</t>
  </si>
  <si>
    <t>10.1007/s11067-016-9332-z</t>
  </si>
  <si>
    <t>Electric Vehicles Charging Infrastructure Location: A Genetic Algorithm Approach</t>
  </si>
  <si>
    <t>D Efthymiou, K Chrysostomou…</t>
  </si>
  <si>
    <t>10.1007/s12544-017-0239-7</t>
  </si>
  <si>
    <t>Admm-Based Multiperiod Optimal Power Flow Considering Plug-In Electric Vehicles Charging</t>
  </si>
  <si>
    <t>H Fan, C Duan, CK Zhang, L Jiang…</t>
  </si>
  <si>
    <t>High Efficient Valley-Filling Strategy For Centralized Coordinated Charging Of Large-Scale Electric Vehicles</t>
  </si>
  <si>
    <t>L Jian, Y Zheng, Z Shao</t>
  </si>
  <si>
    <t>A Hierarchical Game Theoretical Approach For Energy Management Of Electric Vehicles And Charging Stations In Smart Grids</t>
  </si>
  <si>
    <t>Shakerighadi B., Anvari-Moghaddam A., Ebrahimzadeh E., Blaabjerg F., Bak C.L.</t>
  </si>
  <si>
    <t>10.1109/ACCESS.2018.2878903</t>
  </si>
  <si>
    <t>By the proliferation of electric vehicles (EVs) in power systems, it is needed to manage their demand energy within a regulated market framework. From the market perspective, integration of different market players, such as the energy producers, aggregators, and loads, could complicate the system operation and management. Therefore, an appropriate model of the market that shows the exact behavior of the system components is needed. In this paper, a new tri-level game theoretical approach for energy management of EVs and EV charging stations (EVCSs) as independent decision makers for their energy scenarios is proposed. To make it practical for a real power system, the system operator is also included in the proposed method as a master decision maker. Therefore, EVs' and EVCSs' objectives are to maximize their financial profits, while the system operator indirectly controls their energy scenarios in order to fulfill the system's technical constraints. To do so, at the highest level of the proposed method, technical goals of the system, which are related to the system operational condition, will be followed as the objective criteria. At the second level of the designed model, the EVCSs financial objectives are optimized. In the third level of the proposed method, it is tried to minimize the EVs' cost function. The method is tested on an IEEE 9-bus standard system, and the results show a superior performance of the proposed energy management system (EMS) compared with the conventional EMS methods in terms of technical and financial objectives. In this way, it is shown that in the case of considering only one aspect of the system, either financial or technical, the other aspects of the system may not be satisfied. Hence, it is essential to consider both the financial and technical aspects of the system simultaneously, in order to operate the system optimally and securely. © 2013 IEEE.</t>
  </si>
  <si>
    <t>Bao Y., Luo Y., Zhang W., Huang M., Wang L.Y., Jiang J.</t>
  </si>
  <si>
    <t>He J., Yang H., Tang T.-Q., Huang H.-J.</t>
  </si>
  <si>
    <t>Network Security-Aware Charging Of Electric Vehicles</t>
  </si>
  <si>
    <t>A Tian, W Li, Z Li, Y Sun</t>
  </si>
  <si>
    <t>A Hierarchical Dispatch Model For Optimizing Real‐Time Charging And Discharging Strategy Of Electric Vehicles</t>
  </si>
  <si>
    <t>Q Zhang, H Liu, C Li</t>
  </si>
  <si>
    <t>10.1002/tee.22599</t>
  </si>
  <si>
    <t>Optimising Route Choices For The Travelling And Charging Of Battery Electric Vehicles By Considering Multiple Objectives</t>
  </si>
  <si>
    <t>Y Wang, J Bi, W Guan, X Zhao</t>
  </si>
  <si>
    <t>A Two-Layer Model For Dynamic Pricing Of Electricity And Optimal Charging Of Electric Vehicles Under Price Spikes</t>
  </si>
  <si>
    <t>V Subramanian, TK Das</t>
  </si>
  <si>
    <t>An Integrated Planning Strategy For A Power Network And The Charging Infrastructure Of Electric Vehicles For Power System Resilience Enhancement</t>
  </si>
  <si>
    <t>F Yao, J Wang, F Wen, CL Tseng, X Zhao, Q Wang</t>
  </si>
  <si>
    <t>Determining Optimal Deployment Of Electric Vehicles Charging Stations: Case Of Tunis City, Tunisia</t>
  </si>
  <si>
    <t>S Bouguerra, SB Layeb</t>
  </si>
  <si>
    <t>Case Studies on Transport Policy</t>
  </si>
  <si>
    <t>Optimal Locations Of Us Fast Charging Stations For Long-Distance Trip Completion By Battery Electric Vehicles</t>
  </si>
  <si>
    <t>Y He, KM Kockelman, KA Perrine</t>
  </si>
  <si>
    <t>Designing Locations And Capacities For Charging Stations To Support Intercity Travel Of Electric Vehicles: An Expanded Network Approach</t>
  </si>
  <si>
    <t>C Wang, F He, X Lin, ZJM Shen, M Li</t>
  </si>
  <si>
    <t>Coordinated Charging Scheduling Of Electric Vehicles: A Mixed-Variable Differential Evolution Approach</t>
  </si>
  <si>
    <t>WL Liu, YJ Gong, WN Chen, Z Liu…</t>
  </si>
  <si>
    <t>Application Of Lagrange Relaxation To Decentralized Optimization Of Dispatching A Charging Station For Electric Vehicles</t>
  </si>
  <si>
    <t>S Cheng, Y Feng, X Wang</t>
  </si>
  <si>
    <t>Optimal Charging Management And Infrastructure Planning For Free-Floating Shared Electric Vehicles</t>
  </si>
  <si>
    <t>MS Roni, Z Yi, JG Smart</t>
  </si>
  <si>
    <t>Stochastic-Based Optimal Charging Strategy For Plug-In Electric Vehicles Aggregator Under Incentive And Regulatory Policies Of Dso</t>
  </si>
  <si>
    <t>B Hashemi, M Shahabi…</t>
  </si>
  <si>
    <t>Distributed Electric Vehicles Charging Management With Social Contribution Concept</t>
  </si>
  <si>
    <t>A Alsabbagh, H Yin, C Ma</t>
  </si>
  <si>
    <t>Optimal Placement Of Freight Electric Vehicles Charging Stations And Their Impact On The Power Distribution Network</t>
  </si>
  <si>
    <t>Charging Demand Of Plug-In Electric Vehicles: Forecasting Travel Behavior Based On A Novel Rough Artificial Neural Network Approach</t>
  </si>
  <si>
    <t>H Jahangir, H Tayarani, A Ahmadian, MA Golkar…</t>
  </si>
  <si>
    <t>Zeng, Bo; Dong, Houqi; Sioshansi, Ramteen; Xu, Fuqiang; Zeng, Ming</t>
  </si>
  <si>
    <t>We develop a bilevel model, which captures strategic decision making by plug-in electric vehicle (PEV) owners, to optimize the design of a PEV charging station with distributed energy resources. The upper level of the model determines the optimal configuration of the station and pricing schemes, whereas the lower level captures charging decisions by PEV owners. A robust formulation is employed to capture uncertain wholesale energy prices, renewable resource availability, and PEV flows. The resulting bilevel robust optimization model is transformed into an equivalent single-level optimization problem by replacing the lower level problem with Karush-Kuhn-Tucker optimality conditions. A column-and-constraint-generation algorithm is used to solve the resultant single-level problem. Results from a realistic case study and a parameter analysis demonstrate the effectiveness of the proposed model in capturing the impacts of uncertainty and self-interested behavior by PEV owners.</t>
  </si>
  <si>
    <t>Optimal Service Pricing And Charging Scheduling Of An Electric Vehicle Sharing System</t>
  </si>
  <si>
    <t>Xie, Rui; Wei, Wei; Wui, Qiuwei; Ding, Tao; Mei, Shengwei</t>
  </si>
  <si>
    <t>10.1109/TVT.2019.2950402</t>
  </si>
  <si>
    <t>Electric vehicles (EVs) has tiny environmental impact and will constitute a major mean of urban transportation in the future. Shared EV is quickly becoming a new business model under the sharing economy initiatives, providing easy access for commuters who possess no private cars. In this paper, we consider a carsharing company that owns EVs and some parking lots. Passengers can hire an EV at one parking lot and drive it to another one and pay for the service at a certain price determined by the company. A dedicated EV mobility model is proposed to capture the spatial transportation of energy without tracking every single vehicle. Price elasticity is described by a linear demand-price function. The company schedules the aggregated charging of unoccupied EVs in each parking lot, aiming at maximizing the total profit. Parking lots possess relatively large capacity and have to participate in a distribution power market; energy consumption is paid at the locational marginal price. The decision-making problem of the company is formulated as a bilevel program. The lower level simulates the distribution market clearing, and the upper level represents the pricing and charging scheduling problem faced by the company. Starting from a global polyhedral approximation of the power flow model, we develop an equivalent mixed-integer program based on primal-dual optimality condition and integer algebra technique, together with a warm-start strategy which accelerates computation remarkably. Case studies demonstrate that the proposed business model can reshape the load profile by shaving the peaking and filling the valley without harming the profit of the company.</t>
  </si>
  <si>
    <t>Optimal Day-Ahead Charging And Frequency Reserve Scheduling Of Electric Vehicles Considering The Regulation Signal Uncertainty</t>
  </si>
  <si>
    <t>Cui, Yan; Hu, Zechun; Luo, Haocheng</t>
  </si>
  <si>
    <t>10.1109/TIA.2020.2976839</t>
  </si>
  <si>
    <t>With large-scale integration of intermittent renewable energy sources (RESs), power systems need more ancillary services to guarantee system stability and security. When properly managed, large-scale electric vehicles (EVs), whose markets have been growing rapidly in recently years, can provide frequency regulation service for power systems, benefiting both EVs and the grid. However, interests balance between different parties and regulation signals uncertainty are not well considered when deploying EVs to provide regulation services in previous studies. In this article, a leader-follower game is proposed for individual EVs and their aggregator to determine optimal day-ahead charging and frequency reserve scheduling considering regulation signals uncertainty. Acting as the leader in the game, the EV aggregator prices for its charging service and offers for regulation service to encourage EVs' participation. EVs act as price-takers and aim at achieving a tradeoff between costs from electricity consumption and revenues from providing regulation service through an aggregative game. The proposed leader-follower game is then converted to a bilevel optimization problem, which can be solved by introducing an aggregate EV model. Furthermore, for the sake of privacy protection, a distributed approach is designed for EVs to optimize their scheduling. Case studies with the proposed scheduling model are carried out to demonstrate its effectiveness.</t>
  </si>
  <si>
    <t>Ali, Abdelfatah; Mahmoud, Karar; Lehtonen, Matti</t>
  </si>
  <si>
    <t>Worldwide, the hosting capacity of renewable energy sources (RES) is remarkably expanded in distribution systems. One of the most auspicious RES is wind turbine systems (WTSs), which can improve the performance of distribution systems. In turn, the integration of high WTS penetrations can also deviate the system operation away from the standard condition. To tackle this issue, we propose a method for enhancing the hosting capacity of multiple WTSs considering their intermittent generations in distribution systems. The proposed method considers the operation of the on-load tap changer (OLTC), allowing to solve voltage problems efficiently. Especially, the proposed method optimises the charging/discharging power of electric vehicles (EVs), which can contribute positively to regulating WTS intermittent generation. Additionally, the reactive power support of WTSs, complying with the IEEE 1547:2018 standard, is incorporated in the planning model of WTSs. To solve such an optimisation problem, a bi-level optimisation algorithm is developed based on the gravitational search algorithm. Comprehensive simulation results are performed on the 69-bus distribution feeder interconnected to four EV stations. Based on the results, the proposed approach can efficiently enhance/increase the hosting capacity of WTSs in distribution systems, thanks to the consideration of OLTC, reactive power support of WTSs and EVs.</t>
  </si>
  <si>
    <t>Resiliency-Oriented Islanding Of Distribution Network In The Presence Of Charging Stations For Electric Vehicles</t>
  </si>
  <si>
    <t>Alizadeh M., Jafari-Nokandi M., Shahabi M.</t>
  </si>
  <si>
    <t>International Transactions on Electrical Energy Systems</t>
  </si>
  <si>
    <t>10.1002/2050-7038.12670</t>
  </si>
  <si>
    <t>Background: Fast Charging Stations (FCSs) for Plug-in Electric Vehicles (PEVs) can affect the performance of distribution networks due to high charging demand of a large number of PEVs. Aims: To reduce negative impacts of FCSs, the interactions between transportation and distribution networks must be taken into account in decision-making models. This paper proposes an optimization model to increase the resiliency of the distribution network after occurring severe events considering the availability of FCSs. Materials &amp; Methods: A new bi-level optimization model is proposed, the lower level of which determines the dynamic charging demand of the in-service FCSs according to the transportation network. At the upper-level problem, the charging demand of the in-service FCSs are considered as electrical loads for the distribution network, and the resiliency-oriented restoration problem determines the optimal boundaries of the islands with the aim of maximizing the recovered loads. Results: The proposed model is implemented in the 118-bus distribution network coupled with a 21-node transportation network through FCSs. Discussion: The simulation results show that in general, the presence of FCSs reduces the resiliency of the distribution network. Conclusion: However, the proposed model can reduce the negative effects of the FCSs and improve the load restoration of the distribution network while meeting the charging demand of PEVs. © 2020 John Wiley &amp; Sons Ltd</t>
  </si>
  <si>
    <t>Zhao Y., Guo Y., Guo Q., Zhang H., Sun H.</t>
  </si>
  <si>
    <t>Optimal Location Of Fast Charging Stations For Mixed Traffic Of Electric Vehicles And Gasoline Vehicles Subject To Elastic Demands</t>
  </si>
  <si>
    <t>Gao H., Liu K., Peng X., Li C.</t>
  </si>
  <si>
    <t>10.3390/en13081964</t>
  </si>
  <si>
    <t>With the rapid development of electric vehicles (EVs), one of the urgent issues is how to deploy limited charging facilities to provide services for as many EVs as possible. This paper proposes a bilevel model to depict the interaction between traffic flow distribution and the location of charging stations (CSs) in the EVs and gasoline vehicles (GVs) hybrid network. The upper level model is a maximum flow-covering model where the CSs are deployed on links with higher demands. The lower level model is a stochastic user equilibrium model under elastic demands (SUE-ED) that considers both demands uncertainty and perceived path constraints, which have a significant influence on the distribution of link flow. Besides the path travel cost, the utility of charging facilities, charging speed, and waiting time at CSs due to space capacity restraint are also considered for the EVs when making a path assignment in the lower level model. A mixed-integer nonlinear program is constructed, and the equivalence of SUE-ED is proven, where a heuristic algorithm is used to solve the model. Finally, the network trial and sensitivity analysis are carried out to illustrate the feasibility and effectiveness of the proposed model. © 2020 by the authors. Licensee MDPI, Basel, Switzerland. This article is an open access article distributed under the terms and conditions of the Creative Commons Attribution (CC BY) license (http://creativecommons.org/licenses/by/4.0/).</t>
  </si>
  <si>
    <t>Optimal Charging Facility Location And Capacity For Electric Vehicles Considering Route Choice And Charging Time Equilibrium</t>
  </si>
  <si>
    <t>R Chen, X Qian, L Miao, SV Ukkusuri</t>
  </si>
  <si>
    <t>Computers &amp;Operations Research</t>
  </si>
  <si>
    <t>Integrated Planning Of Static And Dynamic Charging Infrastructure For Electric Vehicles</t>
  </si>
  <si>
    <t>X Sun, Z Chen, Y Yin</t>
  </si>
  <si>
    <t>Electric Vehicles In A Smart Grid: A Comprehensive Survey On Optimal Location Of Charging Station</t>
  </si>
  <si>
    <t>IET Smart Grid</t>
  </si>
  <si>
    <t>10.1049/iet-stg.2019.0220</t>
  </si>
  <si>
    <t>Optimal Positioning Of Dynamic Wireless Charging Infrastructure In A Road Network For Battery Electric Vehicles</t>
  </si>
  <si>
    <t>H Ngo, A Kumar, S Mishra</t>
  </si>
  <si>
    <t>Admm-Based Coordination Of Electric Vehicles In Constrained Distribution Networks Considering Fast Charging And Degradation</t>
  </si>
  <si>
    <t>X Zhou, S Zou, P Wang, Z Ma</t>
  </si>
  <si>
    <t>A Review Of Strategic Charging–Discharging Control Of Grid-Connected Electric Vehicles</t>
  </si>
  <si>
    <t>TU Solanke, VK Ramachandaramurthy, JY Yong…</t>
  </si>
  <si>
    <t>Mobile Charging: A Novel Charging System For Electric Vehicles In Urban Areas</t>
  </si>
  <si>
    <t>Y Zhang, X Liu, W Wei, T Peng, G Hong, C Meng</t>
  </si>
  <si>
    <t>Joint Deployment Of Charging Stations And Photovoltaic Power Plants For Electric Vehicles</t>
  </si>
  <si>
    <t>Z Luo, F He, X Lin, J Wu, M Li</t>
  </si>
  <si>
    <t>Machine Learning-Based Management Of Electric Vehicles Charging: Towards Highly-Dispersed Fast Chargers</t>
  </si>
  <si>
    <t>M Shibl, L Ismail, A Massoud</t>
  </si>
  <si>
    <t>Fuzzy Logic Weight Based Charging Scheme For Optimal Distribution Of Charging Power Among Electric Vehicles In A Parking Lot</t>
  </si>
  <si>
    <t>S Hussain, MA Ahmed, KB Lee, YC Kim</t>
  </si>
  <si>
    <t>Review Of Positive And Negative Impacts Of Electric Vehicles Charging On Electric Power Systems</t>
  </si>
  <si>
    <t>M Nour, JP Chaves-Ávila, G Magdy…</t>
  </si>
  <si>
    <t>Optimal Charging Strategy For Electric Vehicles In Residential Charging Station Under Dynamic Spike Pricing Policy</t>
  </si>
  <si>
    <t>L Gong, W Cao, K Liu, J Zhao</t>
  </si>
  <si>
    <t>Comparison Between Inflexible And Flexible Charging Of Electric Vehicles—A Study From The Perspective Of An Aggregator</t>
  </si>
  <si>
    <t>I Gomes, R Melicio, V Mendes</t>
  </si>
  <si>
    <t>Distributed Electric Vehicles Charging Management Considering Time Anxiety And Customer Behaviors</t>
  </si>
  <si>
    <t>A Alsabbagh, B Wu, C Ma</t>
  </si>
  <si>
    <t>Charging Cost Minimisation By Centralised Controlled Charging Of Electric Vehicles</t>
  </si>
  <si>
    <t>H Patil, VN Kalkhambkar</t>
  </si>
  <si>
    <t>10.1002/2050-7038.12226</t>
  </si>
  <si>
    <t>Coupled Charging-And-Driving Incentives Design For Electric Vehicles In Urban Networks</t>
  </si>
  <si>
    <t>B Sohet, Y Hayel, O Beaude…</t>
  </si>
  <si>
    <t>Optimal Charging And Routing Of Electric Vehicles With Power Constraints And Time-Of-Use Energy Prices</t>
  </si>
  <si>
    <t>G Ferro, M Paolucci, M Robba</t>
  </si>
  <si>
    <t>Internet Of Smart Charging Points With Photovoltaic Integration: A High-Efficiency Scheme Enabling Optimal Dispatching Between Electric Vehicles And Power Grids</t>
  </si>
  <si>
    <t>Y Shang, M Liu, Z Shao, L Jian</t>
  </si>
  <si>
    <t>A Review On Charging Behavior Of Electric Vehicles: Data, Model, And Control</t>
  </si>
  <si>
    <t>QS Jia, T Long</t>
  </si>
  <si>
    <t>Control Theory and Technology</t>
  </si>
  <si>
    <t>10.1007/s11768-020-0048-8</t>
  </si>
  <si>
    <t>Intelligent Charging Management Of Electric Vehicles Considering Dynamic User Behavior And Renewable Energy: A Stochastic Game Approach</t>
  </si>
  <si>
    <t>HM Chung, S Maharjan, Y Zhang…</t>
  </si>
  <si>
    <t>Hierarchical Coupled Driving-And-Charging Model Of Electric Vehicles, Stations And Grid Operators</t>
  </si>
  <si>
    <t>Sohet, Benoit; Hayel, Yezekael; Beaude, Olivier; Jeandin, Alban</t>
  </si>
  <si>
    <t>10.1109/TSG.2021.3107896</t>
  </si>
  <si>
    <t>The decisions of operators from both the transportation and the electrical systems are coupled due to Electric Vehicles' (EVs) actions. Thus, decision-making requires a model of several interdependent operators and of EVs' both driving and charging behaviors. Such a model is suggested for the electrical system in the context of commuting, which has a typical trilevel structure. At the lower level of the model, a congestion game between different types of vehicles gives which driving paths and charging stations (or hubs) commuters choose, depending on travel duration and energy consumption costs. At the middle level, a Charging Service Operator sets the charging prices at the hubs to maximize the difference between EV charging revenues and electricity supplying costs. These costs directly depend on the supplying contract chosen by the Electrical Network Operator at the upper level of the model, whose goal is to reduce grid costs. This trilevel optimization problem is solved using an optimistic iterative algorithm and simulated annealing. The sensitivity of this trilevel model to exogenous parameters such as the EV penetration and an incentive from a transportation operator is illustrated on realistic urban networks. This model is compared to a standard bilevel model in the literature (only one operator).</t>
  </si>
  <si>
    <t>Optimal Locations And Electricity Prices For Dynamic Wireless Charging Links Of Electric Vehicles For Sustainable Transportation</t>
  </si>
  <si>
    <t>H Liu, Y Zou, Y Chen, J Long</t>
  </si>
  <si>
    <t>Joint Optimization For Coordinated Charging Control Of Commercial Electric Vehicles Under Distributed Hydrogen Energy Supply</t>
  </si>
  <si>
    <t>T Long, QS Jia</t>
  </si>
  <si>
    <t>Joint Planning Of A Distribution System And A Charging Network For Electric Vehicles</t>
  </si>
  <si>
    <t>H Ren, Q Deng, F Wen, J Du, P Yu…</t>
  </si>
  <si>
    <t>10.1061/%28ASCE%29EY.1943-7897.0000734</t>
  </si>
  <si>
    <t>Hierarchical Voltage Control Strategy In Distribution Networks Considering Customized Charging Navigation Of Electric Vehicles</t>
  </si>
  <si>
    <t>X Sun, J Qiu</t>
  </si>
  <si>
    <t>Optimal Station Locations For En-Route Charging Of Electric Vehicles In Congested Intercity Networks: A New Problem Formulation And Exact And Approximate Partitioning …</t>
  </si>
  <si>
    <t>Z Bao, C Xie</t>
  </si>
  <si>
    <t>Optimal Allocation Of Electric Vehicles Charging Infrastructure, Policies And Future Trends</t>
  </si>
  <si>
    <t>RS Gupta, A Tyagi, S Anand</t>
  </si>
  <si>
    <t>A Coordinated Charging Scheduling Of Electric Vehicles Considering Optimal Charging Time For Network Power Loss Minimization</t>
  </si>
  <si>
    <t>M Usman, WUK Tareen, A Amin, H Ali, I Bari, M Sajid…</t>
  </si>
  <si>
    <t>An Optimal Management For Charging And Discharging Of Electric Vehicles In An Intelligent Parking Lot Considering Vehicle Owner's Random Behaviors</t>
  </si>
  <si>
    <t>M Alinejad, O Rezaei, A Kazemi, S Bagheri</t>
  </si>
  <si>
    <t>Optimal Coordinated Charging And Routing Scheme Of Electric Vehicles In Distribution Grids: Real Grid Cases</t>
  </si>
  <si>
    <t>VS Kasani, D Tiwari, MR Khalghani, SK Solanki…</t>
  </si>
  <si>
    <t>Nonparametric Preventive/Corrective Voltage Stability Enhancement Of Active Distribution Systems With Integrated Electric Vehicles Charging Facilities</t>
  </si>
  <si>
    <t>S Nejadfard-jahromi, M Mohammadi…</t>
  </si>
  <si>
    <t>Blockchain-Based Peer-To-Peer Energy Trading And Charging Payment System For Electric Vehicles</t>
  </si>
  <si>
    <t>PW Khan, YC Byun</t>
  </si>
  <si>
    <t>Bidirectional Smart Charging Of Electric Vehicles Considering User Preferences, Peer To Peer Energy Trade, And Provision Of Grid Ancillary Services</t>
  </si>
  <si>
    <t>A Al-Obaidi, H Khani, HEZ Farag…</t>
  </si>
  <si>
    <t>Review Of Renewable Energy-Based Charging Infrastructure For Electric Vehicles</t>
  </si>
  <si>
    <t>G Alkawsi, Y Baashar, D Abbas U, AA Alkahtani…</t>
  </si>
  <si>
    <t>10.3390/app11093847</t>
  </si>
  <si>
    <t>Routing Optimization Of Electric Vehicles For Charging With Event-Driven Pricing Strategy</t>
  </si>
  <si>
    <t>Y Xiang, J Yang, X Li, C Gu…</t>
  </si>
  <si>
    <t>Intelligent Charging Control Of Power Aggregator For Electric Vehicles Using Optimal Control</t>
  </si>
  <si>
    <t>Integration Of Virtual Resistor In Charging Control System Of Electric Vehicles To Mitigate The Harmonic Issues At Power Grid Side</t>
  </si>
  <si>
    <t>AS Alghamdi</t>
  </si>
  <si>
    <t>S2na‐Geo Method–Based Charging Strategy Of Electric Vehicles To Mitigate The Volatility Of Renewable Energy Sources</t>
  </si>
  <si>
    <t>R Ilango, P Rajesh, FH Shajin</t>
  </si>
  <si>
    <t>10.1002/2050-7038.13125</t>
  </si>
  <si>
    <t>A Novel Underfill-Soc Based Charging Pricing For Electric Vehicles In Smart Grid</t>
  </si>
  <si>
    <t>J Lin, B Xiao, H Zhang, X Yang, P Zhao</t>
  </si>
  <si>
    <t>A Systematic Review Of Charging Infrastructure Location Problem For Electric Vehicles</t>
  </si>
  <si>
    <t>RC Majhi, P Ranjitkar, M Sheng, GA Covic…</t>
  </si>
  <si>
    <t>10.1080/01441647.2020.1854365</t>
  </si>
  <si>
    <t>Public Charging Station Location Determination For Electric Ride-Hailing Vehicles Based On An Improved Genetic Algorithm</t>
  </si>
  <si>
    <t>J Li, Z Liu, X Wang</t>
  </si>
  <si>
    <t>Chen, Shibo; Feng, Shanshan; Guo, Zhenwei; Yang, Zaiyue</t>
  </si>
  <si>
    <t>We study the competitive pricing problem of electric vehicle charging station (EVCS). The EVCS determines its optimal pricing strategy considering the competition from the other EVCS and the impact of charging loads on the distribution locational marginal price (DLMP) of the power network. A trilevel optimization model is proposed, where the upper and middle level capture the profit maximization problems of this EVCS and its competitor respectively, while the lower level represents the optimal power flow problem of distribution network. Due to its computational challenge, this model is reformulated into a single level one, and their equivalence is rigorously proved. Furthermore, we develop an exact algorithm to achieve the global optimal solution, and also prove its finite convergence. Finally, numerical results validate our trilevel model and exact algorithm, and demonstrate their merits in increasing profits for the EVCS.</t>
  </si>
  <si>
    <t>Deploying Public Charging Stations For Battery Electric Vehicles On The Expressway Network Based On Dynamic Charging Demand</t>
  </si>
  <si>
    <t>Zhang, Tian-Yu; Yang, Yang; Zhu, Yu-Ting; Yao, En-Jian; Wu, Ke-Qi</t>
  </si>
  <si>
    <t>10.1109/TTE.2022.3141208</t>
  </si>
  <si>
    <t>There is an obvious gap between the rapid growth of battery electric vehicle (BEV) intercity travel demand and the worse deployment of charging facilities on the expressway network. With the consideration of dynamic charging demand, a bilevel model is proposed to deploy charging stations for the expressway network. The upper model aims at determining the location of charging stations and the number of chargers in each station to minimize the construction cost and total BEV travel cost. The dynamic charging demand is obtained by the lower model, which is constructed as a multiclass dynamic traffic assignment model, including charging, queuing, and flow transmission processes. A genetic algorithm incorporating the method of successive averages is adopted to solve the bilevel model. A real case in the Shandong province of China is employed to evaluate the effectiveness of the proposed model and algorithm. The sensitivity analyses show that a high level of charging service can encourage the usage of BEVs. In addition, when the BEV percentage is at a low level, planners should give priority to the quantity and location to expand charging service coverage and BEV's travel range; then, with the increasing of BEV percentage, the construction emphasis should change to charging station's capacity.</t>
  </si>
  <si>
    <t>Li K., Shao C., Zhang H., Wang X.</t>
  </si>
  <si>
    <t>Electric vehicles (EVs) are developing at a rapid pace. The EV charging station (EVCS) plays an indispensable role in supplying EV charging demand and promoting the transportation electrification. This work proposes a pricing method to maximize the profit of EVCS owners, charging service providers. First, the tri-level pricing framework is established where EVCSs set charging prices at the upper level, EVs make route and charging options at the middle level, and the electricity price is cleared in power distribution network at the lower level. Second, the singlelevel optimal pricing model is established with traffic flow assigned, power generation scheduled and electricity price explicitly contained via KKT conditions. The proposed model considers the impact of EVCS configuration on traffic assignment and pricing strategy. The operation risk brought by uncertainties is managed via Conditional value at risk. Third, a decomposition solution algorithm is proposed, which tackles the computational burdens and overcomes the infeasibility of existing algorithms. Finally, the real-world urban network-based case studies verify the effectiveness and merits of the proposed method. IEEE</t>
  </si>
  <si>
    <t>Operation Management Of Electric Vehicle Battery Swapping And Charging Systems: A Bilevel Optimization Approach</t>
  </si>
  <si>
    <t>Li B., Xie K., Zhong W., Huang X., Wu Y., Xie S.</t>
  </si>
  <si>
    <t>10.1109/TITS.2022.3211883</t>
  </si>
  <si>
    <t>This paper studies optimal day-ahead scheduling of a battery swapping and charging system (BSCS) for electric vehicles (EVs) from a new perspective of multiple decision makers. It is considered that the BSCS locally incorporates the battery swapping and charging processes, and the two processes are managed by two operators, called a battery swapping operator (BSO) and a battery charging operator (BCO), respectively. Our main contribution is to propose a bilevel model where the BSO acts as the leader to receive and serve the battery swapping requests from EV users, and the BCO acts as the follower to interact with the grid and control battery charging and discharging power. We reformulate the bilevel optimization problem into an equivalent single-level problem that is a nonconvex mixed-integer nonlinear program (MINLP), and its size can easily become very large. To solve the problem efficiently, we develop a new heuristic composed of two parts, i.e., an estimation of the integer solution and an algorithm based on the alternating direction method (ADM). The results show that the proposed heuristic performs well in solving large-scale problems, providing close-to-optimal solutions quickly. In addition, compared to a social welfare maximization model that follows most existing related works, the proposed bilevel model can increase the number of swapped-out batteries by 35% and the batteries&amp;#x2019; average energy state by 6%, improving the quality of battery swapping services. IEEE</t>
  </si>
  <si>
    <t>Public Charging Station Localization And Route Planning Of Electric Vehicles Considering The Operational Strategy: A Bi-Level Optimizing Approach</t>
  </si>
  <si>
    <t>Bi-Level Framework For Microgrid Capacity Planning Under Dynamic Wireless Charging Of Electric Vehicles</t>
  </si>
  <si>
    <t>Z Zhou, Z Liu, H Su, L Zhang</t>
  </si>
  <si>
    <t>Charging And Discharging Of Electric Vehicles In Power Systems: An Updated And Detailed Review Of Methods, Control Structures, Objectives, And Optimization …</t>
  </si>
  <si>
    <t>S Aghajan-Eshkevari, S Azad, M Nazari-Heris…</t>
  </si>
  <si>
    <t>Transportation Systems Management Considering Dynamic Wireless Charging Electric Vehicles: Review And Prospects</t>
  </si>
  <si>
    <t>Z Tan, F Liu, HK Chan, HO Gao</t>
  </si>
  <si>
    <t>Optimal Allocation Of Dynamic Wireless Charging Facility For Electric Vehicles</t>
  </si>
  <si>
    <t>RC Majhi, P Ranjitkar, M Sheng</t>
  </si>
  <si>
    <t>A Framework To Analyze The Requirements Of A Multiport Megawatt-Level Charging Station For Heavy-Duty Electric Vehicles</t>
  </si>
  <si>
    <t>P Mishra, E Miller, S Santhanagopalan, K Bennion…</t>
  </si>
  <si>
    <t>Robust Integration Of Electric Vehicles Charging Load In Smart Grid's Capacity Expansion Planning</t>
  </si>
  <si>
    <t>S Aliakbari Sani, O Bahn, E Delage…</t>
  </si>
  <si>
    <t>10.1007/s13235-022-00454-y</t>
  </si>
  <si>
    <t>A Feedback‐Integrated Framework For Resilient And Distributed Scheduling Of Electric Vehicles Under Uncertain Charging Characteristics</t>
  </si>
  <si>
    <t>B Kandpal, A Verma</t>
  </si>
  <si>
    <t>IET Energy Systems Integration</t>
  </si>
  <si>
    <t>10.1049/esi2.12079</t>
  </si>
  <si>
    <t>Optimal Configuration Of Electric Vehicles For Charging Stations Under The Fast Power Supplement Mode</t>
  </si>
  <si>
    <t>X Jiang, L Zhao, Y Cheng, S Wei, Y Jin</t>
  </si>
  <si>
    <t>S2rc: A Multi-Objective Route Planning And Charging Slot Reservation Approach For Electric Vehicles Considering State Of Traffic And Charging Station</t>
  </si>
  <si>
    <t>A Kumar, R Kumar, A Aggarwal</t>
  </si>
  <si>
    <t>Optimization Of Control Strategy For Orderly Charging Of Electric Vehicles In Mountainous Cities</t>
  </si>
  <si>
    <t>L Cai, Q Zhang, N Dai, Q Xu, L Gao, B Shang…</t>
  </si>
  <si>
    <t>Analysis And Prediction Of Charging Behaviors For Private Battery Electric Vehicles With Regular Commuting: A Case Study In Beijing</t>
  </si>
  <si>
    <t>Y Ren, Z Lan, H Yu, G Jiao</t>
  </si>
  <si>
    <t>Mobile Charging Station Placements In Internet Of Electric Vehicles: A Federated Learning Approach</t>
  </si>
  <si>
    <t>L Liu, Z Xi, K Zhu, R Wang…</t>
  </si>
  <si>
    <t>Computational Efficient Approach To Compute A Prediction-Of-Use Tariff For Coordinating Charging Of Plug-In Electric Vehicles Under Uncertainty</t>
  </si>
  <si>
    <t>G Coria, D Romero-Quete, A Romero</t>
  </si>
  <si>
    <t>A Smart Discrete Charging Method For Optimum Electric Vehicles Integration In The Distribution System In Presence Of Demand Response Program</t>
  </si>
  <si>
    <t>M Saeedirad, E Rokrok, M Joorabian</t>
  </si>
  <si>
    <t>Transactive Charging Management Of Electric Vehicles In Office Buildings: A Distributionally Robust Chance-Constrained Approach</t>
  </si>
  <si>
    <t>H Saber, H Ranjbar, M Ehsan…</t>
  </si>
  <si>
    <t>A Fast-Charging Navigation Strategy For Electric Vehicles Considering User Time Utility Differences</t>
  </si>
  <si>
    <t>J Zhong, N Yang, X Zhang, J Liu</t>
  </si>
  <si>
    <t>A Joint Planning Method Of Charging Piles And Charging-Battery Swapping Stations Considering Spatial-Temporal Distribution Of Electric Vehicles</t>
  </si>
  <si>
    <t>L Zhang, R Huo, G Cai, KL Hai, L Lyu…</t>
  </si>
  <si>
    <t>A Comprehensive Review On Electric Vehicles Smart Charging: Solutions, Strategies, Technologies, And Challenges</t>
  </si>
  <si>
    <t>O Sadeghian, A Oshnoei, B Mohammadi-Ivatloo…</t>
  </si>
  <si>
    <t>Fast-Charging Station For Electric Vehicles, Challenges And Issues: A Comprehensive Review</t>
  </si>
  <si>
    <t>A Ghasemi-Marzbali</t>
  </si>
  <si>
    <t>Li J., Liu C., Wang Y., Chen R., Xu X.</t>
  </si>
  <si>
    <t>This paper proposes a scenario optimization based algorithm in order to allocate charging station of plug in electric vehicles (PEVs) within a commercial area with the aim of increasing penetration level of photovoltaic (PV) panels as well as decreasing side effects of vehicular loads. A multivariate stochastic modeling methodology based on the notion of copula is provided in order to develop a probabilistic model of the load demand due to PEVs. The suggested method considers the correlation issue among the related random variables of the PEVs. This model, in addition to the models provided for PV generation and commercial loads, is utilized to construct synthetic data required for the optimal allocation of the station. Considering the prepared scenarios, particle swarm optimization (PSO) algorithm is utilized to minimize energy loss as well as voltage deviation in the distribution system. The proposed methodology has been applied on a test distribution network in order to demonstrate its efficiency in simultaneous integration of vehicular loads and PV generations.</t>
  </si>
  <si>
    <t>10.1016/j.apenergy.2014.04.047</t>
  </si>
  <si>
    <t>Driven by the desire to reduce environmental impacts and achieve energy independence, electric vehicles (EVs) are poised to receive mass acceptance from the general public. However, simultaneously connecting to electric distribution grid and charging with large number of EVs bring the necessity of optimizing the charging and discharging behaviors of EVs, due to the security and economy issue of the grid operation. To address this issue, we propose a novel EV charging model in this paper. The model concerns with following aspects, including optimal power flow (OPF), statistic characteristics of EVs, EV owners’ degree of satisfaction (DoS), and the power grid cost. An improved particle swarm optimization (PSO) algorithm is proposed for the model optimization. To evaluate our proposed optimal EV charging strategy, a 10-bus power distribution system simulation is performed for performance investigation. Simulation results show that the proposed strategy can reduce the operational cost of the power grid considerately, while meeting the EV owner’s driving requirement. Also, better performance on the global search capability and optimal result of the improved particle swarm optimization algorithm is verified.</t>
  </si>
  <si>
    <t>A model was developed for the location of rapid charging stations for electric vehicles (EVs) in urban areas, taking into account the batteries’ state of charge and users’ charging and traveling behaviors. EVs are one means of preparing for the energy crisis and of reducing greenhouse gas emissions. To help relieve range anxiety, an adequate number of EV charging stations must be constructed. Rapid charging stations are needed in urban areas because there is inadequate space for slow-charging equipment. The objective function of the model is to minimize EVs’ travel fail distance and the total travel time of the entire network when the link flow is determined by a user equilibrium assignment. The remaining fuel range (RFR) at the origin node is assumed to follow a probabilistic distribution to reflect users’ charging behavior or technical development. The results indicate that the model described in this paper can identify locations for charging stations by using a probabilistic distribution function for the RFR. The location model, which was developed on the basis of user equilibrium assignment, is likely to consider the congested traffic conditions of urban areas, to avoid locating charging stations where they could cause additional traffic congestion. The proposed model can assist decision makers in developing policies that encourage the use of EVs, and it will be useful in developing an appropriate budget for implementing the plan.</t>
  </si>
  <si>
    <t>10.17775/CSEEJPES.2015.00050</t>
  </si>
  <si>
    <t>Increased penetration of electric vehicles (EVs) is expected to impact power system performance in adverse ways, e.g., overloading, uncertain power quality, and increased voltage fluctuation, particularly at the distribution level. Most EV charging control strategies that have been proposed only benefit the grid or EV users. A centralized EV charging strategy based on bilevel optimization is proposed in this paper with the objectives of deriving benefits for the grid and EV users simultaneously. The proposed strategy involves distributing the EV charging load more beneficially across both spatial and temporal levels. In the spatial problem, the whole fleet of EVs is controlled to minimize load variance as spatial coordination, with total charging rate and energy needed as the constraint. While in the temporal problem, EVs in each aggregator are controlled to minimize the charging cost or maximize the EV user's degree of satisfaction with each aggregator's charging rate and energy needed as the constraint. The proposed bi-level charging strategy is transformed to a single-stage optimization problem and solved using the classical optimization method. The impacts of uncontrolled charging on the grid and EV users are studied using the Monte Carlo Simulation (MCS) method. Then, the effectiveness of the proposed charging strategy is demonstrated via results obtained in the MCS.</t>
  </si>
  <si>
    <t>10.1016/j.trc.2015.08.018</t>
  </si>
  <si>
    <t>This paper explores how to optimally locate public charging stations for electric vehicles on a road network, considering drivers’ spontaneous adjustments and interactions of travel and recharging decisions. The proposed approach captures the interdependency of different trips conducted by the same driver by examining the complete tour of the driver. Given the limited driving range and recharging needs of battery electric vehicles, drivers of electric vehicles are assumed to simultaneously determine tour paths and recharging plans to minimize their travel and recharging time while guaranteeing not running out of charge before completing their tours. Moreover, different initial states of charge of batteries and risk-taking attitudes of drivers toward the uncertainty of energy consumption are considered. The resulting multi-class network equilibrium flow pattern is described by a mathematical program, which is solved by an iterative procedure. Based on the proposed equilibrium framework, the charging station location problem is then formulated as a bi-level mathematical program and solved by a genetic-algorithm-based procedure. Numerical examples are presented to demonstrate the models and provide insights on public charging infrastructure deployment and behaviors of electric vehicles.</t>
  </si>
  <si>
    <t>This paper proposes a novel decision making framework for an electricity retailer to procure its electric demand in a bilateral-pool market in presence of charging and discharging of electric vehicles (EVs). The operational framework is a two-stage programming model in which at the first stage, the retailer and EV aggregator do their medium-term planning. Determination of retailer's optimum selling price and the amount of energy that should be purchased from bilateral contracts are medium-term decisions that are made one month prior to real-time market. At the second stage, market agents deal with their activities in the short-term period. In this stage the retailer may modify its preliminary strategy by means of pool market option, interruptible loads (ILs), self-scheduling and EVs charging and discharging (V2G). Thus, a bi-level programming is introduced in which the upper sub-problem maximizes retailer profit, whereas the lower sub-problem minimizes the aggregated EVs charging and discharging costs. Final decision making is obtained in this stage that may be considered as a day-ahead market, keeping in mind the medium-term decisions. Due to the volatility of pool price and uncertainties associated with the consumers and EVs demand, the proposed framework is a mixed integer nonlinear stochastic optimization problem; therefore, Monte Carlo Simulation (MCS) is applied to solve it. Furthermore, a market quota curve is utilized to model the uncertainty of the rivals and obtaining retailer's actual market share. Finally, a case study is presented in order to show the capability and accuracy of the proposed framework.</t>
  </si>
  <si>
    <t>This paper focuses on the procurement of load shifting service by optimally scheduling the charging and discharging of PEVs in a decentralized fashion. We assume that the energy flow between PEVs and the grid is bidirectional, i.e., PEVs can also release energy back into the grid as distributed generation, which is known as vehicle-to-grid (V2G). The optimal scheduling problem is then formulated as a mixed discrete programming (MDP) problem, which is NP-hard and extremely difficult to solve directly. To get over this difficulty, we propose a solvable approximation of the MDP problem by exploiting the shape feature of the base demand curve during the night, and develop a decentralized algorithm based on iterative water-filling. Our algorithm is decentralized in the sense that the PEVs compute locally and communicate with an aggregator. The advantages of our algorithm include reduction in computational burden and privacy preserving. Simulation results are given to show the performance of our algorithm.</t>
  </si>
  <si>
    <t>10.1109/TPWRS.2015.2507179</t>
  </si>
  <si>
    <t>With an increasing deployment of plug-in electric vehicles, evaluating and mitigating the impacts of additional electrical loads created by these vehicles on power distribution grids become more important. This paper explores the use of prices of electricity at public charging stations as an instrument, in couple of road pricing, to better manage both power distribution and urban transportation networks. More specifically, a multi-class combined distribution and assignment model is formulated to capture the spatial distribution of plug-in electric vehicles across the transportation network and estimate the electrical loads they impose on the power distribution network. Power flow equations are subsequently solved to estimate real power losses. Prices of electricity at public charging stations and road tolls are then optimized to minimize both real power losses in the distribution grid and total travel time in the urban transportation network. The pricing model is formulated as a mathematical program with complementarity constraints and solved by a manifold suboptimization algorithm and a pattern search method. Numerical examples are presented to demonstrate the proposed model and solution algorithms.</t>
  </si>
  <si>
    <t>10.1016/j.trb.2016.05.018</t>
  </si>
  <si>
    <t>Given the rapid development of charging-while-driving technology, we envision that charging lanes for electric vehicles can be deployed in regional or even urban road networks in the future and thus attempt to optimize their deployment in this paper. We first develop a new user equilibrium model to describe the equilibrium flow distribution across a road network where charging lanes are deployed. Drivers of electric vehicles, when traveling between their origins and destinations, are assumed to select routes and decide battery recharging plans to minimize their trip times while ensuring to complete their trips without running out of charge. The battery recharging plan will dictate which charging lane to use, how long to charge and at what speed to operate an electric vehicle. The speed will affect the amount of energy recharged as well as travel time. With the established user equilibrium conditions, we further formulate the deployment of charging lanes as a mathematical program with complementarity constraints. Both the network equilibrium and design models are solved by effective solution algorithms and demonstrated with numerical examples.</t>
  </si>
  <si>
    <t>This study investigates the electric vehicle (EV) traffic equilibrium and optimal deployment of charging locations subject to range limitation. The problem is similar to a network design problem with traffic equilibrium, which is characterized by a bi-level model structure. The upper level objective is to optimally locate charging stations such that the total generalized cost of all users is minimized, where the user’s generalized cost includes two parts, travel time and energy consumption. The total generalized cost is a measure of the total societal cost. The lower level model seeks traffic equilibrium, in which travelers minimize their individual generalized cost. All the utilized paths have identical generalized cost while satisfying the range limitation constraint. In particular, we use origin-based flows to maintain the range limitation constraint at the path level without path enumeration. To obtain the global solution, the optimality condition of the lower level model is added to the upper level problem resulting in a single level model. The nonlinear travel time function is approximated by piecewise linear functions, enabling the problem to be formulated as a mixed integer linear program. We use a modest-sized network to analyze the model and illustrate that it can determine the optimal charging station locations in a planning context while factoring the EV users’ individual path choice behaviours.</t>
  </si>
  <si>
    <t>Introduction. As part of the overall goal of carbon emissions reduction, European cities are expected to encourage the electrification of urban transport. In order to prepare themselves to welcome the increased number of electric vehicles circulating in the city networks in the near future, they are expected to deploy networks of public electric vehicle chargers. The Electric Vehicle Charging Infrastructure Location Problem is an optimization problem that can be approached by linear programming, multi-objective optimization and genetic algorithms. Methods. In the present paper, a genetic algorithm approach is presented. Since data from electric vehicles usage are still scarce, origin - destination data of conventional vehicles are used and the necessary assumptions to predict electric vehicles’ penetration in the years to come are made. The algorithm and a user-friendly tool have been developed in R and tested for the city of Thessaloniki. Results. The results indicate that 15 stations would be required to cover 80% of the estimated electric vehicles charging demand in 2020 in the city of Thessaloniki and their optimal locations to install them are identified. Conclusions. The tool that has been developed based on the genetic algorithm, is open source and freely available to interested users. The approach can be used to allocate charging stations at high-level, i.e. to zones, and the authors encourage its use by local authorities of other cities too, in Greece and worldwide, in order to deploy a plan for installing adequate charging infrastructure to cover future electric vehicles charging demand and reduce the electric vehicle “driver anxiety” (i.e. the driver’s concern of running out of battery) encouraging the widespread adoption of electromobility.</t>
  </si>
  <si>
    <t>10.1109/TPWRS.2017.2784564</t>
  </si>
  <si>
    <t>When plug-in electric vehicles (PEVs) participate in grid operation, the intertemporal feature of PEVs charging transforms the traditional optimal power flow (OPF) problem into multiperiod OPF (MOPF) problem. In the case that the population of PEVs is huge, the large number of variables and constraints renders the centralized solution technique unsuitable to solve the MOPF problem. Therefore, a distributed algorithm based on alternating direction method of multipliers is developed to decompose the MOPF into two update steps that are solved in an alternating and iterative style. To improve the solution efficiency, the second update step is transformed into a Euclidean projection problem by approximating the original objective with a surrogate function. Then, a projection algorithm is utilized to solve the approximate problem. Numerical results show that this reformulated model obtains suboptimal solutions with small relative error, but gains considerable speed-up. Furthermore, its scalability and effectiveness are tested in the 119-bus and 906-bus distribution networks.</t>
  </si>
  <si>
    <t>Journal of Renewable and Sustainable Energy</t>
  </si>
  <si>
    <t>Transportation Research Record: Journal of the Transportation Research Board</t>
  </si>
  <si>
    <t>CSEE Journal of Power and Energy Systems</t>
  </si>
  <si>
    <t>European Transport Research Review</t>
  </si>
  <si>
    <t>10.1016/j.apenergy.2016.10.117</t>
  </si>
  <si>
    <t>With the rapid development of electric vehicles (EVs), the impacts on power grids arising from EV charging have drawn increasing attention worldwide. Uncoordinated charging of large-scale EVs will inevitably elevate load peaks at rush hours, therefore, poses serious challenges to the stability and security of power grid. Coordinated charging is expected to alleviate these negative impacts by utilizing the surplus power in the lower-demand hours with the help of the so-called valley filling algorithm. Nevertheless, when the amount of EVs involved reaches 1 million or above, the complexity of the scheduling method becomes a critical issue. In this paper, a very high efficient valley-filling strategy is proposed. Two key indexes, viz., capacity margin index and charging priority index are defined, the former one is used to select the target time slots on which the power grid has abundant surplus power for EV charging, and the latter one is used to determine the charging priority of EVs on each time slot. The simulation results demonstrate that the coordinated charging scheme with the proposed valley-filling strategy significantly outperforms the uncoordinated charging in the aspect of suppressing the elevated peak loads of power grid. Moreover, the complexity analysis shows that the proposed algorithm is much high-efficient than its existing counterparts.</t>
  </si>
  <si>
    <t>10.1016/j.ijepes.2018.02.002</t>
  </si>
  <si>
    <t>Large-scale integration of electric vehicles (EV) and wind power could have significantly negative impacts on power systems security. So, it is becoming an increasingly important issue to develop an effective network security-aware charging strategy of EVs. This paper proposes a multi-objective formulation for the optimal charging schedule of EVs while considering N − 1 security constraints. An EV aggregator representing a cluster of controllable EVs is modeled for determining the optimal charging schedule based on a trilevel hierarchy. On the top level, the grid control center determines the EV charging strategy from the proposed formulation, where bus voltage fluctuations, network power losses, and EV charging adjustments are considered as multi-objective functions. To reduce the computational burden, Lagrangian Relaxation (LR) is introduced to handle time coupled constraints and Benders Decomposition is introduced to handle contingencies. Case studies have been conducted on the New England 39-bus system, and the results verify the necessity of considering N − 1 security constraints and the effectiveness of the proposed formulation and solution approach.</t>
  </si>
  <si>
    <t>IEEJ Transactions on Electrical and Electronic Engineering</t>
  </si>
  <si>
    <t>Aiming at the problems related to the dispatch, decomposition, and coordination, temporal and spatial distribution, and the randomness of electric vehicles (EVs), this paper establishes a hierarchical dispatch model between EVs and the power grid to achieve energy conservation and economy optimization. The model is composed of two layers. In the upper layer, considering spatial and temporal distribution characteristics, a bi-level economic dispatch model based on traditional unit commitment for EV aggregators is established. Then, on the account of the priority considering the convenience of EV users, the lower layer proposes the charging and discharging scheduling model for aggregators. In this layer, an evaluation index system is established by analyzing the impact of EVs' declared information, which includes the declared capacity and charging duration of EVs, the sincerity degree, and the battery loss, to determine the priority of scheduling for each EV based on the entropy method. Finally, the simulation is carried out on a four-bus micro-grid system. It shows that the hierarchical dispatch model could not only obtain the dispatch plan for aggregators but also divide the strategy results of regional power grid to each EV, to determine the optimal scheduling plan for charging and discharging of the EV aggregator in each period. © 2018 Institute of Electrical Engineers of Japan.</t>
  </si>
  <si>
    <t>10.1016/j.trd.2017.08.022</t>
  </si>
  <si>
    <t>A battery electric vehicle (BEV) reduces greenhouse gas emissions and energy consumption to a greater extent than a conventional internal combustion engine vehicle. However, limited driving range, insufficient charging infrastructure, potentially long charging time and high monetary cost affect the route choices of BEV drivers. To provide BEV drivers with decision-making support for travelling and charging, a multi-objective optimisation model is built to optimise route choices for multiple BEVs. Three objective functions are proposed to minimise total travelling cost components, including travel times, energy consumption and charging costs. The fuzzy programming approach and fuzzy preference relations are introduced to transform the three objective functions into a single objective function that comprehensively considers the three optimisation objectives. A genetic algorithm is then designed to solve the model. In addition, a numerical example is presented to demonstrate the proposed model and solution algorithm. Four weighting conditions for BEV drivers based on different trade-offs among the objectives are considered in the numerical example. Results of the numerical example verify the feasibility and effectiveness of the proposed model and algorithm.</t>
  </si>
  <si>
    <t>10.1016/j.energy.2018.10.171</t>
  </si>
  <si>
    <t>Pilot projects in power networks conducted across continents have established the benefits of dynamic pricing by inducing increased demand response. However, a key hurdle in the growth of demand response is the lack of widespread availability of advanced metering infrastructure, which has stymied the adoption of dynamic pricing. We believe that this hurdle will be partially addressed by the growth of electric vehicles (EVs), as smart and connected EV parking lots will be a provider of demand response. We develop a two-layer optimization model that simultaneously determines dynamic pricing policy for the system operator and demand response strategies for the EV parking lots. The model minimizes the cost to consumers, while ensuring the system operator's revenue neutral status and addressing real-time price uncertainties. A variant of the 5-bus PJM network is used to demonstrate model implementation. Numerical results show that for a low to moderate price spike scenario, dynamic pricing with demand response from EVs alone can lower the daily average consumer cost of 1.42% compared to the cost of flat pricing. A cost reduction of 6.5% is achieved when price spikes are relatively high. Computational challenges of implementing our model for real networks are discussed in the concluding remarks.</t>
  </si>
  <si>
    <t>10.3390/en12203918</t>
  </si>
  <si>
    <t>This paper addresses the integrated planning problem of a power network and the charging infrastructure of electric vehicles (EVs) for enhancing power system resilience under various extreme weather scenarios. The planning methodology determines the optimal joint expansion decisions while modeling the benchmark system operation under the n − k resilience criterion. The proposed coordinated planning framework is a robust two-stage/tri-level mixed-integer optimization model. The proposed robust joint planning model includes the construction plan in the first level, identifying the worst-case scenario in the second level, and optimizing the operation cost and load shedding in the final level. To solve this model, a duality-based column and constraint generation (D-CCG) algorithm is developed. Using case studies, both the robust sole transmission planning and joint planning models are demonstrated on the IEEE 30-bus and IEEE 118-bus power systems. Numerical simulations of the benchmark systems validate the effectiveness of the developed framework and the efficiency of the proposed solution approach. Simulation results show the superiority of the proposed robust integrated planning over the sole transmission planning model.</t>
  </si>
  <si>
    <t>10.1016/j.cstp.2019.06.003</t>
  </si>
  <si>
    <t>Due to their reduced fossil fuel consumption and transportation-related emissions, Electric Vehicles (EV) are increasingly emerging. Nevertheless, one of the most important decisions for EV adoption is the planning of EV charging infrastructure. In this work, we address the real case of the centre of Tunis City, Tunisia, where potential charging stations could be located in parking and gas stations. The objective is to place and size EV charging stations in such a way that EV drivers can have access to chargers, within an acceptable driving range, while real world life constraints are respected. We also consider investment costs, as well as EV users’ convenience. Toward this end, five Integer Linear Programs based on weighted set covering models are proposed and solved to optimality. Computational experimentation provides optimal infrastructure schemes that public makers could adopt within the emerging environmental policy.</t>
  </si>
  <si>
    <t>10.1016/j.jclepro.2018.12.188</t>
  </si>
  <si>
    <t>Due to environmental and energy challenges, promoting battery electric vehicles (BEVs) is a popular policy for many countries. However, a lack of fast recharging infrastructure and limitations on BEV range limit their purchase and use. It is important to have a well-designed charging station network, so this paper uses U.S. long-distance travel data to place charging stations with the objective of maximizing long-distance trip completions. Each scenario assumes a certain number of charging stations—from 50 to 250, across the U.S., and an all-electric-range (AER) of 60–250 miles (97–402 km). The problem is formulated as a mixed integer program, and a modified flow-refueling location model (FRLM) is solved via a branch-and-bound algorithm. Results reveal that the 60-mile-AER percentage varies between 31% and 65%, as one increases station count from 50 stations to 250 stations. At least 100 mile-range (161 km) BEVs appear needed, to avoid long-distance-trip issues for the great majority of U.S. households. This research also provides an effective method to decide the number and locations of fast charging stations for different conditions, to enable better planning and more sustainable transportation systems.</t>
  </si>
  <si>
    <t>10.1016/j.trc.2019.03.013</t>
  </si>
  <si>
    <t>This study is devoted to designing locations and capacities of charging stations for supporting long-distance travel by electric vehicles (EVs). We first establish an expanded network structure to model the set of valid charging strategies for EV drivers, and then a variational inequality (VI) is formulated to capture the equilibrated route-choice and charging behaviors of EVs by incorporating an approximated queuing time function for a capacitated charging facility. Next, we formulate the problem of designing the locations and capacities of charging facilities under a fixed budget constraint and solve the optimization problem with a customized neighborhood search strategy. A lower bound for the system cost is also developed to evaluate the qualities of solutions acquired using our proposed heuristic. Numerical examples with a toy network and a highway network extracted from the Yangtze River Delta are used to show the effectiveness of the proposed methodology, and we observe that our strategy can solve a large-scale problem within an optimality gap of less than 5%.</t>
  </si>
  <si>
    <t>10.1109/TITS.2019.2948596</t>
  </si>
  <si>
    <t>The increasing popularity of battery-limited electric vehicles puts forward an important issue of how to charge the vehicles effectively. This problem, commonly referred to as Electric Vehicle Charging Scheduling (EVCS), has been proven to be NP-hard. Most of the existing works formulate the EVCS problem simply as a constrained shortest path finding problem and treat it by discrete optimization. However, other variables such as the charging amount of energy and the charging option at a station need to be considered in practical use. This paper hence formulates the EVCS problem as a hierarchical mixed-variable optimization problem, considering the dependency among the station selection, the charging option at each station and the charging amount settings. To adapt to the new problem model, we specifically design a Mixed-Variable Differentiate Evolution (MVDE) as the scheduling algorithm for our proposed EVCS system. The MVDE contains several specific operators, including a charging station route construction, a hierarchical mixed-variable mutation operator and a constraint-aware evaluation operator. Experimental results validate the effectiveness of our proposed MVDE-based system on both synthetic and real-world transportation networks.</t>
  </si>
  <si>
    <t>10.3390/electronics8030288</t>
  </si>
  <si>
    <t>To improve the computation efficiency of optimally dispatching large-scale cluster electric vehicles (EVs) and to enhance the profit of a charging station (CS) for EVs, this study investigates the optimal dispatch of the CS based on a decentralized optimization method and a time-of-use (TOU) price strategy. With the application of the Lagrange relaxation method (LRM), a decentralized optimization model with its solution is proposed that converts the traditional centralized optimization model into certain sub-problems. The optimization model aims to maximize the profit of CS, but it comprehensively considers the charging preference of EV users, the operation constraints of the distribution network, and the TOU strategy adopted by the CS. To validate the proposed decentralized optimal dispatching method, a series of numerical simulations were conducted to demonstrate its effect on the computation efficiency and stability, the profit of the CS, and the peak-load shifting. The result indicates that the TOU strategy markedly increases the profit of the CS in comparison with the fixed electricity price mechanism, and the computation efficiency and stability are much better than those of the centralized optimization method. Although it does not compensate the load fluctuation completely, the proposed method with the TOU strategy is helpful for filling the valley of power use.</t>
  </si>
  <si>
    <t>10.1016/j.trd.2019.09.021</t>
  </si>
  <si>
    <t>Recently, major car-sharing service providers have begun to include electric vehicles (EVs) in free-floating car-sharing fleets. For these EVs, downtime due to charging, including time spent traveling to and waiting in queues at charging stations in a sparse charging infrastructure network, is a major barrier to sustainable operation. An intuitive solution to overcome this barrier is to increase the number of fast-charging stations in the fleet service area. This paper studies the relationship between fleet vehicle downtime and the number of charging stations by modeling the fleet operations of a major car-sharing service provider. An integer programming model is developed that jointly optimizes charging station allocation, in terms of the number and location of charging stations, and the assignment of EVs to charging stations. Case study results showed that fleet vehicle charging time comprises 72–75% of the total downtime spent on charging trips. This indicates that charging time, as opposed to travel time or waiting time, is the dominant component of total fleet downtime for charging. The study also shows that by adding 5–20 new charging stations reduces total fleet downtime and travel time during charging trips by 2–4% and 26–49%, respectively. Although adding new charging stations to the fleet service area reduces total charging trip travel time significantly, it does not reduce total downtime significantly. Results also show that if the EV battery state of the charge (SOC) threshold—below which a charging trip is initiated—is less than 18%, not all EVs in the car-sharing fleet can be charged using the existing direct current fast chargers (DCFCs) in the fleet’s service area. This implies that adequate charging infrastructure coverage is required to ensure that EVs of a given range can operate in the car-sharing fleet.</t>
  </si>
  <si>
    <t>10.1109/TVT.2019.2900931</t>
  </si>
  <si>
    <t>The recent increasing penetration of plug-in electric vehicles (PEVs) has provided an opportunity to develop individual PEVs aggregators who benefit from coordinating the vehicles. Optimal self-scheduling of such an aggregator, considering network operation indices, and distribution system operator's (DSO's) policies on the aggregator's performance are the key issues investigated in this paper. The proposed method maximizes the aggregator's daily profit through participating in day-ahead and real-time electricity markets and offering power quality services to DSO in an incentive and regulatory scheme. These services are designed in terms of the daily voltage profile and the power losses cost of the network. The problem is modeled as a two-stage stochastic scheduling problem considering customers' satisfaction, impacts of uncertainties of driving patterns and real-time market prices, and effects on network operation indices. The model is formulated as a mixed-integer linear programming problem and implemented in GAMS ® software. The technical and financial aspects of the plug-and-play uncoordinated and the proposed coordinated approaches are finally compared for different penetrations of PEVs in a test grid. The results show that applying the proposed strategy can benefit the aggregator in electricity markets and satisfy PEV owners too. Moreover, the reliable and economic operation of the grid can be guaranteed through applying incentive and regulatory policies on the aggregator's performance in high penetration levels.</t>
  </si>
  <si>
    <t>IEEE Transactions on Industrial Informatics</t>
  </si>
  <si>
    <t>10.1109/TII.2019.2950460</t>
  </si>
  <si>
    <t>This article proposes a charging management of electric vehicles (EVs) with a newly presented EV social contribution. The EV charging problem is represented by a generalized Nash equilibrium game where each individual EV tries to minimize its charging cost while satisfying its own charging requirements and respecting the charging facility constraints. The individual EV features a social behavior to potentially contribute in shifting its charging schedule from specific intervals that have insufficient charging power. This shift in the EV schedule will allow more charging power to other EVs that admit stricter charging requirements, i.e., intervals and demands. In this way, the contributed EVs socially help others in reducing their charging costs, which is particularly important during the overload cases in the system. The proposed solution is reached iteratively in a distributed way utilizing the consensus network and found based on the receding horizon optimization framework. Both simulation and experimental results demonstrate the effectiveness and correctness of the proposed social contribution in the charging management for reducing the charging cost of EVs.</t>
  </si>
  <si>
    <t>Andrés Arias Londoño, Mauricio Granada-Echeverri</t>
  </si>
  <si>
    <t>10.5267/j.ijiec.2019.3.002</t>
  </si>
  <si>
    <t>In this paper, an optimization model for the Charging Station Location Problem of Electric Vehicles for Freight Transportation CSLP-EVFT is presented. This model aims to determine an optimal location strategy of Electric Vehicle Charging Stations EVCSs and the routing plan of a fleet of electric vehicles under battery driving range limitation, in conjunction with the impact on the power distribution system. Freight transportation is modeled under the mobility patterns followed by the Capacitated Vehicle Routing Problem CVRP for contracted fleet, and Shortest Path SP problem for subcontracted fleet. A linear formulation of the power flow is used in order to consider the impact on the electric grid. Several costs are examined, i.e., EVs routing, installation and energy consumption of EVCSs, and energy losses. Although uncertainties related to temporal variation of some aspects (number of customers and their demands, fleet size, power network nodes and routes) are not addressed, the proposed model represents a useful approach to evaluate multiple scenarios or to be introduced within stochastic optimization. Instead, the mathematical model is studied under the variation of EVs travel range that accounts for the advance of battery technology and sensitivity analysis. Additionally, the problem is reduced to a mixed integer non-linear mathematical model, which is linearized by using multivariable Taylor’s series.</t>
  </si>
  <si>
    <t>International Journal of Industrial Engineering Computations</t>
  </si>
  <si>
    <t>10.1016/j.jclepro.2019.04.345</t>
  </si>
  <si>
    <t>The market penetration of Plug-in Electric Vehicles (PEVs) is escalating due to their energy saving and environmental benefits. In order to address PEVs impact on the electric networks, the aggregators need to accurately predict the PEV Travel Behavior (PEV-TB) since the addition of a great number of PEVs to the current distribution network poses serious challenges to the power system. Forecasting PEV-TB is critical because of the high degree of uncertainties in drivers’ behavior. Existing studies mostly simplified the PEV-TB by mapping travel behavior from conventional vehicles. This could cause bias in power estimation considering the differences in PEV-TB because of charging pattern which consequently could bungle economic analysis of aggregators. In this study, to forecast PEV-TB an artificial intelligence-based method -feedforward and recurrent Artificial Neural Networks (ANN) with Levenberg Marquardt (LM) training method based on Rough structure - is developed. The method is based on historical data including arrival time, departure time and trip length. In this study, the correlation among arrival time, departure time and trip length is also considered. The forecasted PEV-TB is then compared with Monte Carlo Simulation (MCS) which is the main benchmarking method in this field. The results comparison depicted the robustness of the proposed methodology. The proposed method reduces the aggregators’ financial loss approximately by 16 $/PEV per year compared to the conventional methods. The findings underline the importance of applying more accurate methods to forecast PEV-TB to gain the most benefit of vehicle electrification in the years to come.</t>
  </si>
  <si>
    <t>10.1016/j.cor.2019.104776</t>
  </si>
  <si>
    <t>In this study, the optimal design of location and capacity of charging facilities for electric vehicles (EVs) is investigated. A bi-level mathematical model is proposed to derive optimal design considering the equilibrium of route choice and waiting time for charging. The objective is to minimize the joint cost of facility constructions and EV drivers’ travel and waiting time over the network. The upper-level model allocates the facilities and their capacity, while the lower-level model characterizes equilibrium behavior of drivers’ route and charging facility choices. In particular, we model drivers at each charging facility as the M(t)/M/n queue and approximate the average queuing time and probability of waiting time as functions of facility capacity and demand arrival rate. The bi-level model is then converted into a single-level model, and the solution algorithm is proposed for iteratively solving the relaxed problems. Comprehensive experiments are conducted on three networks to evaluate algorithm performances, assess solution robustness and understand the scalability of the solution approach on large networks.</t>
  </si>
  <si>
    <t>10.1016/j.trd.2020.102331</t>
  </si>
  <si>
    <t>This paper investigates the optimal deployment of static and dynamic charging infrastructure considering the interdependency between transportation and power networks. Static infrastructure means plug-in charging stations, while the dynamic counterpart refers to electrified roads or charging lanes enabled by charging-while-driving technology. A network equilibrium model is first developed to capture the interactions among battery electric vehicles’ (BEVs) route choices, charging plans, and the prices of electricity. A mixed-integer bi-level program is then formulated to determine the deployment plan of charging infrastructure to minimize the total social cost of the coupled networks. Numerical examples are provided to demonstrate travel and charging plans of BEV drivers and the competitiveness of static and dynamic charging infrastructure. The numerical results on three networks suggest that (1) for individual BEV drivers, the choice between using charging lanes and charging stations is more sensitive to parameters including value of travel time, service fee markup, and battery size, but less sensitive to the charging rates and travel demand; (2) deploying more charging lanes is favorable for transportation networks with sparser topology while more charging stations can be more preferable for those denser networks.</t>
  </si>
  <si>
    <t>The burning of fossil fuels and the emission of greenhouse gases motivates policymakers to think about the transition in their approach towards electric vehicles (EVs) from conventional ones. Transportation vehicles’ electrification drives the attention of various researchers and scientists towards the emergence of charging stations (CSs). CS placement is a matter of great concern for large scale penetration of EVs. Old infrastructure causes several challenges in planning the ideal placement of the CS since EVs have not prevailed in recent years. Recently, a lot of studies have been performed on CS placement, which attracts the attention of researchers. Various approaches, objective functions, constraints and range of optimisation techniques are addressed by researchers for optimal placement of CS. This study provides the research outcomes in respect of the placement of CS over the past few years based on objective functions, solution methods, geographic conditions and demand-side management.</t>
  </si>
  <si>
    <t>10.1016/j.trd.2020.102385</t>
  </si>
  <si>
    <t>Dynamic wireless charging (DWC) offers a plausible solution to extending Battery Electric Vehicle (BEV) driving range. DWC is costly to deploy and thus its locations need to be optimized. This raises a question often encountered in practice for infrastructure investment: how to determine the optimal locations of DWC facilities in a network. In this paper, we propose a sequential two-level planning approach considering the objectives of both the public infrastructure planning agency and the BEV users. Two different planners’ objectives namely, total system travel time and total system net energy consumption are considered. Besides these objectives, constraints such as agency budget, range reassurance, and equity in resource distribution are also addressed at the planner’s level. For each objective, BEV drivers respond by choosing their preferred route based on the location of DWC facilities implemented by the planner. An effective solution algorithm is utilized that has the capability of solving relatively large-scale real-world networks within a reasonable computational time. The numerical experiment and case study results provide useful insights on optimally positioning DWC infrastructure to minimize societal cost and energy.</t>
  </si>
  <si>
    <t>10.1109/TITS.2020.3015122</t>
  </si>
  <si>
    <t>Acting as a key to future environmentally friendly transportation systems, electric vehicles (EVs) have attached importance to develop fast charging technologies to accomplish the requirement of vehicle users. However, fast charging behaviors would cause degradations in EVs’ batteries, as well as negative effects like new demand peak and feeder overloads to the connected distribution network, especially when plugging in large scale EVs. Decentralized coordination is encouraged and our goal is to achieve an optimal strategy profile for EVs in a decentralized way considering both the need of fast charging and reducing degradations in batteries and the distribution network. In this article, we innovatively model the EV fast charging problem as an optimization coordination problem subject to the coupled feeder capacity constraints in the distribution network. The need of fast charging is expressed by the total charging time, and the relative tendency to fully charge within the desired time period. We introduce a $\ell _{0}$ -norm of the charging strategy which is non-convex to represent the total charging time, and apply the $\ell _{1}$ -norm minimization to approximate the sparse solution of $\ell _{0}$ -norm minimization. The shorter the charging horizon is the stronger willing of fast charging the user has. The objective of the optimization problem tradeoffs the EVs’ battery degradation cost, the load regulation in the distribution network, the satisfaction of charging and the total charging time, which is non-separable among individual charging behaviors. Even though alternating direction method of multipliers (ADMM) has been widely applied in distributed optimization with separable objective and coupled constraints, its decentralized scheme cannot be applied directly to the underlying non-separable EV charging coordination problem. Hence, a hierarchical algorithm based on ADMM is proposed such that the convergence to the optimal strategies is guaranteed under certain step-size parameter. Furthermore, a receding horizon based algorithm is proposed considering the forecast errors on the base demand and the EV arrival distribution. The results are demonstrated via some simulation results.</t>
  </si>
  <si>
    <t>10.1016/j.est.2020.101193</t>
  </si>
  <si>
    <t>Charging–discharging coordination between electric vehicles and the power grid is gaining interest as a de-carbonization tool and provider of ancillary services. In electric vehicle applications, the aggregator acts as the intelligent mediator between the power grid and the vehicle. In recent years, researchers have introduced the concepts of aggregated energy management, centralized-decentralized planning, and ideal charging–discharging through improved technologies and integrated energy planning. These methods have the technical ability to adapt the distribution network according to load, aggregator-controlled optimal charging–discharging, demand management systems, strategic load assessments, and management. A comprehensive review suggests that large-scale electric vehicle charging technologies for controlled charging–discharging is becoming a pitfall within the grid and distribution network. This paper reviews several controlled charging–discharging issues with respect to system performance, such as overloading, deteriorating power quality, and power loss. Thus, it highlights a new approach in the form of multistage hierarchical controlled charging–discharging. The challenges and issues faced by electric vehicle applications are also discussed from the aggregator's point of view.</t>
  </si>
  <si>
    <t>10.1016/j.apenergy.2020.115648</t>
  </si>
  <si>
    <t>Along with the rapid development of electric vehicles over the past decades, the dominating charging method, fixed charging could not satisfy the increasing need, especially in urban areas with huge populations. Mobile charging is thus proposed to solve this problem. In this work, the concept of mobile charging is explained. The user convenience and expenses between the conventional fixed charging piles and the mobile charging piles are compared using a mathematical model. The economic competitiveness of mobile charging is also compared with its counterpart. The results show that, different from fixed charging, mobile charging helps the users save their time wasted in a charging station when their electric vehicles are being charged. Taking the cost of time into consideration, mobile charging can be more economic than fixed charging for many users. Moreover, our model analyses reveal that, under the condition of low utilization rate of fixed charging piles, the levelized cost of electricity for mobile charging piles is much less. Besides, the land cost also plays a role; when it increases, mobile charging piles could be even more economically competitive.</t>
  </si>
  <si>
    <t>10.1016/j.trd.2020.102247</t>
  </si>
  <si>
    <t>The focus of this study is to jointly design charging stations and photovoltaic (PV) power plants with time-dependent charging fee, to improve the management of the coupled transportation and power systems. We first propose an efficient and extended label-setting algorithm to solve the EV joint routing and charging problem that considers recharging amount choices at different stations and loop movement cases. Then, a variational inequality problem is formulated to model the equilibrium of EV traffic on transportation networks, and an optimal power flow model is proposed to model the power network flow with PV power plants and optimally serve the EV charging requirements. Based on the above models for describing system states, we then formulate a model to simultaneously design charging stations, PV plants, and time-dependent charging fee. A surrogate-based optimization (SBO) algorithm is adopted to solve the model. Numerical examples demonstrate that the proposed SBO algorithm performs well. Additionally, important insights concerning the infrastructure design and price management of the coupled transportation and power networks are derived accordingly.</t>
  </si>
  <si>
    <t>10.3390/en13205429</t>
  </si>
  <si>
    <t>Coordinated charging of electric vehicles (EVs) improves the overall efficiency of the power grid as it avoids distribution system overloads, increases power quality, and decreases voltage fluctuations. Moreover, the coordinated charging supports flattening the load profile. Therefore, an effective coordination technique is crucial for the protection of the distribution grid and its components. The substantial power used through charging EVs has undeniable negative impacts on the power grid. Additionally, with the increasing use of EVs, an effective solution for the coordination of EVs charging, particularly when considering the anticipated proliferation of EV fast chargers, is imminently required. In this paper, different machine learning (ML) approaches are compared for the coordination of EVs charging. The ML models can predict the power to be used in EVs charging stations (EVCS). Due to its ability to use historical data to learn and identify patterns for making future decisions with minimal user intervention, ML has been utilized. ML models used in this paper are (1) Decision Tree (DT), (2) Random Forest (RF), (3) Support Vector Machine (SVM), (4) Naïve Bayes (NB), (5) K-Nearest Neighbors (KNN), (6) Deep Neural Networks (DNN), and (7) Long Short-Term Memory (LSTM). These approaches are chosen as they are classifiers known to have the leading results for multiclass classification problems. The results found shed insight on the importance of the techniques used and their high potential in providing a reliable solution for the coordinated charging of EVs, thus improving the performance of the power grid, and reducing power losses and voltage fluctuations. The use of ML provides a less complex method to coordinate EVs, in comparison with conventional optimization techniques such as quadratic programming, and the use of ML is faster as it requires less computational power. LSTM provided the best results with an accuracy of 95% for predicting the most appropriate power rating (PR) for EVCS, followed by RF, DT, DNN, SVM, KNN, and NB. Additionally, LSTM was also the model with the smallest error rate, at a value of ±0.7%, followed by RF, DT, KNN, SVM, DNN, and NB. The results obtained from the LSTM model were similar to the results obtained from past literature using quadratic programming, with the increased speed and simplicity of ML.</t>
  </si>
  <si>
    <t>10.3390/en13123119</t>
  </si>
  <si>
    <t>Electric vehicles (EVs) parking lots are representing significant charging loads for relatively a long period of time. Therefore, the aggregated charging load of EVs may coincide with the peak demand of the distribution power system and can greatly stress the power grid. The stress on the power grid can be characterized by the additional electricity demand and the introduction of a new peak load that may overwhelm both the substations and transmission systems. In order to avoid the stress on the power grid, the parking lot operators are required to limit the penetration level of EVs and optimally distribute the available power among them. This affects the EV owner’s quality of experience (QoE) and thereby reducing the quality of performance (QoP) for the parking lot operators. The QoE is represents the satisfaction level of EV owners; whereas, the QoP is a measurement representing the ratio of EVs with QoE to the total number of EVs. This study proposes a fuzzy logic weight-based charging scheme (FLWCS) to optimally distribute the charging power among the most appropriate EVs in such a way that maximizes the QoP for the parking lot operators under the operational constraints of the power grid. The developed fuzzy inference mechanism resolves the uncertainties and correlates the independent inputs such as state-of-charge, the remaining parking duration and the available power into weighted values for the EVs in each time slot. Once the weight values for all EVs are known, their charging operations are controlled such that the operational constraints of the power grid are respected in each time slot. The proposed FLWCS is applied to a parking lot with different capacities. The simulation results reveal an improved QoP comparing to the conventional first-come-first-served (FCFS) based scheme.</t>
  </si>
  <si>
    <t>10.3390/en13184675</t>
  </si>
  <si>
    <t>There is a continuous and fast increase in electric vehicles (EVs) adoption in many countries due to the reduction of EVs prices, governments’ incentives and subsidies on EVs, the need for energy independence, and environmental issues. It is expected that EVs will dominate the private cars market in the coming years. These EVs charge their batteries from the power grid and may cause severe effects if not managed properly. On the other hand, they can provide many benefits to the power grid and get revenues for EV owners if managed properly. The main contribution of the article is to provide a review of potential negative impacts of EVs charging on electric power systems mainly due to uncontrolled charging and how through controlled charging and discharging those impacts can be reduced and become even positive impacts. The impacts of uncontrolled EVs charging on the increase of peak demand, voltage deviation from the acceptable limits, phase unbalance due to the single-phase chargers, harmonics distortion, overloading of the power system equipment, and increase of power losses are presented. Furthermore, a review of the positive impacts of controlled EVs charging and discharging, and the electrical services that it can provide like frequency regulation, voltage regulation and reactive power compensation, congestion management, and improving power quality are presented. Moreover, a few promising research topics that need more investigation in future research are briefly discussed. Furthermore, the concepts and general background of EVs, EVs market, EV charging technology, the charging methods are presented.</t>
  </si>
  <si>
    <t>10.1016/j.scs.2020.102474</t>
  </si>
  <si>
    <t>Nowadays, much attention has been drawn to environmental protection. Traveling by electric vehicles (EVs) instead of conventional fuel cars is strongly supported by national governments for the sustainable development of urban transportation. However, the increasing EV charging load in residential areas have brought a heavy burden to the distribution transformer. Therefore, coordinated charging of EVs in the residential charging station (RCS) is essential to relieve the power supply pressure. In this paper, an optimal charging strategy based on dynamic spike pricing (DSP) policy is proposed to reduce the charging cost of EVs and ensure the normal operation of the distribution transformer. First of all, the load model of EVs on four kinds of typical days is established with consideration of the seasonal and holiday characteristics of EV charging demands. Then, a new DSP policy based on Time-of-Use (TOU) mechanism is designed with an additional spike time period and a spike price to transfer peak loads in rush hours. To protect EV users from financial losses and prevent transformer overload, an optimal charging model is formulated to minimize the charging cost of EVs with considering the power margin of the distribution transformer. Ultimately, the genetic algorithm (GA) is used to solve the model. The simulation results show that the optimal charging strategy proposed in this paper is effective in peak shaving and reducing charging cost.</t>
  </si>
  <si>
    <t>10.3390/en13205443</t>
  </si>
  <si>
    <t>This paper is about the problem of the management of an aggregator of electric vehicles participating in an electricity market environment. The problem consists in the maximization of the expected profit through a formulation given by a stochastic programming problem to consider the uncertainty faced by the aggregator. This uncertainty is due to the day-ahead market prices and the driving requirements of the owners of the vehicles. Depending on the consent of the owners, inflexible charging to flexible charging is considered. Thus, the aggregator can propose different profiles and charging periods to the owners of electric vehicles. Qualitatively, as expected, the more flexible the vehicle owners, the higher the expected profit. The formulation, however, offers more to the aggregator and provides the ability to quantify the influence of consent of favorable driving requirements in the expected profit, allowing the aggregator to consider rewarding the owners of vehicles with more flexibility. Case studies addressed are for comparison of the influence of owners having inflexibility, partial flexibility, or flexibility in the expected profit of the aggregator.</t>
  </si>
  <si>
    <t>10.1109/TII.2020.3003669</t>
  </si>
  <si>
    <t>This article proposes a charging management of electric vehicles (EVs) that considers time anxieties and different behaviors of EV customers. The time anxiety concept is newly presented to address some uncertain events that may happen meanwhile charging of EVs, affect their charging patterns, and prevent them from meeting their energy demands. The working principle of the concept relies on prioritizing the charging before the event occurrences, and thus changing the EV charging patterns. Based on this concept, four different EV customer behaviors are proposed and their influences are investigated. The EV charging problem is formulated as a generalized nash equilibrium (NE) game, in which each EV minimizes its charging cost given its charging requirements and the charging facility constraints. The solution is developed on the basis of receding horizon optimization and reached iteratively in a distributed manner. Detailed simulation and comparison results are introduced to verify the effectiveness of the proposed charging management with the different time-anxiety-based EV customer behaviors.</t>
  </si>
  <si>
    <t>With the recent breakthroughs in battery technology and large scale production, electric vehicles (EVs) are becoming cheaper. In a few years, mass deployment of EVs will put severe stress on the electricity network. Charging of EV during peak hours may overload the distribution grid transformer, and EV owners may have to pay more money for electricity during peak hours. To address these issues, a coordinated scheduling model is proposed in this paper. A mathematical model is formulated to minimise the charging cost of each EV while satisfying the constraints. In this work, time of use (ToU) tariff from the utility and actual power demand from household and EVs are used to conduct simulation for one week in summer and winter season with different levels of EV penetration. The results demonstrate that the proposed scheduling model can significantly reduce the charging cost for the EV owner and power peaks in the distribution network.</t>
  </si>
  <si>
    <t>Electric Vehicles (EV) impact urban networks both when driving (e.g., noise and pollution reduction) and charging. For the electrical grid, the flexibility of EV charging makes it a significant actor in “Demand Response” mechanisms. Therefore, there is a need to design incentive mechanisms to foster customer engagement. A congestion game approach is adopted to evaluate the performance of such electrical transportation system with multiple classes of vehicles: EV and Gasoline Vehicles. Both temporal and energy operating costs are considered. The latter is nonseparable as it depends on the global charging need of all EV, which is scheduled in time by a centralized aggregator in function of nonflexible consumption at charging location. Thus, driving and charging decisions are coupled. An adaptation of Beckmann’s method proves the existence of a Wardrop Equilibrium (WE) in the considered nonseparable congestion game; this WE is unique when the charging unit price is an increasing function of the global charging need. A condition on the nonflexible load is given to guarantee the monotonicity of this function. This condition is tested on real consumption data in France and in Texas, USA. Optimal tolls are used to control this electrical transportation system and then computed in order to minimize an environmental cost on a simple network topology.</t>
  </si>
  <si>
    <t>10.1109/TITS.2020.2991352</t>
  </si>
  <si>
    <t>10.1109/TVT.2020.3038049</t>
  </si>
  <si>
    <t>In this article, a new mathematical formulation for the electric vehicle routing problem (EVRP) is proposed. This formulation extends the Green Vehicle Routing Problem (GVRP) considering time-of-use energy (TOU) prices, and including a detailed model for the EVs’ energy consumption. The main decisions for the considered EVRP are relevant to the choice among different types of charging modes at recharging stations, the speed of EVs, the loaded cargo and the battery charge. The model objective consists of minimizing the cost for the total travel distance and that for energy purchase, which depends on the selected recharging mode. A preprocessing algorithm used to reduce the problem dimension is presented. The experimental analysis performed on a large set of benchmark instances is reported.</t>
  </si>
  <si>
    <t>10.1016/j.apenergy.2020.115640</t>
  </si>
  <si>
    <t>Plug-in electric vehicles (PEVs) and renewable energy sources (RESs) can relief the stress on air pollution. Particularly, using RES for PEV energy requirement can integrate more RESs on the grid. In this paper, a vehicle-to-grid (V2G) scheme concerning on RES and edge computing, i.e. the internet of smart charging points with photovoltaics integration, is presented. Within the architecture of the scheme, each charging point equips computing and storage units, so as to store PEV sensitive information locally and conduct “burn after scheduling”. Besides, this architecture can transform the traditional large-scale V2G problem into several sub-problems, which are small enough to optimize. Based on the architecture of the scheme, an associated high-efficiency algorithm is designed. Six typical scenarios of PEV charging are elaborated and two indexes are presented to facilitate 1) the self-consumption of photovoltaics energy by PEV charging and 2) the peak-shaving and valley-filling of net load. Additionally, voltage regulation and real-time control are applied to ensure the security of the distribution grid and mitigate the uncertain conditions. Finally, compared with uncoordinated charging, the short-time scale simulation realizes the peak-shaving and valley-filling by 17.54% and 12.42%, respectively; and the amount of self-consumption of photovoltaics energy increases by 258.74%. Furthermore, the long-time scale simulations also present a satisfying performance for the grid energy saving and the load factor. Particularly, the proposed scheme offers high computational efficiency compared with different architecture and algorithm, and the execution time for scheduling one PEV at one-time interval shows a microsecond basis.</t>
  </si>
  <si>
    <t>The adoption and usage of electric vehicles (EVs) have emerged recently due to the increasing concerns on the greenhouse gas issues and energy revolution. As a part of the smart grid, EVs can provide valuable ancillary services beyond consumers of electricity. However, EVs are gradually considered as nonnegligible loads due to their increasing penetration, which may result in negative effects such as voltage deviations, lines saturation, and power losses. Relationship and interaction among EVs, charging stations, and micro grid have to be considered in the next generation of smart grid. Therefore, the topic of smart charging has been the focus of many works where a wide range of control methods have been developed. As one of the bases of simulation, the EV charging behavior and characteristics have also become the focus of many studies. In this work, we review the charging behavior of EVs from the aspects of data, model, and control. We provide the links for most of the data sets reviewed in this work, based on which interested researchers can easily access these data for further investigation.</t>
  </si>
  <si>
    <t>10.1109/TITS.2020.3008279</t>
  </si>
  <si>
    <t>Uncoordinated charging of a rapidly growing number of electric vehicles (EVs) and the uncertainty associated with renewable energy resources may constitute a critical issue for the electric mobility (E-Mobility) in the transportation system especially during peak hours. To overcome this dire scenario, we introduce a stochastic game to study the complex interactions between the power grid and charging stations. In this context, existing studies have not taken into account the dynamics of customers’ preference on charging parameters. In reality, however, the choice of the charging parameters may vary over time, as the customers may change their charging preferences. We model this behavior of customers with another stochastic game. Moreover, we define a quality of service (QoS) index to reflect how the charging process influences customers’ choices on charging parameters. We also develop an online algorithm to reach the Nash equilibria for both stochastic games. Then, we utilize real data from the California Independent System Operator (CAISO) to evaluate the performance of our proposed algorithms. The results reveal that the electricity cost with the proposed method can result in a saving of about 20% compared to the benchmark method, while also yielding a higher QoS in terms of charging and waiting time. Our results can be employed as guidelines for charging service providers to make efficient decisions under uncertainty relative to power generation of renewable energy.</t>
  </si>
  <si>
    <t>10.1016/j.tre.2020.102187</t>
  </si>
  <si>
    <t>Electric vehicles are one of the effective tools for pollution reduction and sustainable transportation in emerging markets. In this paper, we investigate the optimal locations and electricity prices for dynamic wireless charging links of electric vehicles to minimize total social cost within a given budget while ensuring nonnegative operating profit to alleviate a government’s operational pressure. A logit-based stochastic user equilibrium model is proposed to capture drivers’ routing and recharging behavior, and a linear programming approach is developed to determine a path recharging plan. The problem is rendered as a bi-level formulation and solved using an efficient surrogate model-based algorithm.</t>
  </si>
  <si>
    <t>The transition to the zero-carbon power system is underway accelerating recently. Hydrogen energy and electric vehicles (EVs) are promising solutions on the supply and demand sides. This brief presents a novel architecture that includes hydrogen production stations, fast-charging stations, and commercial EVs. The proposed architecture jointly optimizes the hydrogen energy dispatch and the EV charging location selection and is formulated by a time-varying bilevel bipartite graph (T-BBG) model. We develop a bilevel iteration optimization method combining the linear programming (LP) and the Kuhn–Munkres (KM) algorithm to solve the joint problem whose optimality is proved theoretically. The effectiveness of the proposed architecture on reducing the operating cost is verified via case studies in Shanghai. The proposed method outperforms other strategies and improves the performance by at least 13%, which shows the potential economic benefits of the joint architecture. The convergence and impact of parameters are assessed.</t>
  </si>
  <si>
    <t>IEEE Transactions on Control Systems Technology</t>
  </si>
  <si>
    <t>10.1109/TCST.2021.3070482</t>
  </si>
  <si>
    <t>The spatial-temporal distribution of electric vehicle (EV) charging loads can be improved by implementing optimized charging scheduling, and by the joint planning of a distribution network (DN) and a charging network of EVs. In this paper, such a joint planning scheme was studied and modeled as two-level optimization model. In the upper level of the optimization, a joint planning model of a DN and a charging network of EVs with distributed photovoltaic (PV) systems and/or energy storage (ES) units is constructed to minimize the total cost. Then the optimized results of the DN and the EV charging network construction plan are used as the inputs of the lower-level operation model. In the lower-level operation optimization, an optimal charging scheduling approach is proposed to minimize the sum of the DN’s operation cost and the traffic congestion cost. The spatial-temporal distribution of the charging demand, under an optimized charging strategy, is used as feedback for the upper-level optimization model, which effectively can reduce the scale of the DN and the charging network construction. The proposed joint planning model was demonstrated through applications in a city in China.</t>
  </si>
  <si>
    <t>Journal of Energy Engineering</t>
  </si>
  <si>
    <t>This paper proposes a three-layer hierarchical voltage control strategy for distribution networks considering the customized charging navigation of electric vehicles (EVs). In the first layer, optimal power flow (OPF) is performed to determine the day-ahead dispatch of on-load tap changer (OLTC) and capacitor banks (CBs). The optimization problem is formulated as a mixed-integer second-order cone programming (MISOCP) which can be effectively solved. In the second layer, a customized charging navigation strategy is proposed to conduct the charging behaviors of EVs based on their own preferences. The novel preference modes are designed for different types of EV users to include not only the charge and time cost, but also the willingness to participate in voltage regulation service (VRS). The navigation problem is formulated as a mixed-integer linear programming (MILP), which is then solved by CPLEX solvers embedded with Dijkstra algorithm. In the third layer, charging stations measure local voltage and regulate the charging power of EVs to mitigate voltage violation. The charging selection and power allocation process are performed dynamically considering the mutual effect between the second and third layers. The economic compensation mechanism is also designed for both EV users and charging stations. The proposed approach is tested on the IEEE 33-bus distribution system coupled with a 24-bus transportation system, and simulation results verify the effectiveness both in charging navigation and mitigating voltage violation.</t>
  </si>
  <si>
    <t>10.1109/TSG.2021.3094891</t>
  </si>
  <si>
    <t>10.1016/j.trc.2021.103447</t>
  </si>
  <si>
    <t>This paper addresses a new electricity-charging station location problem for congested intercity or regional networks, in which electric vehicles with a limited driving range require recharges for their long-distance trips. When the distribution of charging stations does not sufficiently cover all used routes, some drivers may take a detour to find charging opportunities (or switch to another transportation mode). The goal of this station location problem is to find, under a limited construction budget, an optimal set of charging station locations such that all vehicles finish their trips by choosing a self-optimal route with necessary charging opportunities while the overall network congestion caused by possible detours is minimized. The problem is written as a bi-level mixed nonlinear integer programming model, where the upper level of the model is set to regulate the selection of station locations subject to the construction budget while the lower level is used to characterize the equilibrium flow pattern of electric vehicles with the charging requirement. Selected exact and approximate algorithms, namely, the branch-and-bound algorithm and the nested partitions algorithm are adopted to solve this station location problem. While both algorithms imply a divide-and-conquer strategy, the branch-and-bound algorithm poses a deterministic, exact procedure that utilizes the bounding mechanism to prune impossible solution subspaces, whereas the nested partitions algorithm performs a stochastic search and selection process in terms of the optimality probability for near-optimal solutions. To get numerical insights on the algorithmic performance and solution behavior, we test these algorithms through a couple of benchmark network instances. A performance comparison of the algorithms indicates that, the branch-and-bound algorithm can quickly obtain the global optimum when the driving range is relatively low, while the nested partitions algorithm can find optimal solutions or extremely near-optimal solutions in all cases and typically spend on average only one fourth of the computing time of the branch-and-bound algorithm. The network flow solutions clearly show, compared to gasoline vehicle drivers, how an insufficient driving range or number of charging stations may significantly reduce the number of feasible paths and force electric vehicle drivers to choose more costly paths, which thus reshapes flow patterns and possibly increases congestion levels.</t>
  </si>
  <si>
    <t>10.1016/j.est.2021.103291</t>
  </si>
  <si>
    <t>The escalation in the usage of conventional fuel in the transportation sector resulted in rapid depletion of the same. Thus, the past decade saw the electrification of the transportation division as the primary research area. It has been seen in the past few years that Electric Vehicles (EV) are displacing the internal combustion engine at a rapid pace. The escalation in EV density on the road caused a substantial adverse effect on the existing electric grid and led to grid reliability issues. With an increase in the charging station to cater to Electric Vehicle's needs, some countermeasures are required to be taken to overcome the adverse effects. A comprehensive review is plotted concerning the current EV scenario, charging infrastructure, EV impacts, and Electric Vehicles optimal allocation provisioning in this paper. This paper especially presents the study on the optimal allocation of rapid charging stations based on economic benefits and grid impacts. Adoption challenges that are being faced are also discussed. In contrast, future trends in the field, such as the procurement of energy from renewable energy sources and the benefit of the vehicle to grid technology, are presented and summarized.</t>
  </si>
  <si>
    <t>10.3390/en14175336</t>
  </si>
  <si>
    <t>Electric vehicles’ (EVs) technology is currently emerging as an alternative of traditional Internal Combustion Engine (ICE) vehicles. EVs have been treated as an efficient way for decreasing the production of harmful greenhouse gasses and saving the depleting natural oil reserve. The modern power system tends to be more sustainable with the support of electric vehicles (EVs). However, there have been serious concerns about the network’s safe and reliable operation due to the increasing penetration of EVs into the electric grid. Random or uncoordinated charging activities cause performance degradations and overloading of the network asset. This paper proposes an Optimal Charging Starting Time (OCST)-based coordinated charging algorithm for unplanned EVs’ arrival in a low voltage residential distribution network to minimize the network power losses. A time-of-use (ToU) tariff scheme is used to make the charging course more cost effective. The concept of OCST takes the departure time of EVs into account and schedules the overnight charging event in such a way that minimum network losses are obtained, and EV customers take more advantages of cost-effective tariff zones of ToU scheme. An optimal solution is obtained by employing Binary Evolutionary Programming (BEP). The proposed algorithm is tested on IEEE-31 bus distribution system connected to numerous low voltage residential feeders populated with different EVs’ penetration levels. The results obtained from the coordinated EV charging without OCST are compared with those employing the concept of OCST. The results verify that incorporation of OCST can significantly reduce network power losses, improve system voltage profile and can give more benefits to the EV customers by accommodating them into low-tariff zones.</t>
  </si>
  <si>
    <t>10.1016/j.est.2021.102245</t>
  </si>
  <si>
    <t>Because of missing the stochastic behaviors and decisions of the electric vehicle (EV) owners during the definition of the structure of energy management for charging/discharging of EVs There has always been a flaw in their schedule. These random behaviors affect the exchanged information between EV owners and the information center of the parking lot such as arrival and departure time, initial and final State of Charge (SOC) of EV, battery capacity, and demand hourly charge rate. Considering these stochastic behaviors of EV owners in operational scheduling in intelligent parking lots (IPLs) is the main goal of this article. Firstly by defining the random behavior of EV owners and other real situations, the modeling of the charging and discharging plan for electric vehicles with the aim of maximizing parking profit and minimizing costs for EV owners is presented. Then by determining penalties for faulty EV owners and the initial entrance fee for all vehicles, and also considering flexibility when defining the fines, a complete structure of energy management for EVs in IPLs is presented. These fines are such that, the smart money for EVs that cannot achieve their rights for charging, is paid by the penalties for faulty EV owners, and also make some profits for the IPLs. The effectiveness of the proposed method is validated during three different scenarios in the simulation, and the results show the good performance of this enhanced strategy for the management of EVs.</t>
  </si>
  <si>
    <t>10.1016/j.scs.2021.103081</t>
  </si>
  <si>
    <t>The government policies and benefits led to the surge in penetration of Plug-in Hybrid Electric Vehicles (PHEVs) and Battery Electric Vehicles (BEVs) into both public and private sectors. Power Grids are dynamic with load and generation varying, and wide spread adoption of PHEVs can jeopardize and endanger the operation and security of the distribution grids due to overloading and congestion. This paper develops two optimization models, one is for the routing algorithm of Battery Electric Vehicles (BEVs) to find the minimum energy consumption for Personal Rapid Transit (PRT) system in a collegiate environment. The other optimization model is for charging a maximum number of PHEVs interfaced with American Electric Power (AEP) utility system. Mixed Integer Linear Programming (MILP) is used to determine the charging schedules of PHEVs to minimize the power system overloading. MILP is also used to find the optimum charging schedule of BEVs to satisfy the passenger demand of the transit system. Different charging strategies have been developed, and their effects on distribution system voltage profile and losses have been illustrated. We used the real-time data for the PRT routing algorithm. PHEV customers are categorized into different real-world Demand Response (DR) participants capable of flattening the load curve. A time series simulation of a distribution feeder test system is performed to show the feasibility of the proposed methods. Case studies on AEP system and West Virginia University transportation system were carried out. The simulation results demonstrate the effectiveness of our proposed optimization framework in reducing system peak load and satisfying the demand while utilizing minimum number of BEVs.</t>
  </si>
  <si>
    <t>10.1016/j.ijepes.2021.106813</t>
  </si>
  <si>
    <t>The increasing penetration of electric vehicles (EVs) and renewable energy resources (RESs) have raised concerns about the voltage instability in distribution power systems. Thus, some probabilistic algorithms are needed by decision-makers to quickly yet accurately evaluate the voltage stability margin in smart distribution systems. This paper proposes a nonparametric preventive control to mitigate the risk of voltage instability in the active distribution systems consisting of EVs and RESs. First, a framework is developed to evaluate EVs' degree of participation in preventive control by estimating potential achievable power capacity (PAPC). To estimate the probability density function (PDF) of the system voltage stability margin, Bernstein density estimator (BDE) is utilized due to its capability to handle the boundary effect. Finally, a preventive/corrective control model based on the model predictive control (MPC) is developed considering the dynamic behavior of EVs and RESs. The capability of the proposed algorithm is tested on the modified IEEE 33-node system.</t>
  </si>
  <si>
    <t>10.3390/su13147962</t>
  </si>
  <si>
    <t>The world is moving rapidly from carbon-producing vehicles to green transportation systems. Electric vehicles (EV) are a big step towards a friendly mode of transport. With the constant rise in the number of electric vehicles, we need a widespread and seamless charging infrastructure that supports seamless charging and billing. Some users generate electricity using solar panels and charge their electric vehicles. In contrast, some use charging stations, and they pay for vehicle charging. This raises the question of trust and transparency. There are many countries where laws are not strictly enforced to prevent fraud in payment systems. One of the preeminent problems presently existing with any of the trading systems is the lack of transparency. The service provider can overcharge the customer. Blockchain is a modern-day solution that mitigates trust and privacy issues. We have proposed a peer-to-peer energy trading and charging payment system for electric vehicles based on blockchain technology. Users who have excess electricity which they can sell to the charging stations through smart contracts. Electric vehicle users can pay the charging bills through electronic wallets. We have developed the electric vehicle’s automatic-payment system using the open-source platform Hyperledger fabric. The proposed system will reduce human interaction and increase trust, transparency, and privacy among EV participants. We have analyzed the resource utilization and also performed average transaction latency and throughput evaluation. This system can be helpful for the policymakers of smart cities.</t>
  </si>
  <si>
    <t>10.1016/j.ijepes.2020.106353</t>
  </si>
  <si>
    <t>Electric vehicles (EVs) are witnessing increased utilization throughout the world as an alternative to fossil–fueled vehicles. The extensive deployment of EVs can bring challenges to the grid if not properly integrated. Such challenges, however, could be exploited as opportunities if the huge unused capacity of the battery storage in millions of EVs are utilized for ancillary services to the grid and peer–to–peer (PtP) energy trade. Given that there is at least one human user per vehicle, human input must be considered to improve the scheduling process. To that end, this paper presents a new algorithm for bidirectional smart charging of EVs considering user preferences, PtP energy trade, and provision of ancillary services to the grid. The preferences of an EV user as input to the model are embedded into the scheduling process enabling the model to be adaptive to various conditions. Optimization slack variables are utilized for optimal management of EV battery SOC and energy allocation for multiple services. New indices are developed and introduced for quantification of the EV participation in ancillary services and PtP transactions. Real–world data has been collected and utilized for model specification and simulation to make the assumptions more realistic. The efficacy and feasibility of the proposed model are validated using numerical studies. The results indicate that incorporating users’ preferences into the scheduling process would improve the aggregated revenue generated by the EV scheduling model which in turn could offset the charging costs by up to 100%. Further, an increase of about 90% in peer-to-peer energy transactions among EVs and 11% in ancillary services provision to the grid are achieved through the developed user-centric smart charging model.</t>
  </si>
  <si>
    <t>With the rise in the demand for electric vehicles, the need for a reliable charging infrastructure increases to accommodate the rapid public adoption of this type of transportation. Simultaneously, local electricity grids are being under pressure and require support from naturally abundant and inexpensive alternative energy sources such as wind and solar. This is why the world has recently witnessed the emergence of renewable energy-based charging stations that have received great acclaim. In this paper, we review studies related to this type of alternative energy charging infrastructure. We provide comprehensive research covering essential aspects in this field, including resources, potentiality, planning, control, and pricing. The study also includes studying and clarifying challenges facing this type of electric charging station and proposing suitable solutions for those challenges. The paper aims to provide the reader with an overview of charging electric vehicles through renewable energy and establishing the ground for further research in this vital field.</t>
  </si>
  <si>
    <t>IEEE Transactions on Automation Science and Engineering</t>
  </si>
  <si>
    <t>10.1109/TASE.2021.3102997</t>
  </si>
  <si>
    <t>With the increasing market penetration of electric vehicles (EVs), the charging behavior and driving characteristics of EVs have an increasing impact on the operation of power grids and traffic networks. Existing research on EV routing planning and charging navigation strategies mainly focuses on vehicle-road-network interactions, but the vehicle-to-vehicle interaction has rarely been considered, particularly in studying simultaneous charging requests. To investigate the interaction of multiple vehicles in routing planning and charging, a routing optimization of EVs for charging with an event-driven pricing strategy is proposed. The urban area of a city is taken as a case for numerical simulation, which demonstrates that the proposed strategy can not only alleviate the long-time queuing for EV fast charging but also improve the utilization rate of charging infrastructures. Note to Practitioners —This article was inspired by the concerns of difficulties for electric vehicle (EV)’s fast charging and the imbalance of the utilization rate of charging facilities. Existing route optimization and charging navigation research are mainly applicable to static traffic networks, which cannot dynamically adjust driving routes and charging strategies with real-time traffic information. Besides, the mutual impact between vehicles is rarely considered in these works in routing planning. To resolve the shortcomings of existing models, a receding-horizon-based strategy that can be applied to dynamic traffic networks is proposed. In this article, various factors that the user is concerned about within the course of driving are converted into driving costs, through which each road section of traffic networks is assigned the corresponding values. Combined with the graph theory analysis method, the mathematical form of the dynamic traffic network is presented. Then, the article carefully plans and adjusts EV driving routes and charging strategies. Numerical results demonstrate that the proposed method can significantly increase the adoption of EV fast charging while alleviating unreasonable distributions of regional charging demand.</t>
  </si>
  <si>
    <t>Advances in Electrical and Computer Engineering</t>
  </si>
  <si>
    <t>10.4316/AECE.2021.04003</t>
  </si>
  <si>
    <t>Electric Vehicles (EVs) have been shown to be better for the environment since they emit lesser air pollutants compared to fuel-based vehicles. High penetration of EVs in the distribution network contributes to the increment of capital investment in smart grid technologies. This is because EVs' charging operation involves a considerably high level of electricity due to the size of EVs' battery charging period. Poor scheduling of EVs charging operation will lead to an increment in electricity consumption. This will then lead to overloading of distribution network, voltage quality degradation, power loss increment, and dispatch of uneconomical energy sources. Hence, coordinated, and smart charging schemes are vital in order to reduce charging costs. This paper proposes an optimized EV battery charging and discharging scheduling model using an ordinary differential equation (ODE) based on three charging scenarios. The daily charging and discharging schedule of EVs are optimized using optimal control. The result shows that the proposed optimized charging and discharging scheduling model reduces the charging cost up to approximately 50%.</t>
  </si>
  <si>
    <t>Alkawaz, Ali Najem; Kanesan, Jeevan; Khairuddin, Anis Salwa Mohd; Chow, Chee Onn; Singh, Mandeep</t>
  </si>
  <si>
    <t>International Transaction Journal of Engineering, Management, &amp; Applied Sciences &amp; Technologies</t>
  </si>
  <si>
    <t>The frequency of using electric vehicles (EVs) is nowadays on the rise
as these vehicles are efficient and popular among people. However, the charging problem is the principal issue in EVs. This article tries to advance the harmonics of EVs charging via a virtual resistor and to assess its efficacy in promoting the battery health of EVs through its comparison with the absence of a virtual resistor. According to the simulation findings, the input current continues entirely in the introduced two-way converter; consequently, a significant reduction occurs in the input current total harmonic distortion (THD) in comparison to a conventional converter. Also, a THD of 4.5% observed for the output current by the introduced converter demonstrating its effectiveness, while satisfying the standard THD value lower than 5%. Besides the reduced THD rate, the THD of current turns to 3.67% following the application of the virtual resistor, which corresponds to the standard. Moreover, this value is 0.86% lower than the harmonic value of the system in the first case (with no use of virtual resistance), suggesting that the introduced approach is effective.</t>
  </si>
  <si>
    <t>In this manuscript, an efficient hybrid strategy is proposed to mitigate the negative impact of RES output fluctuations and smart charging method of electric vehicles (EVs). The proposed hybrid system is the joint implementation of Spike Neural Network Learning Algorithm (S2NA) algorithm and Golden Eagle Optimizer (GEO) algorithm; hence, it is known as S2NA-GEO strategy. An innovative uncertainty mode of renewable energy sources (RESs) based upon S2NA-GEO strategy is proposed, which can avert the difficult parameter collection and formula derivation. Price-based mode is accepted as EVs are considered responsive loads, which also take into account the spatial–temporal uncertainty of electric vehicles. Here, two fluctuation indexes are determined as quantitative evaluation of the volatility of RESs, then the charging cost is adopted as a guideline for the satisfaction of electric vehicle charging. The main purpose of the proposed system is diminishing the real and reactive power loss through the optimal allocation of the EVs as parking spot and minimizes the cost. In this article, the sensitivity of the voltage is conducted via four sensitivity indexes computation for regulating the candidate sites for charging and discharging. The charging infrastructure integrates the entire equipment and programming for the exchange of energy as electrical grid to the vehicle for this purpose; the sensitivity analysis is carried out assessing the inverse Jacobian matrix as power flow studies. To optimally decide the parking lot size, the biogeography-based optimization (BBO) system is assumed. The optimal size parking lot is estimated via the proposed WFS-CGO technique. The proposed method is activated in MATLAB/Simulink site, and the performance is compared with existing methods.</t>
  </si>
  <si>
    <t>10.1016/j.segan.2021.100533</t>
  </si>
  <si>
    <t xml:space="preserve"> Sustainable Energy, Grids and Networks</t>
  </si>
  <si>
    <t>With the advanced communication, computation, control and manufacturing technologies, electric vehicles have been extensively developed to improve the utilization of clean energy and reduce emissions. Despite the tremendous advantages, the rapidly growing of deploying electric vehicles will bring new insecurities, such as disorderly charging behaviors, which affect the stability of the smart grid. Although considerable efforts on charging schedules have been developed to improve energy utilization and reduce load fluctuation in the smart grid, the profits of utility company have not been investigated. In addition, most of these schemes also lead to inefficient battery utilization, i.e., electric vehicles usually charge while their batteries still have a lot of energy left. To address these issues, in this paper, a novel underfill-SOC based charging pricing (USoCP) scheme is proposed for electric vehicles in smart grid, which can achieve great battery utilization, as well as guarantee great profits of utility company and load balance of the whole grid. Particularly, via introducing the Logistic function into charging pricing determination, the proposed USoCP scheme can effectively improve the underfill state of charge (underfill-SOC) for battery charging, thereby improving the battery utilization. Meanwhile, to reduce the load fluctuation and guarantee great profits of utility company, a charging price based demand-response model is conducted to determine the effective charging power quantity, and a charging pricing determination model is formalized as an optimization problem to reduce the peak-to-average ratio of power load and guarantee great electricity selling profits of utility company. Finally, a Particle Swarm Optimization (PSO) based solution is proposed to solve the optimization problem and determine the effective charging price for electric vehicles. Via extensive evaluations, the results show that the proposed USoCP scheme can effectively stimulate electric vehicles to charge more energy in each battery charging (i.e., improving the battery utilization), reduce peak power load, as well as guarantee great profits of utility company.</t>
  </si>
  <si>
    <t>Transport Reviews</t>
  </si>
  <si>
    <t>With the evolving demand for sustainable mobility, adequate charging infrastructure for electric vehicles (EVs) has been growing steadily and wireless power transfer (WPT) technology has been seen as an efficient alternative for EV charging while maintaining seamless traffic flow. This paper reviews the modelling challenges in terms of both static (plug-in) charging (SC) and wireless charging (WC) facilities in a transportation network in terms of system integration, focusing on the evolution of the WPT technology. The first part of the paper provides an overview of all the major progress and achievements made by different research organisations in the area of WPT technology for EV charging. These technologies are ranked based on two indices, namely technological readiness level and system readiness level. The optimal location of WC facilities comes with more design and operational issues than conventional static charging facilities. However, they are similar in terms of the infrastructure modelling approach to locate these charging facilities, as the overall goal is to maximise the network flow and minimise the overall system cost. The second part of the paper assesses different modelling approaches used to analyse the network and locate the charging infrastructure for static and WC facilities. The economic feasibility of the technology is an important consideration for successful system integration as well as the overall performance of the system. As such, this paper also provides a synopsis of different socio-economic studies related to the WC infrastructure allocation problem. Finally, future research directions in this field are discussed based on the knowledge gaps identified from the existing literature.</t>
  </si>
  <si>
    <t>10.1016/j.scs.2021.103181</t>
  </si>
  <si>
    <t>In recent years, electric ride-hailing has increased considerably in the taxi industry with the development of battery electric vehicles (BEVs) and implementation of greenhouse gas (GHG) emission regulations. Private BEVs are charged mostly in private garages, while electric ride-hailing services require public charging stations (CSs). This work uses an improved genetic algorithm (GA) to locate public CSs by considering the investment of CS operators and the travel costs of BEV owners. A case study is presented with large-scale order data collected from the ride-hailing fleet of the city of Haikou and charging data from the electric ride-hailing fleet of the city of Shanghai. The elastic demand for electric ride-hailing is also considered by incorporating feedback between congestion at the CS and the geographical area. The proposed methodology uses the multipopulation genetic algorithm (MPGA) to provide more feasible allocations for public CSs and could reduce the total cost by 7.6%.</t>
  </si>
  <si>
    <t>IEEE Transactions on Transportation Electrification</t>
  </si>
  <si>
    <t>10.1016/j.scs.2022.104153</t>
  </si>
  <si>
    <t>In recent years, electric vehicles (EVs) have increased considerably in the logistics sector with the implementation of greenhouse gas (GHG) emission regulations. However, the driving range of EVs is limited by the battery capacity compared to combustion engine vehicles. This study proposes a public charging infrastructure localization and route planning strategy for logistics companies based on a bilevel program. A two-phase heuristic approach combining a two-layer genetic algorithm (TLGA) and simulated annealing (SA) is presented to solve the problem. The hybrid method uses TLGA to derive the optimal routing and charging plan and the SA descent algorithm is used to select the charging station (CS) locations. The proposed method is tested and compared to meta-heuristics using benchmark instances with charging stations. A case study is carried out using data from Chengdu, a major city in southwest China, to simulate the charging demand of public charging infrastructures. The proposed method provides more feasible allocations for public CSs and route planning, which could reduce the total delivery cost by 15%. This study demonstrates the potential of a bilevel optimizing approach to provide an optimized solution in citywide CS location selection and logistics routing problems.</t>
  </si>
  <si>
    <t>10.1016/j.ijepes.2022.108204</t>
  </si>
  <si>
    <t>The battery energy storage system in the microgrid can regulate energy and maintain the stability and continuity of renewable energy generation. This paper presents a new microgrid structure with in-motion electric vehicles as a distributed energy storage system. This structure combines the technology of dynamic wireless charging, allowing in-motion electric vehicles to participate in the energy regulation of the microgrid. The proposed microgrid mainly consists of wind turbines, photovoltaic arrays, as well as dynamic wireless charging facility. Two different planning objectives, i.e., maximizing the microgrid utility and minimizing the total generalized social cost, are investigated respectively. Taking into account the response of EV users to the microgrid capacity plans, we propose a bi-level framework. Further, an algorithm based on the surrogate model is used to solve the bi-level programming, where the radial basis function interpolation model is utilized to approximate the objective function. Finally, in case studies, the influence of parameter variations on the results is explored. The feasibility and advantages of the proposed microgrid capacity planning are demonstrated. Further, through the studies of the uncertainties of wind speed, light intensity, base load, and movable load, it is illustrated that the objective value can maintain good stability under the optimal capacity plan.</t>
  </si>
  <si>
    <t>10.3390/su14042137</t>
  </si>
  <si>
    <t>As a result of fossil fuel prices and the associated environmental issues, electric vehicles (EVs) have become a substitute for fossil-fueled vehicles. Their use is expected to grow significantly in a short period of time. However, the widespread use of EVs and their large-scale integration into the power system will pose numerous operational and technical challenges. To avoid these issues, it is essential to manage the charging and discharging of EVs. EVs may also be considered sources of dispersed energy storage and used to increase the network’s operation and efficiency with reasonable charge and discharge management. This paper aims to provide a comprehensive and updated review of control structures of EVs in charging stations, objectives of EV management in power systems, and optimization methodologies for charge and discharge management of EVs in energy systems. The goals that can be accomplished with efficient charge and discharge management of EVs are divided into three groups in this paper (network activity, economic, and environmental goals) and analyzed in detail. Additionally, the biggest obstacles that EVs face when participating in vehicle-to-grid (V2G) applications are examined in this paper.</t>
  </si>
  <si>
    <t>10.1016/j.tre.2022.102761</t>
  </si>
  <si>
    <t>This paper reviews and prospects the research in transportation systems management with the presence of dynamic wireless charging (DWC) electric vehicles (EVs). DWC is based on inductive coupling that allows EVs to get charged wirelessly by driving over the coils installed in the ground. Thus, DWC is also known as ‘charging-while-driving’ or ‘in-motion charging’, which is regarded as one of the most promising charging solutions for EVs. The road that is equipped with wireless chargers underneath its surface is called a wireless charging lane (WCL). The deployment of WCLs will lead to a profound change in the field of transportation systems management. We give a review of recent studies on related topics including WCL allocation and related decisions, energy consumption of EVs considering WCLs, and pricing of EVs for the use of DWC facilities. Based on the analysis of the existing studies, we identify the needs for more flexible WCL design and allocation models, as well as novel ways that incorporate the complexities in energy consumption by EVs and routing behaviour into traffic network analysis. In addition, we emphasise the research opportunities of dynamic traffic modelling and real-time control considering DWC and EVs with state-of-charge (SOC) constraints. A high-level dynamic system model and a general model-based control problem are formulated in this regard. Finally, we foresee a demand for finer traffic management in the WCL environment enabled by emerging technologies such as the internet of vehicles (IoV) and autonomous driving.</t>
  </si>
  <si>
    <t>10.1016/j.trd.2022.103461</t>
  </si>
  <si>
    <t>It is widely recognized that electric vehicle (EV) users get frustrated by the limited range of EVs, slow charging, and limited charging facilities available in the vicinity of their journey route. These factors contribute to slowing down the uptake of EVs. Dynamic wireless charging (DWC) system has the potential to offer a cost-effective solution to these issues. This paper investigates the DWC allocation problem from the decision makers’ perspective to minimize individual users’ costs as well as the investment cost for DWC facilities. We propose a mixed-integer optimization model to achieve a cost-effective solution for the optimal placement of DWC facilities on the large road network while maintaining an acceptable state-of-charge level. Sensitivity analysis is conducted on the optimization model parameters to check the feasibility and significance of model solutions for DWC placements. The results provide useful insights into the optimal settings of DWC facilities under multiple route environments.</t>
  </si>
  <si>
    <t>10.3390/en15103788</t>
  </si>
  <si>
    <t>Widespread adoption of heavy-duty (HD) electric vehicles (EVs) will soon necessitate the use of megawatt (MW)-scale charging stations to charge high-capacity HD EV battery packs. Such a station design needs to anticipate possible station traffic, average and peak power demand, and charging/wait time targets to improve throughput and maximize revenue-generating operations. High-power direct current charging is an attractive candidate for MW-scale charging stations at the time of this study, but there are no precedents for such a station design for HD vehicles. We present a modeling and data analysis framework to elucidate the dependencies of a MW-scale station operation on vehicle traffic data and station design parameters and how that impacts vehicle electrification. This framework integrates an agent-based charging station model with vehicle schedules obtained through real-world vehicle telemetry data analysis to explore the station design and operation space. A case study applies this framework to a Class 8 vehicle telemetry dataset and uses Monte Carlo simulations to explore various design considerations for MW-scale charging stations and EV battery technologies. The results show a direct correlation between optimal charging station placement and major traffic corridors such as cities with ports, e.g., Los Angeles and Oakland. Corresponding parametric sweeps reveal that while good quality of service can be achieved with a mix of 1.2-megawatt and 100-kilowatt chargers, the resultant fast charging time of 35–40 min will need higher charging power to reach parity with refueling times.</t>
  </si>
  <si>
    <t>Dynamic Games and Applications</t>
  </si>
  <si>
    <t>Battery charging of electric vehicles (EVs) needs to be properly coordinated by electricity producers to maintain the network reliability. In this paper, we propose a robust approach to model the interaction between a large fleet of EV users and utilities in a long-term generation expansion planning problem. In doing so, we employ a robust multi-period adjustable generation expansion planning problem, called R-ETEM, in which demand responses of EV users are uncertain. Then, we employ a linear quadratic game to simulate the average charging behavior of the EV users. The two models are coupled through a dynamic price signal broadcasted by the utility. Mean field game theory is used to solve the linear quadratic game model. Finally, we develop a new coupling algorithm between R-ETEM and the linear quadratic game with the purpose of adjusting in R-ETEM the uncertainty level of EV demand responses. The performance of our approach is evaluated on a realistic case study that represents the energy system of the Swiss “Arc Lémanique” region. Results show that a robust behaviorally-consistent generation expansion plan can potentially reduce the total actual cost of the system by 6.2% compared to a behaviorally inconsistent expansion plan.</t>
  </si>
  <si>
    <t>Emerging innovation in smart charging for plug-in electric vehicles (EVs) has the potential to achieve significant economic benefits. In several works, smart charging encourages the use of EVs as a flexible resource by modifying their power consumption through a demand response (DR) program. However, it is promptly assumed that EVs are always responsive and accept the smart charging signals with no fault. In practice, due to uncertainties such as random EV mobility, volatile battery charging characteristics or charging component failures, some EVs would be unable to accept the assigned charging signals dispatched from a central server. Therefore, this article proposes a feedback loop to predict EV charging behaviours and thereby adaptively tune the time-based control signals dispatched to individual EVs. Moreover, a parallel-operating distributed DR algorithm is proposed which aims optimal EV scheduling under charging uncertainties while reducing the need of private information sharing. The proposed distributed algorithm allows increased EV user privacy, fast convergence properties and optimal operation under communication disruptions and delays. The effectiveness of the proposed methods are also numerically exhibited for varying penetration of EVs within a low-voltage (LV) distribution test network.</t>
  </si>
  <si>
    <t>10.1016/j.est.2021.103677</t>
  </si>
  <si>
    <t>With the development of high-power charging technology for electric vehicles (EVs), fast power supplement mode (FPSM) is favoured by users and operators. An optimal configuration method of fast charging stations (FCSs) under FPSM is proposed in this paper. Firstly, the charging characteristics of the EV battery are analysed, the charging time and electricity supplementation of user's expected are introduced as quantitative indicators for judging whether to charge. According to the different fast supplement needs of different EV types, the matrix-type flexible charging stack is used to classify different levels of charging power. Various EV types in 10–20 min can be achieved fast supplement, which will have good application prospects and feasibility in the future. Secondly, the spatial-temporal distribution of EVs charging demand under the FPSM is predicted based on global positioning system (GPS) and K-means method. Thereby, an optimal FCSs configuration model is established with considering user satisfaction indicators. Voronoi diagram and the improved particle swarm algorithm (PSO) are used to determine the optimal FCSs location and capacity. Moreover, the influence of FCSs on the operation safety of distribution network is added into the model. Finally, the practicality and feasibility of the theory are verified through simulation analysis of examples.</t>
  </si>
  <si>
    <t>Journal of King Saud University - Computer and Information Sciences</t>
  </si>
  <si>
    <t>10.1016/j.jksuci.2022.03.002</t>
  </si>
  <si>
    <t>Electric vehicles (EVs) are environment friendly and are expected to find tremendous growth in the near future. However, the short voyaging reach and the lack of charging lattice have impeded the large-scale application of EVs. A choice of a particular route for EV is largely dependent on the availability of charging stations on that route as well as the ease of charging facility offered by the charging station (including state of the charging station, user convenience, etc.). Hence, it is vital to delve into the challenge of locating a charging station that offers the utmost user convenience in charging EVs. This paper attempts to present a solution to this very problem. The proposed approach is an improvised distributed system, namely, (Smart Search of Route and Charging) which plans an energy efficient EV route considering EV’s state-of-charge (SoC) level, traffic conditions, the frequency of charging stations and the state of charging station (the charging resources of the charging station along with their occupancy levels, etc.). This distributed architecture employs the proposed agile charging slot reservation approach for the EVs that wish to get recharged at a particular charging station. Besides, to delineate the interactive mechanism of EVs recharging, three non-identical objective functions are formulated to minimize the overall energy consumption of EVs, waiting time at charging station, and total charging expenditure. After performing the extensive simulations on the weighted directed real transportation graph of Chandigarh, India, the proposed system recommends a charging station in accordance to the preferences given by the EV user. Case studies verify the significance and validity of the proposed model in terms of energy efficiency and user convenience.</t>
  </si>
  <si>
    <t>World Electric Vehicle Journal</t>
  </si>
  <si>
    <t>10.3390/wevj13100195</t>
  </si>
  <si>
    <t>In light of the increasing number of electric vehicles (EV), disorderly charging in mountainous cities has implications for the stability and efficient utilization of the power grid. It is a roadblock to lowering carbon emissions. EV aggregators are a bridge between EV users and the grid, a platform to achieve energy and information interoperability, and a study of the orderly charging of EVs to reach carbon emission targets. As for the objective function, the EV aggregator considers the probability of EV charging access in mountainous cities, the SOC expectation of EV users, the transformer capacity constraint, the charging start time, and other constraints to maximize revenue. Considering the access probability of charging for users in mountainous cities, the optimized Lagrange relaxation method is used to solve the objective function. The disorderly charging, centralized optimized charging, and decentralized optimized charging modes are investigated using simulation calculations. Their load profiles, economic benefits, and computational efficiency are compared in three ways. Decentralized optimal charging using the Lagrange relaxation method is shown to be 50% more effective and to converge 279% faster than centralized optimal charging.</t>
  </si>
  <si>
    <t>10.1016/j.energy.2022.124160</t>
  </si>
  <si>
    <t>Battery electric vehicles (BEVs) assume a critical role in the promotion of transportation electrification. Accurate analysis and prediction of BEVs charging behaviors are essential to solving the issues, such as electricity supply imbalance stemming from the BEVs increasing volume. To achieve that, the agent-based trip chain model (ABTCM) and nested logit model (NL) are proposed in this study based on meter-level real-world data. In our investigation, not only the general charging patterns including trip chains distributions and dynamic attributes, but also the different charging strategies influencing mechanisms are profoundly estimated. The results demonstrate that most BEVs dispense with charging in the chain during one-day trips and users generally hold moderate range psychology before departure. For charging patterns, the longer people travel, the more inclined they are to adopt the fast charging strategy. The start moment SOC, consumed SOC, travel distance, the speed and weather, as well as all last charging status, are common significant factors for both slow charging and fast charging. The argument reveals that it is more applicable to consider charging scene context when exploring BEVs charging behaviors. Furthermore, the task of charging behaviors is conducted by the united NL model, which displays the effectiveness with accessible accuracy.</t>
  </si>
  <si>
    <t>10.1109/TITS.2022.3205596</t>
  </si>
  <si>
    <t>In Internet of Electric Vehicles (IoEV), mobile charging stations (MCSs) can be deployed to complement fixed charging stations. Currently, the strategy of MCSs is to move towards the EVs with insufficient energy (IEVs) only after being requested, which is not efficient. However, similar to online car-hailing services, more IEVs could be charged and the charging expenses could be reduced if idle MCSs can actively move towards the potential charging positions. In this paper, the problem of placements of idle MCSs in an IoEV is investigated in order to enhance the proportion of charged IEVs and reduce the charging expenses of IEVs. To this end, we propose a Federated Learning based Placement Decision Method of Idle MCSs (FL-PDMIM) to help the idle MCSs to predict the future charging positions, by exploiting the historical routes of MCSs which contain rich information regarding the charging demand of IEVs. In the proposed framework, the historical routes are trained locally by each MCS, and then the local model parameters and charging records are periodically uploaded to an edge server for a global parameter aggregation. Then, idle MCSs decide their placements according to the predicted charging positions (potential charging positions). The training time can be largely shortened, because the distributed learning on each MCS is executed in parallel. Extensive simulations and comparisons demonstrate the performance superiority of FL-PDMIM. Specifically, with the proposed federated learning-based predictions, the waiting time of IEVs to be served can be significantly shortened, and FL-PDMIM enhances the proportion of charged IEVs and reduces the charging expenses of IEVs effectively.</t>
  </si>
  <si>
    <t>10.1016/j.ijepes.2021.107692</t>
  </si>
  <si>
    <t>The stochastic nature associated with the baseload (BL) forecasting, photovoltaic (PV) generation and conditions of use of plug-in electric vehicles (PEV) adds new complexity to the definition of PEVs charging coordination strategies. Therefore, a large number of scenarios must be generated to integrate these uncertainties in the definition of a prediction-of-use (POU) tariff that encourages the PEVs to charge at certain times of the day. The main purpose of this article is to analyze the effects of scenario reduction techniques in the determination of an adequate POU tariff that considers the uncertainties associated with BL, PV generation and conditions of use of PEVs. The methodology proposed in this work considers the backward scenario reduction technique to determine the optimal charging power profiles of PEV aggregators through the Distribution System Operator (DSO) coordination. From the PEV optimal charging profiles, the DSO calculates a POU tariff for each aggregator, considering the uncertainties in of the problem. Results show that the use of scenario reduction techniques to determine the POU tariff reduces the computational burden without significantly affecting the obtained results. Finally, the simulation reflects the advantage of integrating PV generation in the distribution system, since using the proposed coordination strategy, the loss of life of the transformer slowed down.</t>
  </si>
  <si>
    <t>10.1016/j.est.2021.103577</t>
  </si>
  <si>
    <t>Electric vehicle charging is one of the common techniques for techno-economic energy management in the distribution system, which, if implemented properly, brings several benefits such as the peak load shaving, total costs reduction, losses minimization, etc. Unlike traditional charging methods, it is not necessary to completely charge electric vehicles. Instead, each vehicle can be charged smartly just based on its demand for its next trips. In this way, charging takes less time and the total consumption is balanced without any discomfort for the drivers. To implement this smart method, electric vehicle owners must fill in an information sheet that contains the number and lengths of the their next. Then, its required energy is calculated this info, and the initial battery state of charge. Finally, the charging management system starts the planning according to its upstream distribution system operator. Several parameters are needed for the planning such as time of use tariff of the electricity, the distribution transformer or substation physical limits, the rate of the charge (normal or fast), etc. The aim of the planning is to minimize the charging cost considering the technical and economic constraints. Here, the YALMIP and MOSEK software are used as the solver of the proposed mixed-integer linear programming model.</t>
  </si>
  <si>
    <t>10.1016/j.scs.2022.104171</t>
  </si>
  <si>
    <t>In this paper, a new energy management model is proposed to determine the optimal scheduling of an office building which includes electric vehicle (EV) charging piles, batteries, and rooftop photovoltaic systems. To optimally manage the electricity procurement of the building and mitigate the rate of transformer aging, the building energy management system (BEMS) employs the flexibility of batteries and EV charging. In the proposed model, to incentivize EV owners to offer their flexibility, the BEMS organizes a transactive market among plugged-in EVs. To this end, EV owners submit their response curves and the target state-of-charge to the BEMS. Then, the transactive market is cleared to determine the market-clearing price for each EV, the optimal EV charging decisions, and accordingly, the scheduling of office building. Also, to model the correlated uncertainties of solar power generation and demand, the distributionally robust chance-constrained method is employed. Moreover, the “Big-M” technique and the piecewise linear approximation method are utilized to linearize the optimization problem. Finally, the case of a building with 100 charging piles is studied. The numerical results illustrate a decrease in the total operating cost of BEMS and the rate of transformer aging compared to uncontrolled charging and direct control approaches.</t>
  </si>
  <si>
    <t>10.1016/j.segan.2022.100646</t>
  </si>
  <si>
    <t>The penetration rate of electric vehicles in the power grid and transportation network is increasing, and establishing an effective charging and navigation strategy is an important guarantee for the stable development of electric vehicles. According to the difference in the user’s value measurement of driving time and charging time not reflected in the previous electric vehicle charging and navigation strategies, this paper proposes a charging and navigation strategy for electric vehicles that considers the difference in user time utility, so as to provide the best choice for electric vehicles with fast charging needs. Take the best route to the charging station to replenish the battery. Electric vehicle users can choose different navigation modes according to their own preferences, and different navigation modes correspond to different utility ratios between unit charging time and unit driving time. Taking the 18  km2 area of the actual traffic road network in a city as an example, the Dijkstra algorithm is used to search for the route, and the impact on the optimization results of the charging route is analyzed when the difference in the user’s time utility is considered. In the large case, they are willing to bear part of the higher travel cost and choose a charging path with a shorter charging time.</t>
  </si>
  <si>
    <t>10.17775/CSEEJPES.2021.05780</t>
  </si>
  <si>
    <t>With the rapid popularization of electric vehicles (EVs), more charging and swapping facilities are needed to provide services. However, a single type of charging and battery swapping facilities cannot conveniently and rapidly meet the power supply demands of different types of vehicles at the same time. In order to solve this problem, a joint planning method of charging piles and charging-battery swapping stations (CBSSs) is proposed in this paper. In this method, the influence of geospatial constraints on the layout scale of charging piles is considered, and the Monte Carlo simulation method is used to predict the spatial-temporal distribution of charging and battery swapping demands of private electric vehicles (PEVs) and the battery swapping demands of taxi electric vehicles (TEVs) respectively. On this basis, the layout scale of charging piles of each functional area is determined during the maximum charging demand period in a day to meet the demands of PEVs for charging convenience. Then, an operating state model of CBSS is established for calculation of the objective function. At the same time, a planning model of CBSSs is established to minimize the annual social comprehensive cost, which takes into account the economy of CBSSs and the battery swapping convenience of EVs. The planning of CBSSs can meet the demands of TEVs and some PEVs for a rapid power supply. Finally, taking an urban transportation network of Changchun and IEEE 33-node system as a case, the planning of charging piles and CCBSs in direct charging mode and peak shifting mode are simulated and analyzed. The simulation results show that the proposed method can make PEVs and TEVs obtain convenient and rapid power supply, and the planning result of CBSSs in direct charging mode is more economical, while peak shifting mode is more conducive to the safe operation of distribution network.</t>
  </si>
  <si>
    <t>10.1016/j.est.2022.105241</t>
  </si>
  <si>
    <t>The role of electric vehicles (EVs) in energy systems will be crucial over the upcoming years due to their environmental-friendly nature and ability to mitigate/absorb excess power from renewable energy sources. Currently, a significant focus is given to EV smart charging (EVSC) solutions by researchers and industries around the globe to suitably meet the EVs' charging demand while overcoming their negative impacts on the power grid. Therefore, effective EVSC strategies and technologies are required to address such challenges. This review paper outlines the benefits and challenges of the EVSC procedure from different points of view. The role of EV aggregator in EVSC, charging methods and objectives, and required infrastructure for implementing EVSC are discussed. The study also deals with ancillary services provided by EVSC and EVs' load forecasting approaches. Moreover, the EVSC integrated energy systems, including homes, buildings, integrated energy systems, etc., are reviewed, followed by the smart green charging solutions to enhance the environmental benefit of EVs. The literature review shows the efficiency of EVSC in reducing charging costs by 30 %, grid operational costs by 10 %, and renewable curtailment by 40 %. The study gives key findings and recommendations which can be helpful for researchers and policymakers.</t>
  </si>
  <si>
    <t>10.1016/j.est.2022.104136</t>
  </si>
  <si>
    <t>In recent years, many countries have set specific goals to replace fossil fuel vehicles with the electric ones due to environmental concerns and issues related to energy supply security; it is predicted that using these vehicles will increase rapidly in the upcoming years. Therefore, in addition to home chargers, fast charging stations are needed to accelerate the charging speed and to save the costs of the consumed energy by the owner, thus lowering the disruptive effects of the home chargers on the power quality of the electricity grid. The price of the electric vehicle, independence, charging process and charging infrastructures are the main factors that have major effects on the progress and development of electricity. During the last few years, numerous concepts and topics such as energy management, infrastructure and the best charging plan with integrated energy and developed technologies are introduced for modeling charging stations. Therefore, the most important requirements in this field are improving the efficiency of charging stations in terms of charging speed, managing between charging and discharging, existence of renewable sources and Energy Storage System (ESS). Recognizing and studying these components and their development are the important parts of this research, which has not been studied before. In other words, this paper review the state-of-the-art aspects for different levels of designing a fast-charging station with complete coverage of the research work done related to the upcoming challenges. Considering the advantages and disadvantages of electric vehicles (EVs), some challenges in this concept and ideas for the future expansion of EVs charging station and its communications are introduced. Results from different surveys show that along with mutual communications and people's increasing desire for EVs, participation in planning will be beneficial for both the society and the government, which will result in the desired social welfare. Also, the presence of renewable resources due to technology development has become far more impressive. Finally, the various aspects of fast-charging stations along with an overview of probable areas for future study in this field are also presented.</t>
  </si>
  <si>
    <t>Literature review</t>
  </si>
  <si>
    <t>Yes</t>
  </si>
  <si>
    <t>No</t>
  </si>
  <si>
    <t>Games; Urban areas; Pricing; Charging stations; Vehicles; Employment; Standards; Electric vehicles; trilevel optimization; smart charging; coupled transportation-electrical systems</t>
  </si>
  <si>
    <t>Given</t>
  </si>
  <si>
    <t>CSO</t>
  </si>
  <si>
    <t>EV owner</t>
  </si>
  <si>
    <t>Maximize profit</t>
  </si>
  <si>
    <t>Minimize cost</t>
  </si>
  <si>
    <t>Full</t>
  </si>
  <si>
    <t>Power limit</t>
  </si>
  <si>
    <t>Linear</t>
  </si>
  <si>
    <t>Homogeneous</t>
  </si>
  <si>
    <t>Private</t>
  </si>
  <si>
    <t>4000 kW</t>
  </si>
  <si>
    <t>Centralized</t>
  </si>
  <si>
    <t>Power</t>
  </si>
  <si>
    <t>8 h</t>
  </si>
  <si>
    <t>1 h</t>
  </si>
  <si>
    <t>Parking</t>
  </si>
  <si>
    <t>Home</t>
  </si>
  <si>
    <t>This work proposes a trilevel programming model where the hierarchical relationship between the DSO (upper level), the CSO (middle level) and the EV owners (lower level) is illustrated along a real-time pricing that depends on the LMP method. In this regard, the model depicts that the DSO knows the Evs driving patterns (origin-destination) and the demanded power at each charging station owned by the CSO. Thus, in order to solve the model, a simulated annealing based algorithm is proposed in order to deal with the non-convexity of the model or the often used Karush-Kuhn-Tucker transformation either. In particular, the model is solved on a IEEE 33-bus network topology with a transportation network representing the roads and where charging stations are located. Furthermore, a private and a public station owners are considered for numerical results.</t>
  </si>
  <si>
    <t>Authors avoid several details on charging phenomenon as well as important details on 'simulation', e.g., arrival and departure times. Also, it does not show the time horizon under study nor the time interval length to take the charging decision. Moreover, computational output is not given and so not comparable or reproducible either.</t>
  </si>
  <si>
    <t>It considers a IEEE 33-bus medium-voltage distribution network.</t>
  </si>
  <si>
    <t>@article{sohet2021hierarchical,
  title={Hierarchical coupled driving-and-charging model of electric vehicles, stations and grid operators},
  author={Sohet, Benoit and Hayel, Yezekael and Beaude, Olivier and Jeandin, Alban},
  journal={IEEE Transactions on Smart Grid},
  volume={12},
  number={6},
  pages={5146--5157},
  year={2021},
  publisher={IEEE}
}'</t>
  </si>
  <si>
    <t>Body</t>
  </si>
  <si>
    <t>It does not consider bi-level programming</t>
  </si>
  <si>
    <t>Concepts</t>
  </si>
  <si>
    <t>Autonomous</t>
  </si>
  <si>
    <t>Hybrid</t>
  </si>
  <si>
    <t>Exclusion criteria</t>
  </si>
  <si>
    <t>Type of vehicles</t>
  </si>
  <si>
    <t>Journal articles</t>
  </si>
  <si>
    <t>English</t>
  </si>
  <si>
    <t>Selection criteria</t>
  </si>
  <si>
    <t>Bi-level or Tri-level model</t>
  </si>
  <si>
    <t>Programming</t>
  </si>
  <si>
    <t>Records found</t>
  </si>
  <si>
    <t>Single facility charging problem</t>
  </si>
  <si>
    <t>Multi-facility charging problem</t>
  </si>
  <si>
    <t>Distribution network problem</t>
  </si>
  <si>
    <t>Classified articles</t>
  </si>
  <si>
    <t>Google Scholar</t>
  </si>
  <si>
    <t>Compendex or Inspec</t>
  </si>
  <si>
    <t>Bi-level (Bilevel)</t>
  </si>
  <si>
    <t>Tri-level (Trilevel)</t>
  </si>
  <si>
    <t>Optimization (Optimisation)</t>
  </si>
  <si>
    <t>Placement/Design</t>
  </si>
  <si>
    <t>Placement</t>
  </si>
  <si>
    <t>It is not a coordination study</t>
  </si>
  <si>
    <t>Retracted</t>
  </si>
  <si>
    <t>@article{yu2015centralized,
  title={Centralized bi-level spatial-temporal coordination charging strategy for area electric vehicles},
  author={Yu, Lei and Zhao, Tianyang and Chen, Qifang and Zhang, Jianhua},
  journal={CSEE Journal of Power and Energy Systems},
  volume={1},
  number={4},
  pages={74--83},
  year={2015},
  publisher={CSEE}
}</t>
  </si>
  <si>
    <t>Bi-level optimization, centralized charging, elec- tric vehicles, spatial temporal coordination</t>
  </si>
  <si>
    <t>Minimize power loss</t>
  </si>
  <si>
    <t>Partial</t>
  </si>
  <si>
    <t>Charging spot, Charging post, Charging point, Charging outlet, Customer point of charge (CPOC), Charging socket, Charging hub, Charging machine, EV charger, Smart charger, Charging machine, EVSE port, Charger pilot</t>
  </si>
  <si>
    <t>One-day-ahead</t>
  </si>
  <si>
    <t>24 h</t>
  </si>
  <si>
    <t>Homogeneous (7.68 kW)</t>
  </si>
  <si>
    <t>Homogeneous ()</t>
  </si>
  <si>
    <t>Aggregator-assisted</t>
  </si>
  <si>
    <t>CS</t>
  </si>
  <si>
    <t>NHTS 2009</t>
  </si>
  <si>
    <t>It handles several AUs that handle several charging piles at the same time.</t>
  </si>
  <si>
    <t>This work proposes a bi-level programming model that considers a single leader and several follower given by the AUs. Under this schema, the leader, assumed to be the DSO, aims to minimize the power loss when satisfying the demand by setting the charging schedule on a day-ahead market. In this regard, the AUs, in the model's lower level, minimize the charging cost by following the charging schedule settled by the leader, such that power demand is satisfied.</t>
  </si>
  <si>
    <t>Although this study seems to be the very first addressing the problem using bi-level programming, it lacks of important details such as specifying the type of charging facilities they are working with. Besides, not considering a base power load might change the results since it also bounds the power limit along with the EVSE capacity.</t>
  </si>
  <si>
    <t>It is interesting, but computes the charging time and not how to distribute the power among vehicles</t>
  </si>
  <si>
    <t>Not well written</t>
  </si>
  <si>
    <t>E (completion)</t>
  </si>
  <si>
    <t>It is quite close to article 6 (same authors)</t>
  </si>
  <si>
    <t>Daily read goal</t>
  </si>
  <si>
    <t>It is quite close to article 6</t>
  </si>
  <si>
    <t>Tri-level</t>
  </si>
  <si>
    <t>Bi-level</t>
  </si>
  <si>
    <t>It does not consider bi-level programming. Moreover, it does not present any model</t>
  </si>
  <si>
    <t>It is interesting, but it does not consider bi-level programming.</t>
  </si>
  <si>
    <t>It 'coordinates' the charging/discharging of a BESS</t>
  </si>
  <si>
    <t>Design (# chargers)</t>
  </si>
  <si>
    <t>The called charging strategy is where to charge and not when to do it</t>
  </si>
  <si>
    <t>The coordination it handles is wrt AUs and not Evs</t>
  </si>
  <si>
    <t>Its strength is to handle real data</t>
  </si>
  <si>
    <t>It does not consider bi-level programming not it is a coordination study. Also, it follows the ideas of article 6</t>
  </si>
  <si>
    <t>It does not consider bi-level programming not it is a coordination study.</t>
  </si>
  <si>
    <t>It coordinates the charging but not at an EV level, just at the AU level</t>
  </si>
  <si>
    <t>It considers buses</t>
  </si>
  <si>
    <t>Coordination study</t>
  </si>
  <si>
    <t>Hierarchical optimization</t>
  </si>
  <si>
    <t>Deletion reason</t>
  </si>
  <si>
    <t>Type of articles*</t>
  </si>
  <si>
    <t>Design</t>
  </si>
  <si>
    <t>It presents a table with SoC equations</t>
  </si>
  <si>
    <t>It propose a new charging mode (business)</t>
  </si>
  <si>
    <t>We should recommend this in our article. It study different charging strategies and explains the consequences of using each one.</t>
  </si>
  <si>
    <t>It develops a pricing-based charging strategy</t>
  </si>
  <si>
    <t>It uses stochastic optimization</t>
  </si>
  <si>
    <t>It uses a Nash equilibrium based on charging anxiety</t>
  </si>
  <si>
    <t>Distribution operator (DO), Service operator (SO), Market operator, Distribution system, Centralized controller (CC), Electrical/Electricity Network Operator (ENO), Charging network operator (CNO), Distribution company (DISCO)</t>
  </si>
  <si>
    <t>It 'coordinates' the power flow based on vehicles' driving choices</t>
  </si>
  <si>
    <t>It is interesting the workflow in fig 4</t>
  </si>
  <si>
    <t>Useful for charging infrastructure and to support the tackle of placement and design problem</t>
  </si>
  <si>
    <t>It is not a coordination study, it aims to determine the price</t>
  </si>
  <si>
    <t>Useful for benefits of using Evs</t>
  </si>
  <si>
    <t>It is useful to support sizing problem</t>
  </si>
  <si>
    <t>It is a framework to supply power</t>
  </si>
  <si>
    <t>It focuses on dynamic charging infrastructure</t>
  </si>
  <si>
    <t>It is not a coordination study, it is close to article 6</t>
  </si>
  <si>
    <t>Although it handles coordination, it considers battery swapping</t>
  </si>
  <si>
    <t>It is quite close to article 6. It is interesting the classification of problems (path-flow …)</t>
  </si>
  <si>
    <t>It is not a coordination study. This is because it handles a freight transportation fleet</t>
  </si>
  <si>
    <t>It is not a coordination study. Also, it considers dynamic charging infrastructure</t>
  </si>
  <si>
    <t>It aims to forecast the charging behavior</t>
  </si>
  <si>
    <t>It is a routing problem</t>
  </si>
  <si>
    <t>It considers battery swapping</t>
  </si>
  <si>
    <t>Section 10 is the most interesting and useful for us</t>
  </si>
  <si>
    <t>Section 2 and 8 are useful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</si>
</sst>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0"/>
      <name val="Arial"/>
      <family val="2"/>
    </font>
    <font>
      <sz val="10"/>
      <color theme="1"/>
      <name val="Arial"/>
      <family val="2"/>
    </font>
    <font>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9" fillId="0" borderId="0"/>
    <xf numFmtId="9" fontId="19" fillId="0" borderId="0" applyFont="0" applyFill="0" applyBorder="0" applyAlignment="0" applyProtection="0"/>
  </cellStyleXfs>
  <cellXfs count="46">
    <xf numFmtId="0" fontId="0" fillId="0" borderId="0" xfId="0"/>
    <xf numFmtId="0" fontId="0" fillId="0" borderId="0" xfId="0" applyAlignment="1">
      <alignment wrapText="1"/>
    </xf>
    <xf numFmtId="0" fontId="18" fillId="0" borderId="0" xfId="0" applyFont="1"/>
    <xf numFmtId="0" fontId="0" fillId="0" borderId="0" xfId="0" applyAlignment="1">
      <alignment horizontal="left" vertical="top" wrapText="1"/>
    </xf>
    <xf numFmtId="0" fontId="0" fillId="0" borderId="0" xfId="0" applyAlignment="1">
      <alignment vertical="top" wrapText="1"/>
    </xf>
    <xf numFmtId="0" fontId="0" fillId="0" borderId="0" xfId="0" quotePrefix="1" applyAlignment="1">
      <alignment horizontal="left" vertical="top" wrapText="1"/>
    </xf>
    <xf numFmtId="10" fontId="20" fillId="0" borderId="10" xfId="44" applyNumberFormat="1" applyFont="1" applyBorder="1" applyAlignment="1">
      <alignment horizontal="center"/>
    </xf>
    <xf numFmtId="14" fontId="0" fillId="0" borderId="0" xfId="0" applyNumberFormat="1"/>
    <xf numFmtId="14" fontId="0" fillId="0" borderId="0" xfId="0" applyNumberFormat="1" applyAlignment="1">
      <alignment horizontal="left" vertical="top" wrapText="1"/>
    </xf>
    <xf numFmtId="0" fontId="0" fillId="0" borderId="0" xfId="0" applyAlignment="1">
      <alignment horizontal="left" wrapText="1"/>
    </xf>
    <xf numFmtId="0" fontId="18" fillId="0" borderId="0" xfId="0" applyFont="1" applyAlignment="1">
      <alignment horizontal="left"/>
    </xf>
    <xf numFmtId="0" fontId="18" fillId="0" borderId="0" xfId="0" applyFont="1" applyAlignment="1">
      <alignment horizontal="left" wrapText="1"/>
    </xf>
    <xf numFmtId="3" fontId="0" fillId="0" borderId="0" xfId="42" applyNumberFormat="1" applyFont="1" applyAlignment="1">
      <alignment horizontal="right" vertical="top" wrapText="1"/>
    </xf>
    <xf numFmtId="0" fontId="0" fillId="0" borderId="0" xfId="0" applyAlignment="1">
      <alignment horizontal="right" vertical="top" wrapText="1"/>
    </xf>
    <xf numFmtId="10" fontId="19" fillId="0" borderId="10" xfId="42" applyNumberFormat="1" applyFont="1" applyBorder="1" applyAlignment="1">
      <alignment horizontal="center"/>
    </xf>
    <xf numFmtId="0" fontId="0" fillId="0" borderId="0" xfId="0" applyAlignment="1">
      <alignment horizontal="left" vertical="top"/>
    </xf>
    <xf numFmtId="15" fontId="0" fillId="0" borderId="0" xfId="0" applyNumberFormat="1"/>
    <xf numFmtId="17" fontId="0" fillId="0" borderId="0" xfId="0" applyNumberFormat="1"/>
    <xf numFmtId="3" fontId="0" fillId="0" borderId="0" xfId="0" applyNumberFormat="1" applyAlignment="1">
      <alignment horizontal="left" vertical="top" wrapText="1"/>
    </xf>
    <xf numFmtId="0" fontId="0" fillId="33" borderId="0" xfId="0" applyFill="1"/>
    <xf numFmtId="0" fontId="0" fillId="33" borderId="0" xfId="0" applyFill="1" applyAlignment="1">
      <alignment horizontal="center"/>
    </xf>
    <xf numFmtId="0" fontId="0" fillId="33" borderId="15" xfId="0" applyFill="1" applyBorder="1" applyAlignment="1">
      <alignment horizontal="center"/>
    </xf>
    <xf numFmtId="0" fontId="0" fillId="33" borderId="15" xfId="0" applyFill="1" applyBorder="1"/>
    <xf numFmtId="0" fontId="0" fillId="33" borderId="12" xfId="0" applyFill="1" applyBorder="1"/>
    <xf numFmtId="3" fontId="0" fillId="33" borderId="12" xfId="0" applyNumberFormat="1" applyFill="1" applyBorder="1"/>
    <xf numFmtId="3" fontId="0" fillId="33" borderId="0" xfId="0" applyNumberFormat="1" applyFill="1"/>
    <xf numFmtId="0" fontId="0" fillId="33" borderId="14" xfId="0" applyFill="1" applyBorder="1"/>
    <xf numFmtId="3" fontId="0" fillId="33" borderId="14" xfId="0" applyNumberFormat="1" applyFill="1" applyBorder="1"/>
    <xf numFmtId="3" fontId="0" fillId="33" borderId="15" xfId="0" applyNumberFormat="1" applyFill="1" applyBorder="1"/>
    <xf numFmtId="0" fontId="19" fillId="0" borderId="0" xfId="43"/>
    <xf numFmtId="0" fontId="21" fillId="0" borderId="0" xfId="0" applyFont="1"/>
    <xf numFmtId="0" fontId="19" fillId="0" borderId="10" xfId="43" applyBorder="1" applyAlignment="1">
      <alignment horizontal="center"/>
    </xf>
    <xf numFmtId="0" fontId="19" fillId="0" borderId="0" xfId="43" applyAlignment="1">
      <alignment horizontal="center"/>
    </xf>
    <xf numFmtId="14" fontId="19" fillId="0" borderId="10" xfId="43" applyNumberFormat="1" applyBorder="1" applyAlignment="1">
      <alignment horizontal="center"/>
    </xf>
    <xf numFmtId="14" fontId="19" fillId="0" borderId="0" xfId="43" applyNumberFormat="1" applyAlignment="1">
      <alignment horizontal="center"/>
    </xf>
    <xf numFmtId="14" fontId="19" fillId="0" borderId="0" xfId="43" applyNumberFormat="1"/>
    <xf numFmtId="0" fontId="20" fillId="0" borderId="10" xfId="0" applyFont="1" applyBorder="1" applyAlignment="1">
      <alignment horizontal="center"/>
    </xf>
    <xf numFmtId="0" fontId="20" fillId="0" borderId="10" xfId="0" applyFont="1" applyBorder="1"/>
    <xf numFmtId="0" fontId="19" fillId="0" borderId="10" xfId="43" applyBorder="1" applyAlignment="1">
      <alignment horizontal="center"/>
    </xf>
    <xf numFmtId="0" fontId="19" fillId="0" borderId="11" xfId="43" applyBorder="1" applyAlignment="1">
      <alignment horizontal="center"/>
    </xf>
    <xf numFmtId="0" fontId="19" fillId="0" borderId="12" xfId="43" applyBorder="1" applyAlignment="1">
      <alignment horizontal="center"/>
    </xf>
    <xf numFmtId="0" fontId="19" fillId="0" borderId="13" xfId="43" applyBorder="1" applyAlignment="1">
      <alignment horizontal="center"/>
    </xf>
    <xf numFmtId="0" fontId="0" fillId="33" borderId="0" xfId="0" applyFill="1" applyAlignment="1">
      <alignment horizontal="left" vertical="center"/>
    </xf>
    <xf numFmtId="0" fontId="0" fillId="33" borderId="14" xfId="0" applyFill="1" applyBorder="1" applyAlignment="1">
      <alignment horizontal="left" vertical="center"/>
    </xf>
    <xf numFmtId="0" fontId="0" fillId="33" borderId="12" xfId="0" applyFill="1" applyBorder="1" applyAlignment="1">
      <alignment horizontal="center"/>
    </xf>
    <xf numFmtId="0" fontId="0" fillId="33" borderId="15" xfId="0" applyFill="1" applyBorder="1" applyAlignment="1">
      <alignment horizontal="lef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4ABCA006-54C5-BA40-8224-5ECF062D804E}"/>
    <cellStyle name="Note" xfId="15" builtinId="10" customBuiltin="1"/>
    <cellStyle name="Output" xfId="10" builtinId="21" customBuiltin="1"/>
    <cellStyle name="Percent" xfId="42" builtinId="5"/>
    <cellStyle name="Percent 2" xfId="44" xr:uid="{50E14C48-3700-D644-9545-E1C2ED218F46}"/>
    <cellStyle name="Title" xfId="1" builtinId="15" customBuiltin="1"/>
    <cellStyle name="Total" xfId="17" builtinId="25" customBuiltin="1"/>
    <cellStyle name="Warning Text" xfId="14" builtinId="11" customBuiltin="1"/>
  </cellStyles>
  <dxfs count="4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r>
              <a:rPr lang="en-US"/>
              <a:t>Published articles per problem and database</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endParaRPr lang="en-US"/>
        </a:p>
      </c:txPr>
    </c:title>
    <c:autoTitleDeleted val="0"/>
    <c:plotArea>
      <c:layout/>
      <c:barChart>
        <c:barDir val="col"/>
        <c:grouping val="stacked"/>
        <c:varyColors val="0"/>
        <c:ser>
          <c:idx val="0"/>
          <c:order val="0"/>
          <c:tx>
            <c:strRef>
              <c:f>WorkFlow!$H$3</c:f>
              <c:strCache>
                <c:ptCount val="1"/>
                <c:pt idx="0">
                  <c:v>Google Scholar</c:v>
                </c:pt>
              </c:strCache>
            </c:strRef>
          </c:tx>
          <c:spPr>
            <a:solidFill>
              <a:schemeClr val="accent1"/>
            </a:solidFill>
            <a:ln>
              <a:noFill/>
            </a:ln>
            <a:effectLst/>
          </c:spPr>
          <c:invertIfNegative val="0"/>
          <c:cat>
            <c:strRef>
              <c:f>WorkFlow!$F$12:$F$14</c:f>
              <c:strCache>
                <c:ptCount val="3"/>
                <c:pt idx="0">
                  <c:v>Single facility charging problem</c:v>
                </c:pt>
                <c:pt idx="1">
                  <c:v>Multi-facility charging problem</c:v>
                </c:pt>
                <c:pt idx="2">
                  <c:v>Distribution network problem</c:v>
                </c:pt>
              </c:strCache>
            </c:strRef>
          </c:cat>
          <c:val>
            <c:numRef>
              <c:f>WorkFlow!$H$12:$H$14</c:f>
              <c:numCache>
                <c:formatCode>General</c:formatCode>
                <c:ptCount val="3"/>
                <c:pt idx="0">
                  <c:v>0</c:v>
                </c:pt>
                <c:pt idx="1">
                  <c:v>1</c:v>
                </c:pt>
                <c:pt idx="2">
                  <c:v>0</c:v>
                </c:pt>
              </c:numCache>
            </c:numRef>
          </c:val>
          <c:extLst>
            <c:ext xmlns:c16="http://schemas.microsoft.com/office/drawing/2014/chart" uri="{C3380CC4-5D6E-409C-BE32-E72D297353CC}">
              <c16:uniqueId val="{00000000-D8AC-3444-B217-EB993E8D8FC8}"/>
            </c:ext>
          </c:extLst>
        </c:ser>
        <c:ser>
          <c:idx val="1"/>
          <c:order val="1"/>
          <c:tx>
            <c:strRef>
              <c:f>WorkFlow!$I$3</c:f>
              <c:strCache>
                <c:ptCount val="1"/>
                <c:pt idx="0">
                  <c:v>WoS</c:v>
                </c:pt>
              </c:strCache>
            </c:strRef>
          </c:tx>
          <c:spPr>
            <a:solidFill>
              <a:schemeClr val="accent2"/>
            </a:solidFill>
            <a:ln>
              <a:noFill/>
            </a:ln>
            <a:effectLst/>
          </c:spPr>
          <c:invertIfNegative val="0"/>
          <c:cat>
            <c:strRef>
              <c:f>WorkFlow!$F$12:$F$14</c:f>
              <c:strCache>
                <c:ptCount val="3"/>
                <c:pt idx="0">
                  <c:v>Single facility charging problem</c:v>
                </c:pt>
                <c:pt idx="1">
                  <c:v>Multi-facility charging problem</c:v>
                </c:pt>
                <c:pt idx="2">
                  <c:v>Distribution network problem</c:v>
                </c:pt>
              </c:strCache>
            </c:strRef>
          </c:cat>
          <c:val>
            <c:numRef>
              <c:f>WorkFlow!$I$12:$I$14</c:f>
              <c:numCache>
                <c:formatCode>General</c:formatCode>
                <c:ptCount val="3"/>
                <c:pt idx="0">
                  <c:v>0</c:v>
                </c:pt>
                <c:pt idx="1">
                  <c:v>0</c:v>
                </c:pt>
                <c:pt idx="2">
                  <c:v>1</c:v>
                </c:pt>
              </c:numCache>
            </c:numRef>
          </c:val>
          <c:extLst>
            <c:ext xmlns:c16="http://schemas.microsoft.com/office/drawing/2014/chart" uri="{C3380CC4-5D6E-409C-BE32-E72D297353CC}">
              <c16:uniqueId val="{00000001-D8AC-3444-B217-EB993E8D8FC8}"/>
            </c:ext>
          </c:extLst>
        </c:ser>
        <c:ser>
          <c:idx val="2"/>
          <c:order val="2"/>
          <c:tx>
            <c:strRef>
              <c:f>WorkFlow!$J$3</c:f>
              <c:strCache>
                <c:ptCount val="1"/>
                <c:pt idx="0">
                  <c:v>Scopus</c:v>
                </c:pt>
              </c:strCache>
            </c:strRef>
          </c:tx>
          <c:spPr>
            <a:solidFill>
              <a:schemeClr val="accent3"/>
            </a:solidFill>
            <a:ln>
              <a:noFill/>
            </a:ln>
            <a:effectLst/>
          </c:spPr>
          <c:invertIfNegative val="0"/>
          <c:cat>
            <c:strRef>
              <c:f>WorkFlow!$F$12:$F$14</c:f>
              <c:strCache>
                <c:ptCount val="3"/>
                <c:pt idx="0">
                  <c:v>Single facility charging problem</c:v>
                </c:pt>
                <c:pt idx="1">
                  <c:v>Multi-facility charging problem</c:v>
                </c:pt>
                <c:pt idx="2">
                  <c:v>Distribution network problem</c:v>
                </c:pt>
              </c:strCache>
            </c:strRef>
          </c:cat>
          <c:val>
            <c:numRef>
              <c:f>WorkFlow!$J$12:$J$14</c:f>
              <c:numCache>
                <c:formatCode>General</c:formatCode>
                <c:ptCount val="3"/>
                <c:pt idx="0">
                  <c:v>0</c:v>
                </c:pt>
                <c:pt idx="1">
                  <c:v>0</c:v>
                </c:pt>
                <c:pt idx="2">
                  <c:v>0</c:v>
                </c:pt>
              </c:numCache>
            </c:numRef>
          </c:val>
          <c:extLst>
            <c:ext xmlns:c16="http://schemas.microsoft.com/office/drawing/2014/chart" uri="{C3380CC4-5D6E-409C-BE32-E72D297353CC}">
              <c16:uniqueId val="{00000002-D8AC-3444-B217-EB993E8D8FC8}"/>
            </c:ext>
          </c:extLst>
        </c:ser>
        <c:ser>
          <c:idx val="3"/>
          <c:order val="3"/>
          <c:tx>
            <c:strRef>
              <c:f>WorkFlow!$K$3</c:f>
              <c:strCache>
                <c:ptCount val="1"/>
                <c:pt idx="0">
                  <c:v>Compendex or Inspec</c:v>
                </c:pt>
              </c:strCache>
            </c:strRef>
          </c:tx>
          <c:spPr>
            <a:solidFill>
              <a:schemeClr val="accent4"/>
            </a:solidFill>
            <a:ln>
              <a:noFill/>
            </a:ln>
            <a:effectLst/>
          </c:spPr>
          <c:invertIfNegative val="0"/>
          <c:cat>
            <c:strRef>
              <c:f>WorkFlow!$F$12:$F$14</c:f>
              <c:strCache>
                <c:ptCount val="3"/>
                <c:pt idx="0">
                  <c:v>Single facility charging problem</c:v>
                </c:pt>
                <c:pt idx="1">
                  <c:v>Multi-facility charging problem</c:v>
                </c:pt>
                <c:pt idx="2">
                  <c:v>Distribution network problem</c:v>
                </c:pt>
              </c:strCache>
            </c:strRef>
          </c:cat>
          <c:val>
            <c:numRef>
              <c:f>WorkFlow!$K$12:$K$14</c:f>
              <c:numCache>
                <c:formatCode>General</c:formatCode>
                <c:ptCount val="3"/>
                <c:pt idx="0">
                  <c:v>0</c:v>
                </c:pt>
                <c:pt idx="1">
                  <c:v>0</c:v>
                </c:pt>
                <c:pt idx="2">
                  <c:v>0</c:v>
                </c:pt>
              </c:numCache>
            </c:numRef>
          </c:val>
          <c:extLst>
            <c:ext xmlns:c16="http://schemas.microsoft.com/office/drawing/2014/chart" uri="{C3380CC4-5D6E-409C-BE32-E72D297353CC}">
              <c16:uniqueId val="{00000003-D8AC-3444-B217-EB993E8D8FC8}"/>
            </c:ext>
          </c:extLst>
        </c:ser>
        <c:dLbls>
          <c:showLegendKey val="0"/>
          <c:showVal val="0"/>
          <c:showCatName val="0"/>
          <c:showSerName val="0"/>
          <c:showPercent val="0"/>
          <c:showBubbleSize val="0"/>
        </c:dLbls>
        <c:gapWidth val="150"/>
        <c:overlap val="100"/>
        <c:axId val="242063536"/>
        <c:axId val="242065216"/>
      </c:barChart>
      <c:catAx>
        <c:axId val="24206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2065216"/>
        <c:crosses val="autoZero"/>
        <c:auto val="1"/>
        <c:lblAlgn val="ctr"/>
        <c:lblOffset val="100"/>
        <c:noMultiLvlLbl val="0"/>
      </c:catAx>
      <c:valAx>
        <c:axId val="242065216"/>
        <c:scaling>
          <c:orientation val="minMax"/>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2063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64244</xdr:colOff>
      <xdr:row>15</xdr:row>
      <xdr:rowOff>202249</xdr:rowOff>
    </xdr:from>
    <xdr:to>
      <xdr:col>5</xdr:col>
      <xdr:colOff>933737</xdr:colOff>
      <xdr:row>34</xdr:row>
      <xdr:rowOff>25951</xdr:rowOff>
    </xdr:to>
    <xdr:graphicFrame macro="">
      <xdr:nvGraphicFramePr>
        <xdr:cNvPr id="2" name="Chart 1">
          <a:extLst>
            <a:ext uri="{FF2B5EF4-FFF2-40B4-BE49-F238E27FC236}">
              <a16:creationId xmlns:a16="http://schemas.microsoft.com/office/drawing/2014/main" id="{AE1D5015-A5CB-95F1-2197-85F6CDD3B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uis Rojo González" id="{9809D69B-D81D-2B46-81F7-44D94B076B00}" userId="S::luis.rojo.g@usach.cl::e73de8d6-e603-4639-a158-e25de61b2a7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2-12-21T15:59:16.46" personId="{9809D69B-D81D-2B46-81F7-44D94B076B00}" id="{5C9B66DC-A084-EA40-9D0D-F12CD7BC3F18}">
    <text>Bi-level or Tri-level</text>
  </threadedComment>
</ThreadedComments>
</file>

<file path=xl/threadedComments/threadedComment2.xml><?xml version="1.0" encoding="utf-8"?>
<ThreadedComments xmlns="http://schemas.microsoft.com/office/spreadsheetml/2018/threadedcomments" xmlns:x="http://schemas.openxmlformats.org/spreadsheetml/2006/main">
  <threadedComment ref="K1" dT="2022-12-17T23:31:01.47" personId="{9809D69B-D81D-2B46-81F7-44D94B076B00}" id="{FE7DA266-AB3A-8349-B93F-9EFB1295B463}">
    <text>Whether they handle the design of charging facilities</text>
  </threadedComment>
  <threadedComment ref="U1" dT="2022-09-15T18:03:44.84" personId="{9809D69B-D81D-2B46-81F7-44D94B076B00}" id="{2A71CAF8-43A4-2C44-A6CD-1A2B2211FA7C}">
    <text>Full or Partial</text>
  </threadedComment>
  <threadedComment ref="Y1" dT="2022-09-15T18:04:02.98" personId="{9809D69B-D81D-2B46-81F7-44D94B076B00}" id="{6F48C977-2914-AF4A-810B-15CD5B4B420A}">
    <text>Linear or Nonlinear</text>
  </threadedComment>
  <threadedComment ref="Z1" dT="2022-09-15T18:04:25.53" personId="{9809D69B-D81D-2B46-81F7-44D94B076B00}" id="{C99DF3AF-B081-4442-9645-5C097978A752}">
    <text>Homogeneous or Heterogeneous</text>
  </threadedComment>
  <threadedComment ref="AA1" dT="2022-07-23T20:14:54.96" personId="{9809D69B-D81D-2B46-81F7-44D94B076B00}" id="{916B3C1C-4214-4442-819B-7E36A3CC4811}">
    <text>Number of EVs</text>
  </threadedComment>
  <threadedComment ref="AB1" dT="2022-09-15T18:05:47.23" personId="{9809D69B-D81D-2B46-81F7-44D94B076B00}" id="{4B5B5414-9736-B24E-9CA1-17CF3F383AF4}">
    <text>Private, logistic or transportation</text>
  </threadedComment>
  <threadedComment ref="AC1" dT="2022-09-15T18:48:27.71" personId="{9809D69B-D81D-2B46-81F7-44D94B076B00}" id="{E78FA254-9617-3A44-B9F1-F51E95A99119}">
    <text>Homogeneous or Heterogeneous (this is the charging pile)</text>
  </threadedComment>
  <threadedComment ref="AE1" dT="2022-09-15T19:03:09.09" personId="{9809D69B-D81D-2B46-81F7-44D94B076B00}" id="{8D018A93-79B3-5C4E-BFD4-BDAAFECD31C6}">
    <text>Renewable energy sources</text>
  </threadedComment>
  <threadedComment ref="AF1" dT="2022-09-15T19:16:35.97" personId="{9809D69B-D81D-2B46-81F7-44D94B076B00}" id="{EAA2FECB-250D-EF47-A4F4-0CC84FA2FFCA}">
    <text>Centralized, Decentralized or Aggregator-assisted</text>
  </threadedComment>
  <threadedComment ref="AH1" dT="2022-06-07T14:43:48.56" personId="{9809D69B-D81D-2B46-81F7-44D94B076B00}" id="{E7431414-F00F-FE40-B809-AFE49C3E07F1}">
    <text>It refers to how energy is bought. Can be either one-day-ahead, intra-day</text>
  </threadedComment>
  <threadedComment ref="AI1" dT="2022-12-16T21:43:01.05" personId="{9809D69B-D81D-2B46-81F7-44D94B076B00}" id="{4225326F-0146-2A4C-85D6-8D74584CC1AF}">
    <text>TCC, PCC</text>
  </threadedComment>
  <threadedComment ref="AJ1" dT="2022-07-19T16:02:26.74" personId="{9809D69B-D81D-2B46-81F7-44D94B076B00}" id="{8EDE8A1C-B627-DC47-A65E-EB7CFCFFD25F}">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FA3C56C8-4F2C-3541-A7D2-33962BEB4B76}">
    <text>EVSE or Power</text>
  </threadedComment>
  <threadedComment ref="AU1" dT="2022-12-16T21:39:37.61" personId="{9809D69B-D81D-2B46-81F7-44D94B076B00}" id="{BB5CA701-04EE-8C46-8CC7-316610DF4A95}">
    <text>Station, Parking</text>
  </threadedComment>
  <threadedComment ref="AV1" dT="2022-12-19T16:20:36.98" personId="{9809D69B-D81D-2B46-81F7-44D94B076B00}" id="{E384A8E7-8603-634D-A01F-927D4A609E53}">
    <text>Parking</text>
  </threadedComment>
  <threadedComment ref="AW1" dT="2022-12-19T16:20:46.69" personId="{9809D69B-D81D-2B46-81F7-44D94B076B00}" id="{4B06012C-67C7-2D4A-AD78-5562589D1783}">
    <text>Home, Parking</text>
  </threadedComment>
</ThreadedComments>
</file>

<file path=xl/threadedComments/threadedComment3.xml><?xml version="1.0" encoding="utf-8"?>
<ThreadedComments xmlns="http://schemas.microsoft.com/office/spreadsheetml/2018/threadedcomments" xmlns:x="http://schemas.openxmlformats.org/spreadsheetml/2006/main">
  <threadedComment ref="K1" dT="2022-12-17T23:31:01.47" personId="{9809D69B-D81D-2B46-81F7-44D94B076B00}" id="{84186AF0-2AC4-2E4F-B7C6-A2E8E72C6D71}">
    <text>Whether they handle the design of charging facilities</text>
  </threadedComment>
  <threadedComment ref="U1" dT="2022-09-15T18:03:44.84" personId="{9809D69B-D81D-2B46-81F7-44D94B076B00}" id="{454CBBDA-180A-E442-A561-BF0E7B32D169}">
    <text>Full or Partial</text>
  </threadedComment>
  <threadedComment ref="Y1" dT="2022-09-15T18:04:02.98" personId="{9809D69B-D81D-2B46-81F7-44D94B076B00}" id="{69235D67-C89C-5D44-ACBC-DF9F1C25B8F3}">
    <text>Linear or Nonlinear</text>
  </threadedComment>
  <threadedComment ref="Z1" dT="2022-09-15T18:04:25.53" personId="{9809D69B-D81D-2B46-81F7-44D94B076B00}" id="{172307A8-2091-E24B-8B67-F72BFC070594}">
    <text>Homogeneous or Heterogeneous</text>
  </threadedComment>
  <threadedComment ref="AA1" dT="2022-07-23T20:14:54.96" personId="{9809D69B-D81D-2B46-81F7-44D94B076B00}" id="{03CA9BFA-FBDC-1A4B-8275-83434A437FA0}">
    <text>Number of EVs</text>
  </threadedComment>
  <threadedComment ref="AB1" dT="2022-09-15T18:05:47.23" personId="{9809D69B-D81D-2B46-81F7-44D94B076B00}" id="{FCBBFAF9-BCC3-EC49-87C0-03D07CFC80BD}">
    <text>Private, logistic or transportation</text>
  </threadedComment>
  <threadedComment ref="AC1" dT="2022-09-15T18:48:27.71" personId="{9809D69B-D81D-2B46-81F7-44D94B076B00}" id="{6516372B-E32F-8A40-86A9-14A3DD0B1648}">
    <text>Homogeneous or Heterogeneous (this is the charging pile)</text>
  </threadedComment>
  <threadedComment ref="AE1" dT="2022-09-15T19:03:09.09" personId="{9809D69B-D81D-2B46-81F7-44D94B076B00}" id="{76D821DD-38FD-5F4A-ADE7-1B65ED5B58E7}">
    <text>Renewable energy sources</text>
  </threadedComment>
  <threadedComment ref="AF1" dT="2022-09-15T19:16:35.97" personId="{9809D69B-D81D-2B46-81F7-44D94B076B00}" id="{02FC83B9-1B8C-5F41-A5AF-1548CE35FA8C}">
    <text>Centralized, Decentralized or Aggregator-assisted</text>
  </threadedComment>
  <threadedComment ref="AH1" dT="2022-06-07T14:43:48.56" personId="{9809D69B-D81D-2B46-81F7-44D94B076B00}" id="{25FDDE67-95BE-4C4E-9754-D2C0FCFDC344}">
    <text>It refers to how energy is bought. Can be either one-day-ahead, intra-day</text>
  </threadedComment>
  <threadedComment ref="AI1" dT="2022-12-16T21:43:01.05" personId="{9809D69B-D81D-2B46-81F7-44D94B076B00}" id="{DE22572C-B00B-A744-A8D5-4AE25CE1D1A7}">
    <text>TCC, PCC</text>
  </threadedComment>
  <threadedComment ref="AJ1" dT="2022-07-19T16:02:26.74" personId="{9809D69B-D81D-2B46-81F7-44D94B076B00}" id="{F515E987-2653-A54C-AA8A-F26552D3E3B9}">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3D35DA33-9FC7-0946-BF6C-A7E867B7D6DB}">
    <text>EVSE or Power</text>
  </threadedComment>
  <threadedComment ref="AU1" dT="2022-12-16T21:39:37.61" personId="{9809D69B-D81D-2B46-81F7-44D94B076B00}" id="{3AC4122C-DE23-274F-A1E2-774DB4037B44}">
    <text>Station, Parking</text>
  </threadedComment>
  <threadedComment ref="AV1" dT="2022-12-19T16:20:36.98" personId="{9809D69B-D81D-2B46-81F7-44D94B076B00}" id="{88D8A2A8-9010-BA4B-A4C2-23B45037BE3B}">
    <text>Parking</text>
  </threadedComment>
  <threadedComment ref="AW1" dT="2022-12-19T16:20:46.69" personId="{9809D69B-D81D-2B46-81F7-44D94B076B00}" id="{9F4FC70B-381E-2445-8BE6-E86E6FD6E97E}">
    <text>Home, Parking</text>
  </threadedComment>
</ThreadedComments>
</file>

<file path=xl/threadedComments/threadedComment4.xml><?xml version="1.0" encoding="utf-8"?>
<ThreadedComments xmlns="http://schemas.microsoft.com/office/spreadsheetml/2018/threadedcomments" xmlns:x="http://schemas.openxmlformats.org/spreadsheetml/2006/main">
  <threadedComment ref="K1" dT="2022-12-17T23:31:01.47" personId="{9809D69B-D81D-2B46-81F7-44D94B076B00}" id="{E8376D4E-B0E5-AE4A-A21C-8984F994671B}">
    <text>Whether they handle the design of charging facilities</text>
  </threadedComment>
  <threadedComment ref="U1" dT="2022-09-15T18:03:44.84" personId="{9809D69B-D81D-2B46-81F7-44D94B076B00}" id="{DA9F2890-84F3-314E-AE90-C927B7781A02}">
    <text>Full or Partial</text>
  </threadedComment>
  <threadedComment ref="Y1" dT="2022-09-15T18:04:02.98" personId="{9809D69B-D81D-2B46-81F7-44D94B076B00}" id="{0872E4F6-C66D-D34B-AA27-7AD4C6ED4348}">
    <text>Linear or Nonlinear</text>
  </threadedComment>
  <threadedComment ref="Z1" dT="2022-09-15T18:04:25.53" personId="{9809D69B-D81D-2B46-81F7-44D94B076B00}" id="{8173354D-7929-6A40-9851-4F21AEEFF2D0}">
    <text>Homogeneous or Heterogeneous</text>
  </threadedComment>
  <threadedComment ref="AA1" dT="2022-07-23T20:14:54.96" personId="{9809D69B-D81D-2B46-81F7-44D94B076B00}" id="{7E95135D-F8EB-6344-BFB3-BE7653A9D232}">
    <text>Number of EVs</text>
  </threadedComment>
  <threadedComment ref="AB1" dT="2022-09-15T18:05:47.23" personId="{9809D69B-D81D-2B46-81F7-44D94B076B00}" id="{2F529146-E08D-BC45-B4CB-40AA28259BA5}">
    <text>Private, logistic or transportation</text>
  </threadedComment>
  <threadedComment ref="AC1" dT="2022-09-15T18:48:27.71" personId="{9809D69B-D81D-2B46-81F7-44D94B076B00}" id="{18E6514D-D499-9240-95A9-B46585154A74}">
    <text>Homogeneous or Heterogeneous (this is the charging pile)</text>
  </threadedComment>
  <threadedComment ref="AE1" dT="2022-09-15T19:03:09.09" personId="{9809D69B-D81D-2B46-81F7-44D94B076B00}" id="{8E60E95C-7125-0045-84E3-6D90E649E58F}">
    <text>Renewable energy sources</text>
  </threadedComment>
  <threadedComment ref="AF1" dT="2022-09-15T19:16:35.97" personId="{9809D69B-D81D-2B46-81F7-44D94B076B00}" id="{7455E39F-4B31-E647-9091-EECE8362A344}">
    <text>Centralized, Decentralized or Aggregator-assisted</text>
  </threadedComment>
  <threadedComment ref="AH1" dT="2022-06-07T14:43:48.56" personId="{9809D69B-D81D-2B46-81F7-44D94B076B00}" id="{323F6741-F84D-D44E-9600-D7409DD00CBE}">
    <text>It refers to how energy is bought. Can be either one-day-ahead, intra-day</text>
  </threadedComment>
  <threadedComment ref="AI1" dT="2022-12-16T21:43:01.05" personId="{9809D69B-D81D-2B46-81F7-44D94B076B00}" id="{E5AEC698-668E-E84A-82D2-69719EBE527C}">
    <text>TCC, PCC</text>
  </threadedComment>
  <threadedComment ref="AJ1" dT="2022-07-19T16:02:26.74" personId="{9809D69B-D81D-2B46-81F7-44D94B076B00}" id="{264D743B-BBB6-1348-A2A2-52AAA08B43BA}">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DE0D6D61-AC01-0D4D-A0C0-97C9097B6382}">
    <text>EVSE or Power</text>
  </threadedComment>
  <threadedComment ref="AU1" dT="2022-12-16T21:39:37.61" personId="{9809D69B-D81D-2B46-81F7-44D94B076B00}" id="{AC56668E-C1ED-3B49-9E4B-F337DC6033A6}">
    <text>Station, Parking</text>
  </threadedComment>
  <threadedComment ref="AV1" dT="2022-12-19T16:20:36.98" personId="{9809D69B-D81D-2B46-81F7-44D94B076B00}" id="{4CF83453-782F-DB4A-B648-7BD36F6FBED8}">
    <text>Parking</text>
  </threadedComment>
  <threadedComment ref="AW1" dT="2022-12-19T16:20:46.69" personId="{9809D69B-D81D-2B46-81F7-44D94B076B00}" id="{0477CEEF-C007-584B-9237-E1FF7EE34E55}">
    <text>Home, Parking</text>
  </threadedComment>
</ThreadedComments>
</file>

<file path=xl/threadedComments/threadedComment5.xml><?xml version="1.0" encoding="utf-8"?>
<ThreadedComments xmlns="http://schemas.microsoft.com/office/spreadsheetml/2018/threadedcomments" xmlns:x="http://schemas.openxmlformats.org/spreadsheetml/2006/main">
  <threadedComment ref="K1" dT="2022-12-17T23:31:01.47" personId="{9809D69B-D81D-2B46-81F7-44D94B076B00}" id="{2FA04038-811E-174E-87EA-8BAE7BE14073}">
    <text>Whether they handle the design of charging facilities</text>
  </threadedComment>
  <threadedComment ref="U1" dT="2022-09-15T18:03:44.84" personId="{9809D69B-D81D-2B46-81F7-44D94B076B00}" id="{8FB575E1-B383-1245-B618-5664B51FC2C1}">
    <text>Full or Partial</text>
  </threadedComment>
  <threadedComment ref="Y1" dT="2022-09-15T18:04:02.98" personId="{9809D69B-D81D-2B46-81F7-44D94B076B00}" id="{4FAFD6FA-B050-6046-B9CB-18D1BF0457D9}">
    <text>Linear or Nonlinear</text>
  </threadedComment>
  <threadedComment ref="Z1" dT="2022-09-15T18:04:25.53" personId="{9809D69B-D81D-2B46-81F7-44D94B076B00}" id="{3A73B33F-68FC-C449-AF01-DE7D6C6F8CC4}">
    <text>Homogeneous or Heterogeneous</text>
  </threadedComment>
  <threadedComment ref="AA1" dT="2022-07-23T20:14:54.96" personId="{9809D69B-D81D-2B46-81F7-44D94B076B00}" id="{F90D5230-8740-FD45-94E1-AFB8DD263516}">
    <text>Number of EVs</text>
  </threadedComment>
  <threadedComment ref="AB1" dT="2022-09-15T18:05:47.23" personId="{9809D69B-D81D-2B46-81F7-44D94B076B00}" id="{6015DFF4-E078-E34F-BD20-6AE32E2E5AAC}">
    <text>Private, logistic or transportation</text>
  </threadedComment>
  <threadedComment ref="AC1" dT="2022-09-15T18:48:27.71" personId="{9809D69B-D81D-2B46-81F7-44D94B076B00}" id="{47495CB6-FEA1-754A-B43D-778431FD8E36}">
    <text>Homogeneous or Heterogeneous (this is the charging pile)</text>
  </threadedComment>
  <threadedComment ref="AE1" dT="2022-09-15T19:03:09.09" personId="{9809D69B-D81D-2B46-81F7-44D94B076B00}" id="{1A2B0595-74B3-7047-8A6B-BD8A6DA6B213}">
    <text>Renewable energy sources</text>
  </threadedComment>
  <threadedComment ref="AF1" dT="2022-09-15T19:16:35.97" personId="{9809D69B-D81D-2B46-81F7-44D94B076B00}" id="{1DB1114C-0663-6047-9E35-6046FA9036DE}">
    <text>Centralized, Decentralized or Aggregator-assisted</text>
  </threadedComment>
  <threadedComment ref="AH1" dT="2022-06-07T14:43:48.56" personId="{9809D69B-D81D-2B46-81F7-44D94B076B00}" id="{7ED4C9A9-B597-B048-84D1-D426F2A5A72F}">
    <text>It refers to how energy is bought. Can be either one-day-ahead, intra-day</text>
  </threadedComment>
  <threadedComment ref="AI1" dT="2022-12-16T21:43:01.05" personId="{9809D69B-D81D-2B46-81F7-44D94B076B00}" id="{453CF51A-94F9-264C-B621-FBA688D973D6}">
    <text>TCC, PCC</text>
  </threadedComment>
  <threadedComment ref="AJ1" dT="2022-07-19T16:02:26.74" personId="{9809D69B-D81D-2B46-81F7-44D94B076B00}" id="{DE9DCCC8-38CA-984B-BB4C-442816BF40D4}">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24ED855D-8092-B04C-9C17-5A95F13FFAB6}">
    <text>EVSE or Power</text>
  </threadedComment>
  <threadedComment ref="AU1" dT="2022-12-16T21:39:37.61" personId="{9809D69B-D81D-2B46-81F7-44D94B076B00}" id="{A2932C5C-7CB3-F34F-84B7-6F844216F6F7}">
    <text>Station, Parking</text>
  </threadedComment>
  <threadedComment ref="AV1" dT="2022-12-19T16:20:36.98" personId="{9809D69B-D81D-2B46-81F7-44D94B076B00}" id="{4081080E-B0C8-B849-B6DA-25ACD886D260}">
    <text>Parking</text>
  </threadedComment>
  <threadedComment ref="AW1" dT="2022-12-19T16:20:46.69" personId="{9809D69B-D81D-2B46-81F7-44D94B076B00}" id="{A96806C7-F5C9-3A4A-ADEB-E99DCEDD9E9C}">
    <text>Home, Parking</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C84C4-D214-284B-90BC-6A2481F38F31}">
  <dimension ref="A1:Q127"/>
  <sheetViews>
    <sheetView tabSelected="1" zoomScale="139" workbookViewId="0"/>
  </sheetViews>
  <sheetFormatPr baseColWidth="10" defaultRowHeight="16" x14ac:dyDescent="0.2"/>
  <cols>
    <col min="1" max="1" width="5.33203125" bestFit="1" customWidth="1"/>
    <col min="2" max="2" width="11" bestFit="1" customWidth="1"/>
    <col min="3" max="3" width="13.33203125" bestFit="1" customWidth="1"/>
    <col min="4" max="4" width="14" bestFit="1" customWidth="1"/>
    <col min="5" max="5" width="18.83203125" bestFit="1" customWidth="1"/>
    <col min="6" max="6" width="36.5" customWidth="1"/>
    <col min="7" max="7" width="16.6640625" bestFit="1" customWidth="1"/>
    <col min="8" max="8" width="12.83203125" customWidth="1"/>
    <col min="9" max="9" width="12" customWidth="1"/>
    <col min="10" max="10" width="11" customWidth="1"/>
    <col min="11" max="11" width="9.1640625" customWidth="1"/>
    <col min="14" max="14" width="10.83203125" customWidth="1"/>
  </cols>
  <sheetData>
    <row r="1" spans="1:14" x14ac:dyDescent="0.2">
      <c r="A1" t="s">
        <v>30</v>
      </c>
      <c r="B1" t="s">
        <v>252</v>
      </c>
      <c r="C1" t="s">
        <v>416</v>
      </c>
      <c r="D1" t="s">
        <v>415</v>
      </c>
      <c r="E1" t="s">
        <v>890</v>
      </c>
      <c r="F1" t="s">
        <v>327</v>
      </c>
      <c r="G1" t="s">
        <v>330</v>
      </c>
      <c r="H1" t="s">
        <v>0</v>
      </c>
      <c r="I1" t="s">
        <v>1</v>
      </c>
      <c r="J1" t="s">
        <v>2</v>
      </c>
      <c r="K1" t="s">
        <v>3</v>
      </c>
      <c r="L1" t="s">
        <v>4</v>
      </c>
      <c r="M1" t="s">
        <v>5</v>
      </c>
      <c r="N1" t="s">
        <v>6</v>
      </c>
    </row>
    <row r="2" spans="1:14" x14ac:dyDescent="0.2">
      <c r="A2">
        <v>1</v>
      </c>
      <c r="B2" s="7">
        <v>44917</v>
      </c>
      <c r="C2" s="7" t="s">
        <v>845</v>
      </c>
      <c r="D2" s="7" t="s">
        <v>844</v>
      </c>
      <c r="E2" s="7" t="s">
        <v>891</v>
      </c>
      <c r="F2" s="7" t="s">
        <v>869</v>
      </c>
      <c r="G2" s="7" t="s">
        <v>868</v>
      </c>
      <c r="H2" t="s">
        <v>417</v>
      </c>
      <c r="I2" t="s">
        <v>418</v>
      </c>
      <c r="J2" t="s">
        <v>682</v>
      </c>
      <c r="K2">
        <v>2013</v>
      </c>
      <c r="L2" t="s">
        <v>419</v>
      </c>
      <c r="M2" t="s">
        <v>664</v>
      </c>
      <c r="N2" t="s">
        <v>336</v>
      </c>
    </row>
    <row r="3" spans="1:14" x14ac:dyDescent="0.2">
      <c r="A3">
        <f>A2+1</f>
        <v>2</v>
      </c>
      <c r="B3" s="7">
        <v>44917</v>
      </c>
      <c r="C3" s="7" t="s">
        <v>845</v>
      </c>
      <c r="D3" s="7" t="s">
        <v>844</v>
      </c>
      <c r="E3" s="7" t="s">
        <v>845</v>
      </c>
      <c r="F3" s="7" t="s">
        <v>869</v>
      </c>
      <c r="G3" s="7" t="s">
        <v>868</v>
      </c>
      <c r="H3" t="s">
        <v>420</v>
      </c>
      <c r="I3" t="s">
        <v>421</v>
      </c>
      <c r="J3" t="s">
        <v>20</v>
      </c>
      <c r="K3">
        <v>2014</v>
      </c>
      <c r="L3" t="s">
        <v>665</v>
      </c>
      <c r="M3" t="s">
        <v>666</v>
      </c>
      <c r="N3" t="s">
        <v>336</v>
      </c>
    </row>
    <row r="4" spans="1:14" x14ac:dyDescent="0.2">
      <c r="A4">
        <f t="shared" ref="A4:A67" si="0">A3+1</f>
        <v>3</v>
      </c>
      <c r="B4" s="7">
        <v>44917</v>
      </c>
      <c r="C4" s="7" t="s">
        <v>916</v>
      </c>
      <c r="D4" s="7" t="s">
        <v>845</v>
      </c>
      <c r="E4" s="7" t="s">
        <v>891</v>
      </c>
      <c r="F4" s="7" t="s">
        <v>892</v>
      </c>
      <c r="G4" s="7" t="s">
        <v>868</v>
      </c>
      <c r="H4" t="s">
        <v>422</v>
      </c>
      <c r="I4" t="s">
        <v>423</v>
      </c>
      <c r="J4" t="s">
        <v>683</v>
      </c>
      <c r="K4">
        <v>2014</v>
      </c>
      <c r="L4" t="s">
        <v>424</v>
      </c>
      <c r="M4" t="s">
        <v>667</v>
      </c>
      <c r="N4" t="s">
        <v>336</v>
      </c>
    </row>
    <row r="5" spans="1:14" x14ac:dyDescent="0.2">
      <c r="A5">
        <f t="shared" si="0"/>
        <v>4</v>
      </c>
      <c r="B5" s="7">
        <v>44917</v>
      </c>
      <c r="C5" s="7" t="s">
        <v>893</v>
      </c>
      <c r="D5" s="7" t="s">
        <v>893</v>
      </c>
      <c r="E5" s="7" t="s">
        <v>893</v>
      </c>
      <c r="F5" s="7" t="s">
        <v>893</v>
      </c>
      <c r="G5" s="7" t="s">
        <v>868</v>
      </c>
      <c r="H5" t="s">
        <v>425</v>
      </c>
      <c r="I5" t="s">
        <v>426</v>
      </c>
      <c r="J5" t="s">
        <v>427</v>
      </c>
      <c r="K5">
        <v>2015</v>
      </c>
      <c r="L5" t="s">
        <v>428</v>
      </c>
      <c r="M5" t="s">
        <v>429</v>
      </c>
      <c r="N5" t="s">
        <v>376</v>
      </c>
    </row>
    <row r="6" spans="1:14" x14ac:dyDescent="0.2">
      <c r="A6">
        <f t="shared" si="0"/>
        <v>5</v>
      </c>
      <c r="B6" s="7">
        <v>44917</v>
      </c>
      <c r="C6" s="7" t="s">
        <v>916</v>
      </c>
      <c r="D6" s="7" t="s">
        <v>844</v>
      </c>
      <c r="E6" s="7" t="s">
        <v>845</v>
      </c>
      <c r="G6" s="7" t="s">
        <v>332</v>
      </c>
      <c r="H6" t="s">
        <v>430</v>
      </c>
      <c r="I6" t="s">
        <v>431</v>
      </c>
      <c r="J6" t="s">
        <v>684</v>
      </c>
      <c r="K6">
        <v>2015</v>
      </c>
      <c r="L6" t="s">
        <v>668</v>
      </c>
      <c r="M6" t="s">
        <v>669</v>
      </c>
      <c r="N6" t="s">
        <v>336</v>
      </c>
    </row>
    <row r="7" spans="1:14" x14ac:dyDescent="0.2">
      <c r="A7">
        <f t="shared" si="0"/>
        <v>6</v>
      </c>
      <c r="B7" s="7">
        <v>44917</v>
      </c>
      <c r="C7" s="7" t="s">
        <v>916</v>
      </c>
      <c r="D7" s="7" t="s">
        <v>845</v>
      </c>
      <c r="E7" s="7" t="s">
        <v>891</v>
      </c>
      <c r="F7" s="7" t="s">
        <v>909</v>
      </c>
      <c r="G7" s="7" t="s">
        <v>868</v>
      </c>
      <c r="H7" t="s">
        <v>432</v>
      </c>
      <c r="I7" t="s">
        <v>433</v>
      </c>
      <c r="J7" t="s">
        <v>10</v>
      </c>
      <c r="K7">
        <v>2015</v>
      </c>
      <c r="L7" t="s">
        <v>670</v>
      </c>
      <c r="M7" t="s">
        <v>671</v>
      </c>
      <c r="N7" t="s">
        <v>336</v>
      </c>
    </row>
    <row r="8" spans="1:14" x14ac:dyDescent="0.2">
      <c r="A8">
        <f t="shared" si="0"/>
        <v>7</v>
      </c>
      <c r="B8" s="7">
        <v>44918</v>
      </c>
      <c r="C8" s="7" t="s">
        <v>916</v>
      </c>
      <c r="D8" s="7" t="s">
        <v>844</v>
      </c>
      <c r="E8" s="7" t="s">
        <v>845</v>
      </c>
      <c r="F8" s="7" t="s">
        <v>910</v>
      </c>
      <c r="G8" s="7" t="s">
        <v>868</v>
      </c>
      <c r="H8" t="s">
        <v>434</v>
      </c>
      <c r="I8" t="s">
        <v>435</v>
      </c>
      <c r="J8" t="s">
        <v>414</v>
      </c>
      <c r="K8">
        <v>2015</v>
      </c>
      <c r="M8" t="s">
        <v>672</v>
      </c>
      <c r="N8" t="s">
        <v>336</v>
      </c>
    </row>
    <row r="9" spans="1:14" x14ac:dyDescent="0.2">
      <c r="A9">
        <f t="shared" si="0"/>
        <v>8</v>
      </c>
      <c r="B9" s="7">
        <v>44918</v>
      </c>
      <c r="C9" s="7" t="s">
        <v>845</v>
      </c>
      <c r="D9" s="7" t="s">
        <v>844</v>
      </c>
      <c r="E9" s="7" t="s">
        <v>845</v>
      </c>
      <c r="F9" s="7" t="s">
        <v>869</v>
      </c>
      <c r="G9" s="7" t="s">
        <v>868</v>
      </c>
      <c r="H9" t="s">
        <v>436</v>
      </c>
      <c r="I9" t="s">
        <v>437</v>
      </c>
      <c r="J9" t="s">
        <v>29</v>
      </c>
      <c r="K9">
        <v>2015</v>
      </c>
      <c r="L9" t="s">
        <v>674</v>
      </c>
      <c r="M9" t="s">
        <v>673</v>
      </c>
      <c r="N9" t="s">
        <v>336</v>
      </c>
    </row>
    <row r="10" spans="1:14" x14ac:dyDescent="0.2">
      <c r="A10">
        <f t="shared" si="0"/>
        <v>9</v>
      </c>
      <c r="B10" s="7">
        <v>44918</v>
      </c>
      <c r="C10" s="7" t="s">
        <v>845</v>
      </c>
      <c r="D10" s="7" t="s">
        <v>844</v>
      </c>
      <c r="E10" s="7" t="s">
        <v>845</v>
      </c>
      <c r="F10" s="7" t="s">
        <v>869</v>
      </c>
      <c r="G10" s="7" t="s">
        <v>868</v>
      </c>
      <c r="H10" t="s">
        <v>333</v>
      </c>
      <c r="I10" t="s">
        <v>334</v>
      </c>
      <c r="J10" t="s">
        <v>20</v>
      </c>
      <c r="K10">
        <v>2016</v>
      </c>
      <c r="L10" t="s">
        <v>28</v>
      </c>
      <c r="M10" t="s">
        <v>335</v>
      </c>
      <c r="N10" t="s">
        <v>7</v>
      </c>
    </row>
    <row r="11" spans="1:14" x14ac:dyDescent="0.2">
      <c r="A11">
        <f t="shared" si="0"/>
        <v>10</v>
      </c>
      <c r="B11" s="7">
        <v>44918</v>
      </c>
      <c r="C11" s="7" t="s">
        <v>845</v>
      </c>
      <c r="D11" s="7" t="s">
        <v>844</v>
      </c>
      <c r="E11" s="7" t="s">
        <v>845</v>
      </c>
      <c r="F11" s="7" t="s">
        <v>869</v>
      </c>
      <c r="G11" s="7" t="s">
        <v>868</v>
      </c>
      <c r="H11" t="s">
        <v>438</v>
      </c>
      <c r="I11" t="s">
        <v>439</v>
      </c>
      <c r="J11" t="s">
        <v>440</v>
      </c>
      <c r="K11">
        <v>2016</v>
      </c>
      <c r="L11" t="s">
        <v>441</v>
      </c>
      <c r="M11" t="s">
        <v>675</v>
      </c>
      <c r="N11" t="s">
        <v>336</v>
      </c>
    </row>
    <row r="12" spans="1:14" x14ac:dyDescent="0.2">
      <c r="A12">
        <f t="shared" si="0"/>
        <v>11</v>
      </c>
      <c r="B12" s="7">
        <v>44918</v>
      </c>
      <c r="C12" s="7" t="s">
        <v>845</v>
      </c>
      <c r="D12" s="7" t="s">
        <v>845</v>
      </c>
      <c r="E12" s="7" t="s">
        <v>845</v>
      </c>
      <c r="F12" s="7" t="s">
        <v>912</v>
      </c>
      <c r="G12" s="7" t="s">
        <v>868</v>
      </c>
      <c r="H12" t="s">
        <v>442</v>
      </c>
      <c r="I12" t="s">
        <v>443</v>
      </c>
      <c r="J12" t="s">
        <v>17</v>
      </c>
      <c r="K12">
        <v>2016</v>
      </c>
      <c r="L12" t="s">
        <v>676</v>
      </c>
      <c r="M12" t="s">
        <v>677</v>
      </c>
      <c r="N12" t="s">
        <v>336</v>
      </c>
    </row>
    <row r="13" spans="1:14" x14ac:dyDescent="0.2">
      <c r="A13">
        <f t="shared" si="0"/>
        <v>12</v>
      </c>
      <c r="B13" s="7">
        <v>44918</v>
      </c>
      <c r="C13" s="7" t="s">
        <v>915</v>
      </c>
      <c r="D13" s="7" t="s">
        <v>845</v>
      </c>
      <c r="E13" s="7" t="s">
        <v>891</v>
      </c>
      <c r="F13" s="7" t="s">
        <v>914</v>
      </c>
      <c r="G13" s="7" t="s">
        <v>868</v>
      </c>
      <c r="H13" t="s">
        <v>337</v>
      </c>
      <c r="I13" t="s">
        <v>338</v>
      </c>
      <c r="J13" t="s">
        <v>17</v>
      </c>
      <c r="K13">
        <v>2017</v>
      </c>
      <c r="L13" t="s">
        <v>18</v>
      </c>
      <c r="M13" t="s">
        <v>339</v>
      </c>
      <c r="N13" t="s">
        <v>303</v>
      </c>
    </row>
    <row r="14" spans="1:14" x14ac:dyDescent="0.2">
      <c r="A14">
        <f t="shared" si="0"/>
        <v>13</v>
      </c>
      <c r="B14" s="7">
        <v>44918</v>
      </c>
      <c r="C14" s="7" t="s">
        <v>916</v>
      </c>
      <c r="D14" s="7" t="s">
        <v>845</v>
      </c>
      <c r="E14" s="7" t="s">
        <v>891</v>
      </c>
      <c r="F14" s="7" t="s">
        <v>914</v>
      </c>
      <c r="G14" s="7" t="s">
        <v>868</v>
      </c>
      <c r="H14" t="s">
        <v>444</v>
      </c>
      <c r="I14" t="s">
        <v>445</v>
      </c>
      <c r="J14" t="s">
        <v>16</v>
      </c>
      <c r="K14">
        <v>2017</v>
      </c>
      <c r="L14" t="s">
        <v>446</v>
      </c>
      <c r="M14" t="s">
        <v>447</v>
      </c>
      <c r="N14" t="s">
        <v>7</v>
      </c>
    </row>
    <row r="15" spans="1:14" x14ac:dyDescent="0.2">
      <c r="A15">
        <f t="shared" si="0"/>
        <v>14</v>
      </c>
      <c r="B15" s="7">
        <v>44918</v>
      </c>
      <c r="C15" s="7" t="s">
        <v>916</v>
      </c>
      <c r="D15" s="7" t="s">
        <v>845</v>
      </c>
      <c r="E15" s="7" t="s">
        <v>891</v>
      </c>
      <c r="F15" s="7" t="s">
        <v>914</v>
      </c>
      <c r="G15" s="7" t="s">
        <v>868</v>
      </c>
      <c r="H15" t="s">
        <v>448</v>
      </c>
      <c r="I15" t="s">
        <v>449</v>
      </c>
      <c r="J15" t="s">
        <v>440</v>
      </c>
      <c r="K15">
        <v>2017</v>
      </c>
      <c r="L15" t="s">
        <v>450</v>
      </c>
      <c r="M15" t="s">
        <v>678</v>
      </c>
      <c r="N15" t="s">
        <v>336</v>
      </c>
    </row>
    <row r="16" spans="1:14" x14ac:dyDescent="0.2">
      <c r="A16">
        <f t="shared" si="0"/>
        <v>15</v>
      </c>
      <c r="B16" s="7">
        <v>44918</v>
      </c>
      <c r="C16" s="7" t="s">
        <v>845</v>
      </c>
      <c r="D16" s="7" t="s">
        <v>845</v>
      </c>
      <c r="E16" s="7" t="s">
        <v>891</v>
      </c>
      <c r="F16" s="7" t="s">
        <v>917</v>
      </c>
      <c r="G16" s="7" t="s">
        <v>868</v>
      </c>
      <c r="H16" t="s">
        <v>451</v>
      </c>
      <c r="I16" t="s">
        <v>452</v>
      </c>
      <c r="J16" t="s">
        <v>685</v>
      </c>
      <c r="K16">
        <v>2017</v>
      </c>
      <c r="L16" t="s">
        <v>453</v>
      </c>
      <c r="M16" t="s">
        <v>679</v>
      </c>
      <c r="N16" t="s">
        <v>336</v>
      </c>
    </row>
    <row r="17" spans="1:14" x14ac:dyDescent="0.2">
      <c r="A17">
        <f t="shared" si="0"/>
        <v>16</v>
      </c>
      <c r="B17" s="7">
        <v>44918</v>
      </c>
      <c r="C17" s="7" t="s">
        <v>845</v>
      </c>
      <c r="D17" s="7" t="s">
        <v>844</v>
      </c>
      <c r="E17" s="7" t="s">
        <v>845</v>
      </c>
      <c r="F17" s="7" t="s">
        <v>918</v>
      </c>
      <c r="G17" s="7" t="s">
        <v>868</v>
      </c>
      <c r="H17" t="s">
        <v>454</v>
      </c>
      <c r="I17" t="s">
        <v>455</v>
      </c>
      <c r="J17" t="s">
        <v>29</v>
      </c>
      <c r="K17">
        <v>2017</v>
      </c>
      <c r="L17" t="s">
        <v>680</v>
      </c>
      <c r="M17" t="s">
        <v>681</v>
      </c>
      <c r="N17" t="s">
        <v>336</v>
      </c>
    </row>
    <row r="18" spans="1:14" x14ac:dyDescent="0.2">
      <c r="A18">
        <f t="shared" si="0"/>
        <v>17</v>
      </c>
      <c r="B18" s="7">
        <v>44916</v>
      </c>
      <c r="C18" s="7" t="s">
        <v>845</v>
      </c>
      <c r="D18" s="7" t="s">
        <v>844</v>
      </c>
      <c r="E18" s="7" t="s">
        <v>845</v>
      </c>
      <c r="F18" s="7" t="s">
        <v>869</v>
      </c>
      <c r="G18" t="s">
        <v>868</v>
      </c>
      <c r="H18" t="s">
        <v>456</v>
      </c>
      <c r="I18" t="s">
        <v>457</v>
      </c>
      <c r="J18" t="s">
        <v>20</v>
      </c>
      <c r="K18">
        <v>2017</v>
      </c>
      <c r="L18" t="s">
        <v>686</v>
      </c>
      <c r="M18" t="s">
        <v>687</v>
      </c>
      <c r="N18" t="s">
        <v>336</v>
      </c>
    </row>
    <row r="19" spans="1:14" x14ac:dyDescent="0.2">
      <c r="A19">
        <f t="shared" si="0"/>
        <v>18</v>
      </c>
      <c r="B19" s="7"/>
      <c r="C19" s="7" t="s">
        <v>916</v>
      </c>
      <c r="D19" s="7" t="s">
        <v>844</v>
      </c>
      <c r="E19" s="7" t="s">
        <v>845</v>
      </c>
      <c r="G19" s="7" t="s">
        <v>245</v>
      </c>
      <c r="H19" t="s">
        <v>340</v>
      </c>
      <c r="I19" t="s">
        <v>341</v>
      </c>
      <c r="J19" t="s">
        <v>25</v>
      </c>
      <c r="K19">
        <v>2018</v>
      </c>
      <c r="L19" t="s">
        <v>26</v>
      </c>
      <c r="M19" t="s">
        <v>342</v>
      </c>
      <c r="N19" t="s">
        <v>303</v>
      </c>
    </row>
    <row r="20" spans="1:14" x14ac:dyDescent="0.2">
      <c r="A20">
        <f t="shared" si="0"/>
        <v>19</v>
      </c>
      <c r="B20" s="7"/>
      <c r="C20" s="7" t="s">
        <v>915</v>
      </c>
      <c r="D20" s="7" t="s">
        <v>844</v>
      </c>
      <c r="E20" s="7" t="s">
        <v>845</v>
      </c>
      <c r="G20" s="7" t="s">
        <v>245</v>
      </c>
      <c r="H20" t="s">
        <v>458</v>
      </c>
      <c r="I20" t="s">
        <v>459</v>
      </c>
      <c r="J20" t="s">
        <v>14</v>
      </c>
      <c r="K20">
        <v>2018</v>
      </c>
      <c r="L20" t="s">
        <v>460</v>
      </c>
      <c r="M20" t="s">
        <v>461</v>
      </c>
      <c r="N20" t="s">
        <v>376</v>
      </c>
    </row>
    <row r="21" spans="1:14" x14ac:dyDescent="0.2">
      <c r="A21">
        <f t="shared" si="0"/>
        <v>20</v>
      </c>
      <c r="B21" s="7">
        <v>44918</v>
      </c>
      <c r="C21" s="7" t="s">
        <v>916</v>
      </c>
      <c r="D21" s="7" t="s">
        <v>845</v>
      </c>
      <c r="E21" s="7" t="s">
        <v>845</v>
      </c>
      <c r="F21" s="7" t="s">
        <v>919</v>
      </c>
      <c r="G21" s="7" t="s">
        <v>868</v>
      </c>
      <c r="H21" t="s">
        <v>343</v>
      </c>
      <c r="I21" t="s">
        <v>462</v>
      </c>
      <c r="J21" t="s">
        <v>13</v>
      </c>
      <c r="K21">
        <v>2018</v>
      </c>
      <c r="L21" t="s">
        <v>27</v>
      </c>
      <c r="M21" t="s">
        <v>344</v>
      </c>
      <c r="N21" t="s">
        <v>376</v>
      </c>
    </row>
    <row r="22" spans="1:14" x14ac:dyDescent="0.2">
      <c r="A22">
        <f t="shared" si="0"/>
        <v>21</v>
      </c>
      <c r="B22" s="7">
        <v>44918</v>
      </c>
      <c r="C22" s="7" t="s">
        <v>916</v>
      </c>
      <c r="D22" s="7" t="s">
        <v>845</v>
      </c>
      <c r="E22" s="7" t="s">
        <v>891</v>
      </c>
      <c r="F22" s="7" t="s">
        <v>914</v>
      </c>
      <c r="G22" s="7" t="s">
        <v>868</v>
      </c>
      <c r="H22" t="s">
        <v>348</v>
      </c>
      <c r="I22" t="s">
        <v>463</v>
      </c>
      <c r="J22" t="s">
        <v>10</v>
      </c>
      <c r="K22">
        <v>2018</v>
      </c>
      <c r="L22" t="s">
        <v>11</v>
      </c>
      <c r="M22" t="s">
        <v>349</v>
      </c>
      <c r="N22" t="s">
        <v>376</v>
      </c>
    </row>
    <row r="23" spans="1:14" x14ac:dyDescent="0.2">
      <c r="A23">
        <f t="shared" si="0"/>
        <v>22</v>
      </c>
      <c r="B23" s="7">
        <v>44918</v>
      </c>
      <c r="C23" s="7" t="s">
        <v>916</v>
      </c>
      <c r="D23" s="7" t="s">
        <v>845</v>
      </c>
      <c r="E23" s="7" t="s">
        <v>920</v>
      </c>
      <c r="F23" s="7" t="s">
        <v>921</v>
      </c>
      <c r="G23" s="7" t="s">
        <v>868</v>
      </c>
      <c r="H23" t="s">
        <v>345</v>
      </c>
      <c r="I23" t="s">
        <v>346</v>
      </c>
      <c r="J23" t="s">
        <v>8</v>
      </c>
      <c r="K23">
        <v>2018</v>
      </c>
      <c r="L23" t="s">
        <v>15</v>
      </c>
      <c r="M23" t="s">
        <v>347</v>
      </c>
      <c r="N23" t="s">
        <v>7</v>
      </c>
    </row>
    <row r="24" spans="1:14" x14ac:dyDescent="0.2">
      <c r="A24">
        <f t="shared" si="0"/>
        <v>23</v>
      </c>
      <c r="B24" s="7">
        <v>44918</v>
      </c>
      <c r="C24" s="7" t="s">
        <v>916</v>
      </c>
      <c r="D24" s="7" t="s">
        <v>845</v>
      </c>
      <c r="E24" s="7" t="s">
        <v>845</v>
      </c>
      <c r="F24" s="7" t="s">
        <v>922</v>
      </c>
      <c r="G24" s="7" t="s">
        <v>868</v>
      </c>
      <c r="H24" t="s">
        <v>464</v>
      </c>
      <c r="I24" t="s">
        <v>465</v>
      </c>
      <c r="J24" t="s">
        <v>410</v>
      </c>
      <c r="K24">
        <v>2018</v>
      </c>
      <c r="L24" t="s">
        <v>688</v>
      </c>
      <c r="M24" t="s">
        <v>689</v>
      </c>
      <c r="N24" t="s">
        <v>336</v>
      </c>
    </row>
    <row r="25" spans="1:14" x14ac:dyDescent="0.2">
      <c r="A25">
        <f t="shared" si="0"/>
        <v>24</v>
      </c>
      <c r="B25" s="7">
        <v>44918</v>
      </c>
      <c r="C25" s="7" t="s">
        <v>916</v>
      </c>
      <c r="D25" s="7" t="s">
        <v>844</v>
      </c>
      <c r="E25" s="7" t="s">
        <v>845</v>
      </c>
      <c r="G25" s="7" t="s">
        <v>245</v>
      </c>
      <c r="H25" t="s">
        <v>466</v>
      </c>
      <c r="I25" t="s">
        <v>467</v>
      </c>
      <c r="J25" t="s">
        <v>690</v>
      </c>
      <c r="K25">
        <v>2018</v>
      </c>
      <c r="L25" t="s">
        <v>468</v>
      </c>
      <c r="M25" t="s">
        <v>691</v>
      </c>
      <c r="N25" t="s">
        <v>336</v>
      </c>
    </row>
    <row r="26" spans="1:14" x14ac:dyDescent="0.2">
      <c r="A26">
        <f t="shared" si="0"/>
        <v>25</v>
      </c>
      <c r="B26" s="7">
        <v>44918</v>
      </c>
      <c r="C26" s="7" t="s">
        <v>845</v>
      </c>
      <c r="D26" s="7" t="s">
        <v>844</v>
      </c>
      <c r="E26" s="7" t="s">
        <v>845</v>
      </c>
      <c r="F26" s="7" t="s">
        <v>869</v>
      </c>
      <c r="G26" s="7" t="s">
        <v>868</v>
      </c>
      <c r="H26" t="s">
        <v>469</v>
      </c>
      <c r="I26" t="s">
        <v>470</v>
      </c>
      <c r="J26" t="s">
        <v>277</v>
      </c>
      <c r="K26">
        <v>2018</v>
      </c>
      <c r="L26" t="s">
        <v>692</v>
      </c>
      <c r="M26" t="s">
        <v>693</v>
      </c>
      <c r="N26" t="s">
        <v>336</v>
      </c>
    </row>
    <row r="27" spans="1:14" x14ac:dyDescent="0.2">
      <c r="A27">
        <f t="shared" si="0"/>
        <v>26</v>
      </c>
      <c r="B27" s="7"/>
      <c r="C27" s="7" t="s">
        <v>915</v>
      </c>
      <c r="D27" s="7" t="s">
        <v>844</v>
      </c>
      <c r="E27" s="7" t="s">
        <v>845</v>
      </c>
      <c r="G27" s="7" t="s">
        <v>245</v>
      </c>
      <c r="H27" t="s">
        <v>350</v>
      </c>
      <c r="I27" t="s">
        <v>351</v>
      </c>
      <c r="J27" t="s">
        <v>273</v>
      </c>
      <c r="K27">
        <v>2019</v>
      </c>
      <c r="L27" t="s">
        <v>274</v>
      </c>
      <c r="M27" t="s">
        <v>352</v>
      </c>
      <c r="N27" t="s">
        <v>303</v>
      </c>
    </row>
    <row r="28" spans="1:14" x14ac:dyDescent="0.2">
      <c r="A28">
        <f t="shared" si="0"/>
        <v>27</v>
      </c>
      <c r="C28" s="7" t="s">
        <v>916</v>
      </c>
      <c r="D28" s="7" t="s">
        <v>844</v>
      </c>
      <c r="E28" s="7" t="s">
        <v>845</v>
      </c>
      <c r="G28" s="7" t="s">
        <v>245</v>
      </c>
      <c r="H28" t="s">
        <v>471</v>
      </c>
      <c r="I28" t="s">
        <v>472</v>
      </c>
      <c r="J28" t="s">
        <v>12</v>
      </c>
      <c r="K28">
        <v>2019</v>
      </c>
      <c r="L28" t="s">
        <v>694</v>
      </c>
      <c r="M28" t="s">
        <v>695</v>
      </c>
      <c r="N28" t="s">
        <v>336</v>
      </c>
    </row>
    <row r="29" spans="1:14" x14ac:dyDescent="0.2">
      <c r="A29">
        <f t="shared" si="0"/>
        <v>28</v>
      </c>
      <c r="B29" s="7">
        <v>44918</v>
      </c>
      <c r="C29" s="7" t="s">
        <v>915</v>
      </c>
      <c r="D29" s="7" t="s">
        <v>845</v>
      </c>
      <c r="E29" s="7" t="s">
        <v>891</v>
      </c>
      <c r="F29" s="7" t="s">
        <v>892</v>
      </c>
      <c r="G29" s="7" t="s">
        <v>868</v>
      </c>
      <c r="H29" t="s">
        <v>473</v>
      </c>
      <c r="I29" t="s">
        <v>474</v>
      </c>
      <c r="J29" t="s">
        <v>13</v>
      </c>
      <c r="K29">
        <v>2019</v>
      </c>
      <c r="L29" t="s">
        <v>696</v>
      </c>
      <c r="M29" t="s">
        <v>697</v>
      </c>
      <c r="N29" t="s">
        <v>336</v>
      </c>
    </row>
    <row r="30" spans="1:14" x14ac:dyDescent="0.2">
      <c r="A30">
        <f t="shared" si="0"/>
        <v>29</v>
      </c>
      <c r="B30" s="7">
        <v>44918</v>
      </c>
      <c r="C30" s="7" t="s">
        <v>845</v>
      </c>
      <c r="D30" s="7" t="s">
        <v>845</v>
      </c>
      <c r="E30" s="7" t="s">
        <v>920</v>
      </c>
      <c r="F30" t="s">
        <v>923</v>
      </c>
      <c r="G30" s="7" t="s">
        <v>868</v>
      </c>
      <c r="H30" t="s">
        <v>475</v>
      </c>
      <c r="I30" t="s">
        <v>476</v>
      </c>
      <c r="J30" t="s">
        <v>477</v>
      </c>
      <c r="K30">
        <v>2019</v>
      </c>
      <c r="L30" t="s">
        <v>698</v>
      </c>
      <c r="M30" t="s">
        <v>699</v>
      </c>
      <c r="N30" t="s">
        <v>336</v>
      </c>
    </row>
    <row r="31" spans="1:14" x14ac:dyDescent="0.2">
      <c r="A31">
        <f t="shared" si="0"/>
        <v>30</v>
      </c>
      <c r="B31" s="7">
        <v>44918</v>
      </c>
      <c r="C31" s="7" t="s">
        <v>845</v>
      </c>
      <c r="D31" s="7" t="s">
        <v>845</v>
      </c>
      <c r="E31" s="7" t="s">
        <v>891</v>
      </c>
      <c r="F31" t="s">
        <v>924</v>
      </c>
      <c r="G31" s="7" t="s">
        <v>868</v>
      </c>
      <c r="H31" t="s">
        <v>478</v>
      </c>
      <c r="I31" t="s">
        <v>479</v>
      </c>
      <c r="J31" t="s">
        <v>21</v>
      </c>
      <c r="K31">
        <v>2019</v>
      </c>
      <c r="L31" t="s">
        <v>700</v>
      </c>
      <c r="M31" t="s">
        <v>701</v>
      </c>
      <c r="N31" t="s">
        <v>336</v>
      </c>
    </row>
    <row r="32" spans="1:14" x14ac:dyDescent="0.2">
      <c r="A32">
        <f t="shared" si="0"/>
        <v>31</v>
      </c>
      <c r="B32" s="7">
        <v>44918</v>
      </c>
      <c r="C32" s="7" t="s">
        <v>845</v>
      </c>
      <c r="D32" s="7" t="s">
        <v>845</v>
      </c>
      <c r="E32" s="7" t="s">
        <v>891</v>
      </c>
      <c r="F32" s="7" t="s">
        <v>912</v>
      </c>
      <c r="G32" s="7" t="s">
        <v>868</v>
      </c>
      <c r="H32" t="s">
        <v>480</v>
      </c>
      <c r="I32" t="s">
        <v>481</v>
      </c>
      <c r="J32" t="s">
        <v>10</v>
      </c>
      <c r="K32">
        <v>2019</v>
      </c>
      <c r="L32" t="s">
        <v>702</v>
      </c>
      <c r="M32" t="s">
        <v>703</v>
      </c>
      <c r="N32" t="s">
        <v>336</v>
      </c>
    </row>
    <row r="33" spans="1:14" x14ac:dyDescent="0.2">
      <c r="A33">
        <f t="shared" si="0"/>
        <v>32</v>
      </c>
      <c r="B33" s="7">
        <v>44918</v>
      </c>
      <c r="C33" s="7" t="s">
        <v>845</v>
      </c>
      <c r="D33" s="7" t="s">
        <v>844</v>
      </c>
      <c r="E33" s="7" t="s">
        <v>845</v>
      </c>
      <c r="F33" t="s">
        <v>869</v>
      </c>
      <c r="G33" s="7" t="s">
        <v>868</v>
      </c>
      <c r="H33" t="s">
        <v>482</v>
      </c>
      <c r="I33" t="s">
        <v>483</v>
      </c>
      <c r="J33" t="s">
        <v>8</v>
      </c>
      <c r="K33">
        <v>2019</v>
      </c>
      <c r="L33" t="s">
        <v>704</v>
      </c>
      <c r="M33" t="s">
        <v>705</v>
      </c>
      <c r="N33" t="s">
        <v>336</v>
      </c>
    </row>
    <row r="34" spans="1:14" x14ac:dyDescent="0.2">
      <c r="A34">
        <f t="shared" si="0"/>
        <v>33</v>
      </c>
      <c r="B34" s="7">
        <v>44918</v>
      </c>
      <c r="C34" s="7" t="s">
        <v>845</v>
      </c>
      <c r="D34" s="7" t="s">
        <v>844</v>
      </c>
      <c r="E34" s="7" t="s">
        <v>845</v>
      </c>
      <c r="F34" t="s">
        <v>869</v>
      </c>
      <c r="G34" s="7" t="s">
        <v>868</v>
      </c>
      <c r="H34" t="s">
        <v>484</v>
      </c>
      <c r="I34" t="s">
        <v>485</v>
      </c>
      <c r="J34" t="s">
        <v>380</v>
      </c>
      <c r="K34">
        <v>2019</v>
      </c>
      <c r="L34" t="s">
        <v>706</v>
      </c>
      <c r="M34" t="s">
        <v>707</v>
      </c>
      <c r="N34" t="s">
        <v>336</v>
      </c>
    </row>
    <row r="35" spans="1:14" x14ac:dyDescent="0.2">
      <c r="A35">
        <f t="shared" si="0"/>
        <v>34</v>
      </c>
      <c r="B35" s="7">
        <v>44918</v>
      </c>
      <c r="C35" s="7" t="s">
        <v>845</v>
      </c>
      <c r="D35" s="7" t="s">
        <v>845</v>
      </c>
      <c r="E35" s="7" t="s">
        <v>891</v>
      </c>
      <c r="F35" t="s">
        <v>925</v>
      </c>
      <c r="G35" s="7" t="s">
        <v>868</v>
      </c>
      <c r="H35" t="s">
        <v>486</v>
      </c>
      <c r="I35" t="s">
        <v>487</v>
      </c>
      <c r="J35" t="s">
        <v>277</v>
      </c>
      <c r="K35">
        <v>2019</v>
      </c>
      <c r="L35" t="s">
        <v>708</v>
      </c>
      <c r="M35" t="s">
        <v>709</v>
      </c>
      <c r="N35" t="s">
        <v>336</v>
      </c>
    </row>
    <row r="36" spans="1:14" x14ac:dyDescent="0.2">
      <c r="A36">
        <f t="shared" si="0"/>
        <v>35</v>
      </c>
      <c r="B36" s="7">
        <v>44918</v>
      </c>
      <c r="C36" s="7" t="s">
        <v>845</v>
      </c>
      <c r="D36" s="7" t="s">
        <v>844</v>
      </c>
      <c r="E36" s="7" t="s">
        <v>845</v>
      </c>
      <c r="F36" t="s">
        <v>926</v>
      </c>
      <c r="G36" s="7" t="s">
        <v>868</v>
      </c>
      <c r="H36" t="s">
        <v>488</v>
      </c>
      <c r="I36" t="s">
        <v>489</v>
      </c>
      <c r="J36" t="s">
        <v>24</v>
      </c>
      <c r="K36">
        <v>2019</v>
      </c>
      <c r="L36" t="s">
        <v>710</v>
      </c>
      <c r="M36" t="s">
        <v>711</v>
      </c>
      <c r="N36" t="s">
        <v>336</v>
      </c>
    </row>
    <row r="37" spans="1:14" x14ac:dyDescent="0.2">
      <c r="A37">
        <f t="shared" si="0"/>
        <v>36</v>
      </c>
      <c r="B37" s="7">
        <v>44918</v>
      </c>
      <c r="C37" s="7" t="s">
        <v>845</v>
      </c>
      <c r="D37" s="7" t="s">
        <v>844</v>
      </c>
      <c r="E37" s="7" t="s">
        <v>845</v>
      </c>
      <c r="F37" t="s">
        <v>869</v>
      </c>
      <c r="G37" s="7" t="s">
        <v>868</v>
      </c>
      <c r="H37" t="s">
        <v>490</v>
      </c>
      <c r="I37" t="s">
        <v>491</v>
      </c>
      <c r="J37" t="s">
        <v>712</v>
      </c>
      <c r="K37">
        <v>2019</v>
      </c>
      <c r="L37" t="s">
        <v>713</v>
      </c>
      <c r="M37" t="s">
        <v>714</v>
      </c>
      <c r="N37" t="s">
        <v>336</v>
      </c>
    </row>
    <row r="38" spans="1:14" x14ac:dyDescent="0.2">
      <c r="A38">
        <f t="shared" si="0"/>
        <v>37</v>
      </c>
      <c r="B38" s="7">
        <v>44918</v>
      </c>
      <c r="C38" s="7" t="s">
        <v>845</v>
      </c>
      <c r="D38" s="7" t="s">
        <v>845</v>
      </c>
      <c r="E38" s="7" t="s">
        <v>891</v>
      </c>
      <c r="F38" t="s">
        <v>925</v>
      </c>
      <c r="G38" s="7" t="s">
        <v>868</v>
      </c>
      <c r="H38" t="s">
        <v>492</v>
      </c>
      <c r="I38" t="s">
        <v>715</v>
      </c>
      <c r="J38" t="s">
        <v>718</v>
      </c>
      <c r="K38">
        <v>2019</v>
      </c>
      <c r="L38" t="s">
        <v>716</v>
      </c>
      <c r="M38" t="s">
        <v>717</v>
      </c>
      <c r="N38" t="s">
        <v>336</v>
      </c>
    </row>
    <row r="39" spans="1:14" x14ac:dyDescent="0.2">
      <c r="A39">
        <f t="shared" si="0"/>
        <v>38</v>
      </c>
      <c r="B39" s="7">
        <v>44918</v>
      </c>
      <c r="C39" s="7" t="s">
        <v>845</v>
      </c>
      <c r="D39" s="7" t="s">
        <v>845</v>
      </c>
      <c r="E39" s="7" t="s">
        <v>845</v>
      </c>
      <c r="F39" t="s">
        <v>892</v>
      </c>
      <c r="G39" s="7" t="s">
        <v>868</v>
      </c>
      <c r="H39" t="s">
        <v>493</v>
      </c>
      <c r="I39" t="s">
        <v>494</v>
      </c>
      <c r="J39" t="s">
        <v>21</v>
      </c>
      <c r="K39">
        <v>2019</v>
      </c>
      <c r="L39" t="s">
        <v>719</v>
      </c>
      <c r="M39" t="s">
        <v>720</v>
      </c>
      <c r="N39" t="s">
        <v>336</v>
      </c>
    </row>
    <row r="40" spans="1:14" x14ac:dyDescent="0.2">
      <c r="A40">
        <f t="shared" si="0"/>
        <v>39</v>
      </c>
      <c r="B40" s="7">
        <v>44918</v>
      </c>
      <c r="C40" s="7" t="s">
        <v>916</v>
      </c>
      <c r="D40" s="7" t="s">
        <v>844</v>
      </c>
      <c r="E40" s="7" t="s">
        <v>845</v>
      </c>
      <c r="F40" t="s">
        <v>927</v>
      </c>
      <c r="G40" s="7" t="s">
        <v>868</v>
      </c>
      <c r="H40" t="s">
        <v>353</v>
      </c>
      <c r="I40" t="s">
        <v>354</v>
      </c>
      <c r="J40" t="s">
        <v>14</v>
      </c>
      <c r="K40">
        <v>2020</v>
      </c>
      <c r="L40" t="s">
        <v>282</v>
      </c>
      <c r="M40" t="s">
        <v>355</v>
      </c>
      <c r="N40" t="s">
        <v>303</v>
      </c>
    </row>
    <row r="41" spans="1:14" x14ac:dyDescent="0.2">
      <c r="A41">
        <f t="shared" si="0"/>
        <v>40</v>
      </c>
      <c r="B41" s="7">
        <v>44916</v>
      </c>
      <c r="C41" s="7" t="s">
        <v>916</v>
      </c>
      <c r="D41" s="7" t="s">
        <v>845</v>
      </c>
      <c r="E41" s="7" t="s">
        <v>891</v>
      </c>
      <c r="F41" t="s">
        <v>892</v>
      </c>
      <c r="G41" s="7" t="s">
        <v>868</v>
      </c>
      <c r="H41" t="s">
        <v>356</v>
      </c>
      <c r="I41" t="s">
        <v>357</v>
      </c>
      <c r="J41" t="s">
        <v>509</v>
      </c>
      <c r="K41">
        <v>2020</v>
      </c>
      <c r="L41" t="s">
        <v>284</v>
      </c>
      <c r="M41" t="s">
        <v>358</v>
      </c>
      <c r="N41" t="s">
        <v>303</v>
      </c>
    </row>
    <row r="42" spans="1:14" x14ac:dyDescent="0.2">
      <c r="A42">
        <f t="shared" si="0"/>
        <v>41</v>
      </c>
      <c r="B42" s="7"/>
      <c r="C42" s="7" t="s">
        <v>916</v>
      </c>
      <c r="D42" t="s">
        <v>844</v>
      </c>
      <c r="E42" t="s">
        <v>845</v>
      </c>
      <c r="G42" s="7" t="s">
        <v>245</v>
      </c>
      <c r="H42" t="s">
        <v>359</v>
      </c>
      <c r="I42" t="s">
        <v>360</v>
      </c>
      <c r="J42" t="s">
        <v>275</v>
      </c>
      <c r="K42">
        <v>2020</v>
      </c>
      <c r="L42" t="s">
        <v>276</v>
      </c>
      <c r="M42" t="s">
        <v>361</v>
      </c>
      <c r="N42" t="s">
        <v>303</v>
      </c>
    </row>
    <row r="43" spans="1:14" x14ac:dyDescent="0.2">
      <c r="A43">
        <f t="shared" si="0"/>
        <v>42</v>
      </c>
      <c r="B43" s="7"/>
      <c r="C43" s="7" t="s">
        <v>916</v>
      </c>
      <c r="D43" s="7" t="s">
        <v>844</v>
      </c>
      <c r="E43" s="7" t="s">
        <v>932</v>
      </c>
      <c r="G43" s="7" t="s">
        <v>245</v>
      </c>
      <c r="H43" t="s">
        <v>365</v>
      </c>
      <c r="I43" t="s">
        <v>495</v>
      </c>
      <c r="J43" t="s">
        <v>275</v>
      </c>
      <c r="K43">
        <v>2020</v>
      </c>
      <c r="L43" t="s">
        <v>280</v>
      </c>
      <c r="M43" t="s">
        <v>496</v>
      </c>
      <c r="N43" t="s">
        <v>303</v>
      </c>
    </row>
    <row r="44" spans="1:14" x14ac:dyDescent="0.2">
      <c r="A44">
        <f t="shared" si="0"/>
        <v>43</v>
      </c>
      <c r="B44" s="7">
        <v>44921</v>
      </c>
      <c r="C44" s="7" t="s">
        <v>916</v>
      </c>
      <c r="D44" s="7" t="s">
        <v>845</v>
      </c>
      <c r="E44" s="7" t="s">
        <v>845</v>
      </c>
      <c r="F44" t="s">
        <v>892</v>
      </c>
      <c r="G44" s="7" t="s">
        <v>868</v>
      </c>
      <c r="H44" t="s">
        <v>497</v>
      </c>
      <c r="I44" t="s">
        <v>498</v>
      </c>
      <c r="J44" t="s">
        <v>24</v>
      </c>
      <c r="K44">
        <v>2020</v>
      </c>
      <c r="L44" t="s">
        <v>499</v>
      </c>
      <c r="M44" t="s">
        <v>500</v>
      </c>
      <c r="N44" t="s">
        <v>303</v>
      </c>
    </row>
    <row r="45" spans="1:14" x14ac:dyDescent="0.2">
      <c r="A45">
        <f t="shared" si="0"/>
        <v>44</v>
      </c>
      <c r="B45" s="7"/>
      <c r="C45" s="7" t="s">
        <v>916</v>
      </c>
      <c r="D45" s="7" t="s">
        <v>844</v>
      </c>
      <c r="E45" s="7" t="s">
        <v>845</v>
      </c>
      <c r="G45" s="7" t="s">
        <v>245</v>
      </c>
      <c r="H45" t="s">
        <v>501</v>
      </c>
      <c r="I45" t="s">
        <v>502</v>
      </c>
      <c r="J45" t="s">
        <v>275</v>
      </c>
      <c r="K45">
        <v>2020</v>
      </c>
      <c r="L45" t="s">
        <v>503</v>
      </c>
      <c r="M45" t="s">
        <v>504</v>
      </c>
      <c r="N45" t="s">
        <v>303</v>
      </c>
    </row>
    <row r="46" spans="1:14" x14ac:dyDescent="0.2">
      <c r="A46">
        <f t="shared" si="0"/>
        <v>45</v>
      </c>
      <c r="B46" s="7"/>
      <c r="C46" s="7" t="s">
        <v>916</v>
      </c>
      <c r="D46" s="7" t="s">
        <v>844</v>
      </c>
      <c r="E46" s="7" t="s">
        <v>845</v>
      </c>
      <c r="G46" s="7" t="s">
        <v>245</v>
      </c>
      <c r="H46" t="s">
        <v>362</v>
      </c>
      <c r="I46" t="s">
        <v>505</v>
      </c>
      <c r="J46" t="s">
        <v>278</v>
      </c>
      <c r="K46">
        <v>2020</v>
      </c>
      <c r="L46" t="s">
        <v>279</v>
      </c>
      <c r="M46" t="s">
        <v>506</v>
      </c>
      <c r="N46" t="s">
        <v>303</v>
      </c>
    </row>
    <row r="47" spans="1:14" x14ac:dyDescent="0.2">
      <c r="A47">
        <f t="shared" si="0"/>
        <v>46</v>
      </c>
      <c r="B47" s="7">
        <v>44921</v>
      </c>
      <c r="C47" s="7" t="s">
        <v>916</v>
      </c>
      <c r="D47" s="7" t="s">
        <v>845</v>
      </c>
      <c r="E47" s="7" t="s">
        <v>845</v>
      </c>
      <c r="F47" t="s">
        <v>892</v>
      </c>
      <c r="G47" s="7" t="s">
        <v>868</v>
      </c>
      <c r="H47" t="s">
        <v>507</v>
      </c>
      <c r="I47" t="s">
        <v>508</v>
      </c>
      <c r="J47" t="s">
        <v>509</v>
      </c>
      <c r="K47">
        <v>2020</v>
      </c>
      <c r="L47" t="s">
        <v>510</v>
      </c>
      <c r="M47" t="s">
        <v>511</v>
      </c>
      <c r="N47" t="s">
        <v>376</v>
      </c>
    </row>
    <row r="48" spans="1:14" x14ac:dyDescent="0.2">
      <c r="A48">
        <f t="shared" si="0"/>
        <v>47</v>
      </c>
      <c r="B48" s="7">
        <v>44921</v>
      </c>
      <c r="C48" s="7" t="s">
        <v>916</v>
      </c>
      <c r="D48" s="7" t="s">
        <v>845</v>
      </c>
      <c r="E48" s="7" t="s">
        <v>920</v>
      </c>
      <c r="F48" t="s">
        <v>892</v>
      </c>
      <c r="G48" s="7" t="s">
        <v>868</v>
      </c>
      <c r="H48" t="s">
        <v>363</v>
      </c>
      <c r="I48" t="s">
        <v>512</v>
      </c>
      <c r="J48" t="s">
        <v>25</v>
      </c>
      <c r="K48">
        <v>2020</v>
      </c>
      <c r="L48" t="s">
        <v>283</v>
      </c>
      <c r="M48" t="s">
        <v>364</v>
      </c>
      <c r="N48" t="s">
        <v>376</v>
      </c>
    </row>
    <row r="49" spans="1:16" x14ac:dyDescent="0.2">
      <c r="A49">
        <f t="shared" si="0"/>
        <v>48</v>
      </c>
      <c r="B49" s="7">
        <v>44921</v>
      </c>
      <c r="C49" s="7" t="s">
        <v>916</v>
      </c>
      <c r="D49" s="7" t="s">
        <v>845</v>
      </c>
      <c r="E49" s="7" t="s">
        <v>891</v>
      </c>
      <c r="F49" s="7" t="s">
        <v>914</v>
      </c>
      <c r="G49" s="7" t="s">
        <v>868</v>
      </c>
      <c r="H49" t="s">
        <v>513</v>
      </c>
      <c r="I49" t="s">
        <v>514</v>
      </c>
      <c r="J49" t="s">
        <v>13</v>
      </c>
      <c r="K49">
        <v>2020</v>
      </c>
      <c r="L49" t="s">
        <v>515</v>
      </c>
      <c r="M49" t="s">
        <v>516</v>
      </c>
      <c r="N49" t="s">
        <v>376</v>
      </c>
    </row>
    <row r="50" spans="1:16" x14ac:dyDescent="0.2">
      <c r="A50">
        <f t="shared" si="0"/>
        <v>49</v>
      </c>
      <c r="B50" s="7">
        <v>44921</v>
      </c>
      <c r="C50" s="7" t="s">
        <v>916</v>
      </c>
      <c r="D50" s="7" t="s">
        <v>845</v>
      </c>
      <c r="E50" s="7" t="s">
        <v>891</v>
      </c>
      <c r="F50" s="7" t="s">
        <v>914</v>
      </c>
      <c r="G50" s="7" t="s">
        <v>868</v>
      </c>
      <c r="H50" t="s">
        <v>517</v>
      </c>
      <c r="I50" t="s">
        <v>518</v>
      </c>
      <c r="J50" t="s">
        <v>519</v>
      </c>
      <c r="K50">
        <v>2020</v>
      </c>
      <c r="L50" t="s">
        <v>721</v>
      </c>
      <c r="M50" t="s">
        <v>722</v>
      </c>
      <c r="N50" t="s">
        <v>336</v>
      </c>
    </row>
    <row r="51" spans="1:16" x14ac:dyDescent="0.2">
      <c r="A51">
        <f t="shared" si="0"/>
        <v>50</v>
      </c>
      <c r="B51" s="7">
        <v>44921</v>
      </c>
      <c r="C51" s="7" t="s">
        <v>916</v>
      </c>
      <c r="D51" s="7" t="s">
        <v>845</v>
      </c>
      <c r="E51" s="7" t="s">
        <v>891</v>
      </c>
      <c r="F51" s="7" t="s">
        <v>914</v>
      </c>
      <c r="G51" s="7" t="s">
        <v>868</v>
      </c>
      <c r="H51" t="s">
        <v>520</v>
      </c>
      <c r="I51" t="s">
        <v>521</v>
      </c>
      <c r="J51" t="s">
        <v>277</v>
      </c>
      <c r="K51">
        <v>2020</v>
      </c>
      <c r="L51" t="s">
        <v>723</v>
      </c>
      <c r="M51" t="s">
        <v>724</v>
      </c>
      <c r="N51" t="s">
        <v>336</v>
      </c>
      <c r="P51" s="16"/>
    </row>
    <row r="52" spans="1:16" x14ac:dyDescent="0.2">
      <c r="A52">
        <f t="shared" si="0"/>
        <v>51</v>
      </c>
      <c r="C52" s="7" t="s">
        <v>845</v>
      </c>
      <c r="D52" s="7" t="s">
        <v>845</v>
      </c>
      <c r="E52" s="7" t="s">
        <v>891</v>
      </c>
      <c r="F52" s="7" t="s">
        <v>843</v>
      </c>
      <c r="G52" t="s">
        <v>843</v>
      </c>
      <c r="H52" t="s">
        <v>522</v>
      </c>
      <c r="I52" t="s">
        <v>381</v>
      </c>
      <c r="J52" t="s">
        <v>523</v>
      </c>
      <c r="K52">
        <v>2020</v>
      </c>
      <c r="L52" t="s">
        <v>524</v>
      </c>
      <c r="M52" t="s">
        <v>725</v>
      </c>
      <c r="N52" t="s">
        <v>336</v>
      </c>
      <c r="P52" s="17"/>
    </row>
    <row r="53" spans="1:16" x14ac:dyDescent="0.2">
      <c r="A53">
        <f t="shared" si="0"/>
        <v>52</v>
      </c>
      <c r="B53" s="7">
        <v>44921</v>
      </c>
      <c r="C53" s="7" t="s">
        <v>916</v>
      </c>
      <c r="D53" s="7" t="s">
        <v>845</v>
      </c>
      <c r="E53" s="7" t="s">
        <v>891</v>
      </c>
      <c r="F53" s="7" t="s">
        <v>914</v>
      </c>
      <c r="G53" s="7" t="s">
        <v>868</v>
      </c>
      <c r="H53" t="s">
        <v>525</v>
      </c>
      <c r="I53" t="s">
        <v>526</v>
      </c>
      <c r="J53" t="s">
        <v>277</v>
      </c>
      <c r="K53">
        <v>2020</v>
      </c>
      <c r="L53" t="s">
        <v>726</v>
      </c>
      <c r="M53" t="s">
        <v>727</v>
      </c>
      <c r="N53" t="s">
        <v>336</v>
      </c>
      <c r="P53" s="17"/>
    </row>
    <row r="54" spans="1:16" x14ac:dyDescent="0.2">
      <c r="A54">
        <f t="shared" si="0"/>
        <v>53</v>
      </c>
      <c r="B54" s="7">
        <v>44921</v>
      </c>
      <c r="C54" s="7" t="s">
        <v>845</v>
      </c>
      <c r="D54" s="7" t="s">
        <v>844</v>
      </c>
      <c r="E54" s="7" t="s">
        <v>845</v>
      </c>
      <c r="F54" s="7" t="s">
        <v>918</v>
      </c>
      <c r="G54" s="7" t="s">
        <v>868</v>
      </c>
      <c r="H54" t="s">
        <v>527</v>
      </c>
      <c r="I54" t="s">
        <v>528</v>
      </c>
      <c r="J54" t="s">
        <v>8</v>
      </c>
      <c r="K54">
        <v>2020</v>
      </c>
      <c r="L54" t="s">
        <v>728</v>
      </c>
      <c r="M54" t="s">
        <v>729</v>
      </c>
      <c r="N54" t="s">
        <v>336</v>
      </c>
    </row>
    <row r="55" spans="1:16" x14ac:dyDescent="0.2">
      <c r="A55">
        <f t="shared" si="0"/>
        <v>54</v>
      </c>
      <c r="B55" s="7">
        <v>44921</v>
      </c>
      <c r="C55" s="7" t="s">
        <v>845</v>
      </c>
      <c r="D55" s="7" t="s">
        <v>844</v>
      </c>
      <c r="E55" s="7" t="s">
        <v>845</v>
      </c>
      <c r="F55" s="7" t="s">
        <v>933</v>
      </c>
      <c r="G55" t="s">
        <v>843</v>
      </c>
      <c r="H55" t="s">
        <v>529</v>
      </c>
      <c r="I55" t="s">
        <v>530</v>
      </c>
      <c r="J55" t="s">
        <v>281</v>
      </c>
      <c r="K55">
        <v>2020</v>
      </c>
      <c r="L55" t="s">
        <v>730</v>
      </c>
      <c r="M55" t="s">
        <v>731</v>
      </c>
      <c r="N55" t="s">
        <v>336</v>
      </c>
      <c r="P55" s="17"/>
    </row>
    <row r="56" spans="1:16" x14ac:dyDescent="0.2">
      <c r="A56">
        <f t="shared" si="0"/>
        <v>55</v>
      </c>
      <c r="B56" s="7">
        <v>44921</v>
      </c>
      <c r="C56" s="7" t="s">
        <v>845</v>
      </c>
      <c r="D56" s="7" t="s">
        <v>845</v>
      </c>
      <c r="E56" s="7" t="s">
        <v>845</v>
      </c>
      <c r="F56" s="7" t="s">
        <v>934</v>
      </c>
      <c r="G56" s="7" t="s">
        <v>868</v>
      </c>
      <c r="H56" t="s">
        <v>531</v>
      </c>
      <c r="I56" t="s">
        <v>532</v>
      </c>
      <c r="J56" t="s">
        <v>20</v>
      </c>
      <c r="K56">
        <v>2020</v>
      </c>
      <c r="L56" t="s">
        <v>732</v>
      </c>
      <c r="M56" t="s">
        <v>733</v>
      </c>
      <c r="N56" t="s">
        <v>336</v>
      </c>
      <c r="P56" s="16"/>
    </row>
    <row r="57" spans="1:16" x14ac:dyDescent="0.2">
      <c r="A57">
        <f t="shared" si="0"/>
        <v>56</v>
      </c>
      <c r="B57" s="7">
        <v>44921</v>
      </c>
      <c r="C57" s="7" t="s">
        <v>845</v>
      </c>
      <c r="D57" s="7" t="s">
        <v>845</v>
      </c>
      <c r="E57" s="7" t="s">
        <v>891</v>
      </c>
      <c r="F57" s="7" t="s">
        <v>914</v>
      </c>
      <c r="G57" s="7" t="s">
        <v>868</v>
      </c>
      <c r="H57" t="s">
        <v>533</v>
      </c>
      <c r="I57" t="s">
        <v>534</v>
      </c>
      <c r="J57" t="s">
        <v>277</v>
      </c>
      <c r="K57">
        <v>2020</v>
      </c>
      <c r="L57" t="s">
        <v>734</v>
      </c>
      <c r="M57" t="s">
        <v>735</v>
      </c>
      <c r="N57" t="s">
        <v>336</v>
      </c>
      <c r="P57" s="17"/>
    </row>
    <row r="58" spans="1:16" x14ac:dyDescent="0.2">
      <c r="A58">
        <f t="shared" si="0"/>
        <v>57</v>
      </c>
      <c r="B58" s="7">
        <v>44921</v>
      </c>
      <c r="C58" s="7" t="s">
        <v>845</v>
      </c>
      <c r="D58" s="7" t="s">
        <v>844</v>
      </c>
      <c r="E58" s="7" t="s">
        <v>845</v>
      </c>
      <c r="F58" s="7" t="s">
        <v>869</v>
      </c>
      <c r="G58" s="7" t="s">
        <v>868</v>
      </c>
      <c r="H58" t="s">
        <v>535</v>
      </c>
      <c r="I58" t="s">
        <v>536</v>
      </c>
      <c r="J58" t="s">
        <v>13</v>
      </c>
      <c r="K58">
        <v>2020</v>
      </c>
      <c r="L58" t="s">
        <v>736</v>
      </c>
      <c r="M58" t="s">
        <v>737</v>
      </c>
      <c r="N58" t="s">
        <v>336</v>
      </c>
      <c r="P58" s="17"/>
    </row>
    <row r="59" spans="1:16" x14ac:dyDescent="0.2">
      <c r="A59">
        <f t="shared" si="0"/>
        <v>58</v>
      </c>
      <c r="B59" s="7">
        <v>44921</v>
      </c>
      <c r="C59" s="7" t="s">
        <v>845</v>
      </c>
      <c r="D59" s="7" t="s">
        <v>844</v>
      </c>
      <c r="E59" s="7" t="s">
        <v>845</v>
      </c>
      <c r="F59" s="7" t="s">
        <v>869</v>
      </c>
      <c r="G59" s="7" t="s">
        <v>868</v>
      </c>
      <c r="H59" t="s">
        <v>537</v>
      </c>
      <c r="I59" t="s">
        <v>538</v>
      </c>
      <c r="J59" t="s">
        <v>13</v>
      </c>
      <c r="K59">
        <v>2020</v>
      </c>
      <c r="L59" t="s">
        <v>738</v>
      </c>
      <c r="M59" t="s">
        <v>739</v>
      </c>
      <c r="N59" t="s">
        <v>336</v>
      </c>
      <c r="P59" s="16"/>
    </row>
    <row r="60" spans="1:16" x14ac:dyDescent="0.2">
      <c r="A60">
        <f t="shared" si="0"/>
        <v>59</v>
      </c>
      <c r="B60" s="7">
        <v>44921</v>
      </c>
      <c r="C60" s="7" t="s">
        <v>845</v>
      </c>
      <c r="D60" s="7" t="s">
        <v>844</v>
      </c>
      <c r="E60" s="7" t="s">
        <v>845</v>
      </c>
      <c r="F60" s="7" t="s">
        <v>935</v>
      </c>
      <c r="G60" t="s">
        <v>843</v>
      </c>
      <c r="H60" t="s">
        <v>539</v>
      </c>
      <c r="I60" t="s">
        <v>540</v>
      </c>
      <c r="J60" t="s">
        <v>13</v>
      </c>
      <c r="K60">
        <v>2020</v>
      </c>
      <c r="L60" t="s">
        <v>740</v>
      </c>
      <c r="M60" t="s">
        <v>741</v>
      </c>
      <c r="N60" t="s">
        <v>336</v>
      </c>
      <c r="P60" s="17"/>
    </row>
    <row r="61" spans="1:16" x14ac:dyDescent="0.2">
      <c r="A61">
        <f t="shared" si="0"/>
        <v>60</v>
      </c>
      <c r="B61" s="7">
        <v>44921</v>
      </c>
      <c r="C61" s="7" t="s">
        <v>845</v>
      </c>
      <c r="D61" s="7" t="s">
        <v>844</v>
      </c>
      <c r="E61" s="7" t="s">
        <v>845</v>
      </c>
      <c r="F61" s="7" t="s">
        <v>936</v>
      </c>
      <c r="G61" s="7" t="s">
        <v>868</v>
      </c>
      <c r="H61" t="s">
        <v>541</v>
      </c>
      <c r="I61" t="s">
        <v>542</v>
      </c>
      <c r="J61" t="s">
        <v>290</v>
      </c>
      <c r="K61">
        <v>2020</v>
      </c>
      <c r="L61" t="s">
        <v>742</v>
      </c>
      <c r="M61" t="s">
        <v>743</v>
      </c>
      <c r="N61" t="s">
        <v>336</v>
      </c>
      <c r="P61" s="16"/>
    </row>
    <row r="62" spans="1:16" x14ac:dyDescent="0.2">
      <c r="A62">
        <f t="shared" si="0"/>
        <v>61</v>
      </c>
      <c r="B62" s="7">
        <v>44921</v>
      </c>
      <c r="C62" s="7" t="s">
        <v>845</v>
      </c>
      <c r="D62" s="7" t="s">
        <v>844</v>
      </c>
      <c r="E62" s="7" t="s">
        <v>845</v>
      </c>
      <c r="F62" s="7" t="s">
        <v>937</v>
      </c>
      <c r="G62" s="7" t="s">
        <v>868</v>
      </c>
      <c r="H62" t="s">
        <v>543</v>
      </c>
      <c r="I62" t="s">
        <v>544</v>
      </c>
      <c r="J62" t="s">
        <v>13</v>
      </c>
      <c r="K62">
        <v>2020</v>
      </c>
      <c r="L62" t="s">
        <v>744</v>
      </c>
      <c r="M62" t="s">
        <v>745</v>
      </c>
      <c r="N62" t="s">
        <v>336</v>
      </c>
      <c r="P62" s="17"/>
    </row>
    <row r="63" spans="1:16" x14ac:dyDescent="0.2">
      <c r="A63">
        <f t="shared" si="0"/>
        <v>62</v>
      </c>
      <c r="B63" s="7">
        <v>44921</v>
      </c>
      <c r="C63" s="7" t="s">
        <v>845</v>
      </c>
      <c r="D63" s="7" t="s">
        <v>844</v>
      </c>
      <c r="E63" s="7" t="s">
        <v>845</v>
      </c>
      <c r="F63" s="7" t="s">
        <v>938</v>
      </c>
      <c r="G63" s="7" t="s">
        <v>868</v>
      </c>
      <c r="H63" t="s">
        <v>545</v>
      </c>
      <c r="I63" t="s">
        <v>546</v>
      </c>
      <c r="J63" t="s">
        <v>712</v>
      </c>
      <c r="K63">
        <v>2020</v>
      </c>
      <c r="L63" t="s">
        <v>746</v>
      </c>
      <c r="M63" t="s">
        <v>747</v>
      </c>
      <c r="N63" t="s">
        <v>336</v>
      </c>
    </row>
    <row r="64" spans="1:16" x14ac:dyDescent="0.2">
      <c r="A64">
        <f t="shared" si="0"/>
        <v>63</v>
      </c>
      <c r="B64" s="7">
        <v>44921</v>
      </c>
      <c r="C64" s="7" t="s">
        <v>845</v>
      </c>
      <c r="D64" s="7" t="s">
        <v>844</v>
      </c>
      <c r="E64" s="7" t="s">
        <v>845</v>
      </c>
      <c r="F64" s="7" t="s">
        <v>869</v>
      </c>
      <c r="G64" s="7" t="s">
        <v>868</v>
      </c>
      <c r="H64" t="s">
        <v>547</v>
      </c>
      <c r="I64" t="s">
        <v>548</v>
      </c>
      <c r="J64" t="s">
        <v>509</v>
      </c>
      <c r="K64">
        <v>2020</v>
      </c>
      <c r="L64" t="s">
        <v>549</v>
      </c>
      <c r="M64" t="s">
        <v>748</v>
      </c>
      <c r="N64" t="s">
        <v>336</v>
      </c>
      <c r="P64" s="16"/>
    </row>
    <row r="65" spans="1:16" x14ac:dyDescent="0.2">
      <c r="A65">
        <f t="shared" si="0"/>
        <v>64</v>
      </c>
      <c r="B65" s="7">
        <v>44921</v>
      </c>
      <c r="C65" s="7" t="s">
        <v>845</v>
      </c>
      <c r="D65" s="7" t="s">
        <v>845</v>
      </c>
      <c r="E65" s="7" t="s">
        <v>845</v>
      </c>
      <c r="F65" s="7" t="s">
        <v>940</v>
      </c>
      <c r="G65" s="7" t="s">
        <v>868</v>
      </c>
      <c r="H65" t="s">
        <v>550</v>
      </c>
      <c r="I65" t="s">
        <v>551</v>
      </c>
      <c r="J65" t="s">
        <v>8</v>
      </c>
      <c r="K65">
        <v>2020</v>
      </c>
      <c r="L65" t="s">
        <v>750</v>
      </c>
      <c r="M65" t="s">
        <v>749</v>
      </c>
      <c r="N65" t="s">
        <v>336</v>
      </c>
      <c r="P65" s="17"/>
    </row>
    <row r="66" spans="1:16" x14ac:dyDescent="0.2">
      <c r="A66">
        <f t="shared" si="0"/>
        <v>65</v>
      </c>
      <c r="B66" s="7">
        <v>44921</v>
      </c>
      <c r="C66" s="7" t="s">
        <v>845</v>
      </c>
      <c r="D66" s="7" t="s">
        <v>844</v>
      </c>
      <c r="E66" s="7" t="s">
        <v>845</v>
      </c>
      <c r="F66" s="7" t="s">
        <v>869</v>
      </c>
      <c r="G66" s="7" t="s">
        <v>868</v>
      </c>
      <c r="H66" t="s">
        <v>552</v>
      </c>
      <c r="I66" t="s">
        <v>553</v>
      </c>
      <c r="J66" t="s">
        <v>24</v>
      </c>
      <c r="K66">
        <v>2020</v>
      </c>
      <c r="L66" t="s">
        <v>751</v>
      </c>
      <c r="M66" t="s">
        <v>752</v>
      </c>
      <c r="N66" t="s">
        <v>336</v>
      </c>
      <c r="P66" s="16"/>
    </row>
    <row r="67" spans="1:16" x14ac:dyDescent="0.2">
      <c r="A67">
        <f t="shared" si="0"/>
        <v>66</v>
      </c>
      <c r="B67" s="7">
        <v>44921</v>
      </c>
      <c r="C67" s="7" t="s">
        <v>845</v>
      </c>
      <c r="D67" s="7" t="s">
        <v>844</v>
      </c>
      <c r="E67" s="7" t="s">
        <v>845</v>
      </c>
      <c r="F67" s="7" t="s">
        <v>941</v>
      </c>
      <c r="G67" s="7" t="s">
        <v>868</v>
      </c>
      <c r="H67" t="s">
        <v>554</v>
      </c>
      <c r="I67" t="s">
        <v>555</v>
      </c>
      <c r="J67" t="s">
        <v>20</v>
      </c>
      <c r="K67">
        <v>2020</v>
      </c>
      <c r="L67" t="s">
        <v>753</v>
      </c>
      <c r="M67" t="s">
        <v>754</v>
      </c>
      <c r="N67" t="s">
        <v>336</v>
      </c>
      <c r="P67" s="17"/>
    </row>
    <row r="68" spans="1:16" x14ac:dyDescent="0.2">
      <c r="A68">
        <f t="shared" ref="A68:A127" si="1">A67+1</f>
        <v>67</v>
      </c>
      <c r="B68" s="7">
        <v>44921</v>
      </c>
      <c r="C68" s="7" t="s">
        <v>845</v>
      </c>
      <c r="D68" s="7" t="s">
        <v>845</v>
      </c>
      <c r="E68" s="7" t="s">
        <v>845</v>
      </c>
      <c r="F68" s="7" t="s">
        <v>942</v>
      </c>
      <c r="G68" t="s">
        <v>843</v>
      </c>
      <c r="H68" t="s">
        <v>556</v>
      </c>
      <c r="I68" t="s">
        <v>557</v>
      </c>
      <c r="J68" t="s">
        <v>558</v>
      </c>
      <c r="K68">
        <v>2020</v>
      </c>
      <c r="L68" t="s">
        <v>559</v>
      </c>
      <c r="M68" t="s">
        <v>755</v>
      </c>
      <c r="N68" t="s">
        <v>336</v>
      </c>
      <c r="P68" s="16"/>
    </row>
    <row r="69" spans="1:16" x14ac:dyDescent="0.2">
      <c r="A69">
        <f t="shared" si="1"/>
        <v>68</v>
      </c>
      <c r="B69" s="7">
        <v>44921</v>
      </c>
      <c r="C69" s="7" t="s">
        <v>845</v>
      </c>
      <c r="D69" s="7" t="s">
        <v>844</v>
      </c>
      <c r="E69" s="7" t="s">
        <v>845</v>
      </c>
      <c r="F69" s="7" t="s">
        <v>869</v>
      </c>
      <c r="G69" s="7" t="s">
        <v>868</v>
      </c>
      <c r="H69" t="s">
        <v>560</v>
      </c>
      <c r="I69" t="s">
        <v>561</v>
      </c>
      <c r="J69" t="s">
        <v>8</v>
      </c>
      <c r="K69">
        <v>2020</v>
      </c>
      <c r="L69" t="s">
        <v>756</v>
      </c>
      <c r="M69" t="s">
        <v>757</v>
      </c>
      <c r="N69" t="s">
        <v>336</v>
      </c>
      <c r="P69" s="17"/>
    </row>
    <row r="70" spans="1:16" x14ac:dyDescent="0.2">
      <c r="A70">
        <f t="shared" si="1"/>
        <v>69</v>
      </c>
      <c r="B70" s="7">
        <v>44921</v>
      </c>
      <c r="C70" s="7" t="s">
        <v>916</v>
      </c>
      <c r="D70" s="7" t="s">
        <v>845</v>
      </c>
      <c r="E70" s="7" t="s">
        <v>920</v>
      </c>
      <c r="F70" s="7" t="s">
        <v>948</v>
      </c>
      <c r="G70" s="7" t="s">
        <v>868</v>
      </c>
      <c r="H70" t="s">
        <v>366</v>
      </c>
      <c r="I70" t="s">
        <v>297</v>
      </c>
      <c r="J70" t="s">
        <v>411</v>
      </c>
      <c r="K70">
        <v>2021</v>
      </c>
      <c r="L70" t="s">
        <v>299</v>
      </c>
      <c r="M70" t="s">
        <v>301</v>
      </c>
      <c r="N70" t="s">
        <v>303</v>
      </c>
      <c r="P70" s="17"/>
    </row>
    <row r="71" spans="1:16" x14ac:dyDescent="0.2">
      <c r="A71">
        <f t="shared" si="1"/>
        <v>70</v>
      </c>
      <c r="B71" s="7">
        <v>44921</v>
      </c>
      <c r="C71" s="7" t="s">
        <v>916</v>
      </c>
      <c r="D71" s="7" t="s">
        <v>845</v>
      </c>
      <c r="E71" s="7" t="s">
        <v>845</v>
      </c>
      <c r="F71" s="7" t="s">
        <v>943</v>
      </c>
      <c r="G71" s="7" t="s">
        <v>868</v>
      </c>
      <c r="H71" t="s">
        <v>367</v>
      </c>
      <c r="I71" t="s">
        <v>368</v>
      </c>
      <c r="J71" t="s">
        <v>25</v>
      </c>
      <c r="K71">
        <v>2021</v>
      </c>
      <c r="L71" t="s">
        <v>287</v>
      </c>
      <c r="M71" t="s">
        <v>369</v>
      </c>
      <c r="N71" t="s">
        <v>303</v>
      </c>
      <c r="P71" s="17"/>
    </row>
    <row r="72" spans="1:16" x14ac:dyDescent="0.2">
      <c r="A72">
        <f t="shared" si="1"/>
        <v>71</v>
      </c>
      <c r="B72" s="7">
        <v>44921</v>
      </c>
      <c r="C72" s="7" t="s">
        <v>916</v>
      </c>
      <c r="D72" s="7" t="s">
        <v>845</v>
      </c>
      <c r="E72" s="7" t="s">
        <v>845</v>
      </c>
      <c r="F72" s="7" t="s">
        <v>892</v>
      </c>
      <c r="G72" s="7" t="s">
        <v>868</v>
      </c>
      <c r="H72" t="s">
        <v>370</v>
      </c>
      <c r="I72" t="s">
        <v>371</v>
      </c>
      <c r="J72" t="s">
        <v>288</v>
      </c>
      <c r="K72">
        <v>2021</v>
      </c>
      <c r="L72" t="s">
        <v>289</v>
      </c>
      <c r="M72" t="s">
        <v>372</v>
      </c>
      <c r="N72" t="s">
        <v>303</v>
      </c>
      <c r="P72" s="16"/>
    </row>
    <row r="73" spans="1:16" x14ac:dyDescent="0.2">
      <c r="A73">
        <f t="shared" si="1"/>
        <v>72</v>
      </c>
      <c r="B73" s="7">
        <v>44916</v>
      </c>
      <c r="C73" t="s">
        <v>915</v>
      </c>
      <c r="D73" t="s">
        <v>844</v>
      </c>
      <c r="E73" t="s">
        <v>845</v>
      </c>
      <c r="G73" t="s">
        <v>329</v>
      </c>
      <c r="H73" t="s">
        <v>562</v>
      </c>
      <c r="I73" t="s">
        <v>563</v>
      </c>
      <c r="J73" t="s">
        <v>25</v>
      </c>
      <c r="K73">
        <v>2021</v>
      </c>
      <c r="L73" t="s">
        <v>564</v>
      </c>
      <c r="M73" t="s">
        <v>565</v>
      </c>
      <c r="N73" t="s">
        <v>303</v>
      </c>
    </row>
    <row r="74" spans="1:16" x14ac:dyDescent="0.2">
      <c r="A74">
        <f t="shared" si="1"/>
        <v>73</v>
      </c>
      <c r="B74" s="7"/>
      <c r="C74" s="7" t="s">
        <v>916</v>
      </c>
      <c r="D74" s="7" t="s">
        <v>844</v>
      </c>
      <c r="E74" s="7" t="s">
        <v>845</v>
      </c>
      <c r="G74" s="7" t="s">
        <v>245</v>
      </c>
      <c r="H74" t="s">
        <v>373</v>
      </c>
      <c r="I74" t="s">
        <v>374</v>
      </c>
      <c r="J74" t="s">
        <v>277</v>
      </c>
      <c r="K74">
        <v>2021</v>
      </c>
      <c r="L74" t="s">
        <v>286</v>
      </c>
      <c r="M74" t="s">
        <v>375</v>
      </c>
      <c r="N74" t="s">
        <v>376</v>
      </c>
      <c r="P74" s="16"/>
    </row>
    <row r="75" spans="1:16" x14ac:dyDescent="0.2">
      <c r="A75">
        <f t="shared" si="1"/>
        <v>74</v>
      </c>
      <c r="C75" s="7" t="s">
        <v>916</v>
      </c>
      <c r="D75" s="7" t="s">
        <v>844</v>
      </c>
      <c r="E75" s="7" t="s">
        <v>845</v>
      </c>
      <c r="G75" s="7" t="s">
        <v>245</v>
      </c>
      <c r="H75" t="s">
        <v>377</v>
      </c>
      <c r="I75" t="s">
        <v>378</v>
      </c>
      <c r="J75" t="s">
        <v>21</v>
      </c>
      <c r="K75">
        <v>2021</v>
      </c>
      <c r="L75" t="s">
        <v>285</v>
      </c>
      <c r="M75" t="s">
        <v>379</v>
      </c>
      <c r="N75" t="s">
        <v>7</v>
      </c>
      <c r="P75" s="17"/>
    </row>
    <row r="76" spans="1:16" x14ac:dyDescent="0.2">
      <c r="A76">
        <f t="shared" si="1"/>
        <v>75</v>
      </c>
      <c r="B76" s="7">
        <v>44921</v>
      </c>
      <c r="C76" s="7" t="s">
        <v>916</v>
      </c>
      <c r="D76" s="7" t="s">
        <v>845</v>
      </c>
      <c r="E76" s="7" t="s">
        <v>891</v>
      </c>
      <c r="F76" t="s">
        <v>914</v>
      </c>
      <c r="G76" s="7" t="s">
        <v>868</v>
      </c>
      <c r="H76" t="s">
        <v>566</v>
      </c>
      <c r="I76" t="s">
        <v>567</v>
      </c>
      <c r="J76" t="s">
        <v>411</v>
      </c>
      <c r="K76">
        <v>2021</v>
      </c>
      <c r="L76" t="s">
        <v>758</v>
      </c>
      <c r="M76" t="s">
        <v>759</v>
      </c>
      <c r="N76" t="s">
        <v>336</v>
      </c>
      <c r="P76" s="17"/>
    </row>
    <row r="77" spans="1:16" x14ac:dyDescent="0.2">
      <c r="A77">
        <f t="shared" si="1"/>
        <v>76</v>
      </c>
      <c r="B77" s="7">
        <v>44921</v>
      </c>
      <c r="C77" s="7" t="s">
        <v>845</v>
      </c>
      <c r="D77" s="7" t="s">
        <v>844</v>
      </c>
      <c r="E77" s="7" t="s">
        <v>845</v>
      </c>
      <c r="F77" t="s">
        <v>869</v>
      </c>
      <c r="G77" s="7" t="s">
        <v>868</v>
      </c>
      <c r="H77" t="s">
        <v>568</v>
      </c>
      <c r="I77" t="s">
        <v>569</v>
      </c>
      <c r="J77" t="s">
        <v>761</v>
      </c>
      <c r="K77">
        <v>2021</v>
      </c>
      <c r="L77" t="s">
        <v>762</v>
      </c>
      <c r="M77" t="s">
        <v>760</v>
      </c>
      <c r="N77" t="s">
        <v>336</v>
      </c>
      <c r="P77" s="16"/>
    </row>
    <row r="78" spans="1:16" x14ac:dyDescent="0.2">
      <c r="A78">
        <f t="shared" si="1"/>
        <v>77</v>
      </c>
      <c r="C78" s="7" t="s">
        <v>916</v>
      </c>
      <c r="D78" s="7" t="s">
        <v>844</v>
      </c>
      <c r="E78" s="7" t="s">
        <v>920</v>
      </c>
      <c r="G78" s="7" t="s">
        <v>245</v>
      </c>
      <c r="H78" t="s">
        <v>570</v>
      </c>
      <c r="I78" t="s">
        <v>571</v>
      </c>
      <c r="J78" t="s">
        <v>764</v>
      </c>
      <c r="K78">
        <v>2021</v>
      </c>
      <c r="L78" t="s">
        <v>572</v>
      </c>
      <c r="M78" t="s">
        <v>763</v>
      </c>
      <c r="N78" t="s">
        <v>336</v>
      </c>
    </row>
    <row r="79" spans="1:16" x14ac:dyDescent="0.2">
      <c r="A79">
        <f t="shared" si="1"/>
        <v>78</v>
      </c>
      <c r="B79" s="7">
        <v>44921</v>
      </c>
      <c r="C79" s="7" t="s">
        <v>845</v>
      </c>
      <c r="D79" s="7" t="s">
        <v>844</v>
      </c>
      <c r="E79" s="7" t="s">
        <v>845</v>
      </c>
      <c r="F79" t="s">
        <v>869</v>
      </c>
      <c r="G79" s="7" t="s">
        <v>868</v>
      </c>
      <c r="H79" t="s">
        <v>573</v>
      </c>
      <c r="I79" t="s">
        <v>574</v>
      </c>
      <c r="J79" t="s">
        <v>25</v>
      </c>
      <c r="K79">
        <v>2021</v>
      </c>
      <c r="L79" t="s">
        <v>766</v>
      </c>
      <c r="M79" t="s">
        <v>765</v>
      </c>
      <c r="N79" t="s">
        <v>336</v>
      </c>
      <c r="P79" s="17"/>
    </row>
    <row r="80" spans="1:16" x14ac:dyDescent="0.2">
      <c r="A80">
        <f t="shared" si="1"/>
        <v>79</v>
      </c>
      <c r="B80" s="7">
        <v>44921</v>
      </c>
      <c r="C80" s="7" t="s">
        <v>916</v>
      </c>
      <c r="D80" s="7" t="s">
        <v>845</v>
      </c>
      <c r="E80" s="7" t="s">
        <v>891</v>
      </c>
      <c r="F80" t="s">
        <v>914</v>
      </c>
      <c r="G80" s="7" t="s">
        <v>868</v>
      </c>
      <c r="H80" t="s">
        <v>575</v>
      </c>
      <c r="I80" t="s">
        <v>576</v>
      </c>
      <c r="J80" t="s">
        <v>10</v>
      </c>
      <c r="K80">
        <v>2021</v>
      </c>
      <c r="L80" t="s">
        <v>767</v>
      </c>
      <c r="M80" t="s">
        <v>768</v>
      </c>
      <c r="N80" t="s">
        <v>336</v>
      </c>
      <c r="P80" s="17"/>
    </row>
    <row r="81" spans="1:16" x14ac:dyDescent="0.2">
      <c r="A81">
        <f t="shared" si="1"/>
        <v>80</v>
      </c>
      <c r="B81" s="7"/>
      <c r="C81" s="7" t="s">
        <v>845</v>
      </c>
      <c r="D81" s="7" t="s">
        <v>845</v>
      </c>
      <c r="E81" s="7" t="s">
        <v>891</v>
      </c>
      <c r="F81" t="s">
        <v>944</v>
      </c>
      <c r="G81" s="7" t="s">
        <v>843</v>
      </c>
      <c r="H81" t="s">
        <v>577</v>
      </c>
      <c r="I81" t="s">
        <v>578</v>
      </c>
      <c r="J81" t="s">
        <v>281</v>
      </c>
      <c r="K81">
        <v>2021</v>
      </c>
      <c r="L81" t="s">
        <v>769</v>
      </c>
      <c r="M81" t="s">
        <v>770</v>
      </c>
      <c r="N81" t="s">
        <v>336</v>
      </c>
      <c r="P81" s="17"/>
    </row>
    <row r="82" spans="1:16" x14ac:dyDescent="0.2">
      <c r="A82">
        <f t="shared" si="1"/>
        <v>81</v>
      </c>
      <c r="B82" s="7">
        <v>44921</v>
      </c>
      <c r="C82" s="7" t="s">
        <v>845</v>
      </c>
      <c r="D82" s="7" t="s">
        <v>844</v>
      </c>
      <c r="E82" s="7" t="s">
        <v>845</v>
      </c>
      <c r="F82" t="s">
        <v>869</v>
      </c>
      <c r="G82" s="7" t="s">
        <v>868</v>
      </c>
      <c r="H82" t="s">
        <v>579</v>
      </c>
      <c r="I82" t="s">
        <v>580</v>
      </c>
      <c r="J82" t="s">
        <v>13</v>
      </c>
      <c r="K82">
        <v>2021</v>
      </c>
      <c r="L82" t="s">
        <v>771</v>
      </c>
      <c r="M82" t="s">
        <v>772</v>
      </c>
      <c r="N82" t="s">
        <v>336</v>
      </c>
      <c r="P82" s="17"/>
    </row>
    <row r="83" spans="1:16" x14ac:dyDescent="0.2">
      <c r="A83">
        <f t="shared" si="1"/>
        <v>82</v>
      </c>
      <c r="B83" s="7">
        <v>44921</v>
      </c>
      <c r="C83" s="7" t="s">
        <v>845</v>
      </c>
      <c r="D83" s="7" t="s">
        <v>844</v>
      </c>
      <c r="E83" s="7" t="s">
        <v>845</v>
      </c>
      <c r="F83" t="s">
        <v>869</v>
      </c>
      <c r="G83" s="7" t="s">
        <v>868</v>
      </c>
      <c r="H83" t="s">
        <v>581</v>
      </c>
      <c r="I83" t="s">
        <v>582</v>
      </c>
      <c r="J83" t="s">
        <v>281</v>
      </c>
      <c r="K83">
        <v>2021</v>
      </c>
      <c r="L83" t="s">
        <v>773</v>
      </c>
      <c r="M83" t="s">
        <v>774</v>
      </c>
      <c r="N83" t="s">
        <v>336</v>
      </c>
      <c r="P83" s="17"/>
    </row>
    <row r="84" spans="1:16" x14ac:dyDescent="0.2">
      <c r="A84">
        <f t="shared" si="1"/>
        <v>83</v>
      </c>
      <c r="B84" s="7">
        <v>44916</v>
      </c>
      <c r="C84" t="s">
        <v>845</v>
      </c>
      <c r="D84" t="s">
        <v>844</v>
      </c>
      <c r="E84" t="s">
        <v>845</v>
      </c>
      <c r="G84" t="s">
        <v>868</v>
      </c>
      <c r="H84" t="s">
        <v>583</v>
      </c>
      <c r="I84" t="s">
        <v>584</v>
      </c>
      <c r="J84" t="s">
        <v>290</v>
      </c>
      <c r="K84">
        <v>2021</v>
      </c>
      <c r="L84" t="s">
        <v>775</v>
      </c>
      <c r="M84" t="s">
        <v>776</v>
      </c>
      <c r="N84" t="s">
        <v>336</v>
      </c>
    </row>
    <row r="85" spans="1:16" x14ac:dyDescent="0.2">
      <c r="A85">
        <f t="shared" si="1"/>
        <v>84</v>
      </c>
      <c r="B85" s="7">
        <v>44921</v>
      </c>
      <c r="C85" s="7" t="s">
        <v>845</v>
      </c>
      <c r="D85" s="7" t="s">
        <v>844</v>
      </c>
      <c r="E85" s="7" t="s">
        <v>845</v>
      </c>
      <c r="F85" t="s">
        <v>869</v>
      </c>
      <c r="G85" s="7" t="s">
        <v>868</v>
      </c>
      <c r="H85" t="s">
        <v>585</v>
      </c>
      <c r="I85" t="s">
        <v>586</v>
      </c>
      <c r="J85" t="s">
        <v>410</v>
      </c>
      <c r="K85">
        <v>2021</v>
      </c>
      <c r="L85" t="s">
        <v>777</v>
      </c>
      <c r="M85" t="s">
        <v>778</v>
      </c>
      <c r="N85" t="s">
        <v>336</v>
      </c>
      <c r="P85" s="16"/>
    </row>
    <row r="86" spans="1:16" x14ac:dyDescent="0.2">
      <c r="A86">
        <f t="shared" si="1"/>
        <v>85</v>
      </c>
      <c r="B86" s="7">
        <v>44921</v>
      </c>
      <c r="C86" s="7" t="s">
        <v>845</v>
      </c>
      <c r="D86" s="7" t="s">
        <v>845</v>
      </c>
      <c r="E86" s="7" t="s">
        <v>845</v>
      </c>
      <c r="F86" t="s">
        <v>925</v>
      </c>
      <c r="G86" s="7" t="s">
        <v>868</v>
      </c>
      <c r="H86" t="s">
        <v>587</v>
      </c>
      <c r="I86" t="s">
        <v>588</v>
      </c>
      <c r="J86" t="s">
        <v>398</v>
      </c>
      <c r="K86">
        <v>2021</v>
      </c>
      <c r="L86" t="s">
        <v>779</v>
      </c>
      <c r="M86" t="s">
        <v>780</v>
      </c>
      <c r="N86" t="s">
        <v>336</v>
      </c>
      <c r="P86" s="17"/>
    </row>
    <row r="87" spans="1:16" x14ac:dyDescent="0.2">
      <c r="A87">
        <f t="shared" si="1"/>
        <v>86</v>
      </c>
      <c r="B87" s="7">
        <v>44921</v>
      </c>
      <c r="C87" s="7" t="s">
        <v>845</v>
      </c>
      <c r="D87" s="7" t="s">
        <v>844</v>
      </c>
      <c r="E87" s="7" t="s">
        <v>845</v>
      </c>
      <c r="F87" t="s">
        <v>869</v>
      </c>
      <c r="G87" s="7" t="s">
        <v>868</v>
      </c>
      <c r="H87" t="s">
        <v>589</v>
      </c>
      <c r="I87" t="s">
        <v>590</v>
      </c>
      <c r="J87" t="s">
        <v>410</v>
      </c>
      <c r="K87">
        <v>2021</v>
      </c>
      <c r="L87" t="s">
        <v>781</v>
      </c>
      <c r="M87" t="s">
        <v>782</v>
      </c>
      <c r="N87" t="s">
        <v>336</v>
      </c>
      <c r="P87" s="16"/>
    </row>
    <row r="88" spans="1:16" x14ac:dyDescent="0.2">
      <c r="A88">
        <f t="shared" si="1"/>
        <v>87</v>
      </c>
      <c r="B88" s="7"/>
      <c r="C88" s="7" t="s">
        <v>845</v>
      </c>
      <c r="D88" s="7" t="s">
        <v>845</v>
      </c>
      <c r="E88" s="7" t="s">
        <v>845</v>
      </c>
      <c r="F88" t="s">
        <v>945</v>
      </c>
      <c r="G88" t="s">
        <v>843</v>
      </c>
      <c r="H88" t="s">
        <v>591</v>
      </c>
      <c r="I88" t="s">
        <v>592</v>
      </c>
      <c r="J88" t="s">
        <v>382</v>
      </c>
      <c r="K88">
        <v>2021</v>
      </c>
      <c r="L88" t="s">
        <v>593</v>
      </c>
      <c r="M88" t="s">
        <v>783</v>
      </c>
      <c r="N88" t="s">
        <v>336</v>
      </c>
      <c r="P88" s="17"/>
    </row>
    <row r="89" spans="1:16" x14ac:dyDescent="0.2">
      <c r="A89">
        <f t="shared" si="1"/>
        <v>88</v>
      </c>
      <c r="B89" s="7">
        <v>44921</v>
      </c>
      <c r="C89" s="7" t="s">
        <v>845</v>
      </c>
      <c r="D89" s="7" t="s">
        <v>844</v>
      </c>
      <c r="E89" s="7" t="s">
        <v>845</v>
      </c>
      <c r="F89" t="s">
        <v>869</v>
      </c>
      <c r="G89" s="7" t="s">
        <v>868</v>
      </c>
      <c r="H89" t="s">
        <v>594</v>
      </c>
      <c r="I89" t="s">
        <v>595</v>
      </c>
      <c r="J89" t="s">
        <v>784</v>
      </c>
      <c r="K89">
        <v>2021</v>
      </c>
      <c r="L89" t="s">
        <v>785</v>
      </c>
      <c r="M89" t="s">
        <v>786</v>
      </c>
      <c r="N89" t="s">
        <v>336</v>
      </c>
      <c r="P89" s="17"/>
    </row>
    <row r="90" spans="1:16" x14ac:dyDescent="0.2">
      <c r="A90">
        <f t="shared" si="1"/>
        <v>89</v>
      </c>
      <c r="B90" s="7">
        <v>44921</v>
      </c>
      <c r="C90" s="7" t="s">
        <v>845</v>
      </c>
      <c r="D90" s="7" t="s">
        <v>844</v>
      </c>
      <c r="E90" s="7" t="s">
        <v>845</v>
      </c>
      <c r="F90" t="s">
        <v>869</v>
      </c>
      <c r="G90" s="7" t="s">
        <v>868</v>
      </c>
      <c r="H90" t="s">
        <v>596</v>
      </c>
      <c r="I90" t="s">
        <v>790</v>
      </c>
      <c r="J90" t="s">
        <v>787</v>
      </c>
      <c r="K90">
        <v>2021</v>
      </c>
      <c r="L90" t="s">
        <v>788</v>
      </c>
      <c r="M90" t="s">
        <v>789</v>
      </c>
      <c r="N90" t="s">
        <v>336</v>
      </c>
      <c r="P90" s="17"/>
    </row>
    <row r="91" spans="1:16" x14ac:dyDescent="0.2">
      <c r="A91">
        <f t="shared" si="1"/>
        <v>90</v>
      </c>
      <c r="B91" s="7">
        <v>44921</v>
      </c>
      <c r="C91" s="7" t="s">
        <v>845</v>
      </c>
      <c r="D91" s="7" t="s">
        <v>845</v>
      </c>
      <c r="E91" s="7" t="s">
        <v>845</v>
      </c>
      <c r="F91" t="s">
        <v>892</v>
      </c>
      <c r="G91" s="7" t="s">
        <v>868</v>
      </c>
      <c r="H91" t="s">
        <v>597</v>
      </c>
      <c r="I91" t="s">
        <v>598</v>
      </c>
      <c r="J91" t="s">
        <v>791</v>
      </c>
      <c r="K91">
        <v>2021</v>
      </c>
      <c r="M91" t="s">
        <v>792</v>
      </c>
      <c r="N91" t="s">
        <v>336</v>
      </c>
      <c r="P91" s="17"/>
    </row>
    <row r="92" spans="1:16" x14ac:dyDescent="0.2">
      <c r="A92">
        <f t="shared" si="1"/>
        <v>91</v>
      </c>
      <c r="B92" s="7">
        <v>44921</v>
      </c>
      <c r="C92" s="7" t="s">
        <v>845</v>
      </c>
      <c r="D92" s="7" t="s">
        <v>844</v>
      </c>
      <c r="E92" s="7" t="s">
        <v>845</v>
      </c>
      <c r="F92" t="s">
        <v>946</v>
      </c>
      <c r="G92" s="7" t="s">
        <v>868</v>
      </c>
      <c r="H92" t="s">
        <v>599</v>
      </c>
      <c r="I92" t="s">
        <v>600</v>
      </c>
      <c r="J92" t="s">
        <v>509</v>
      </c>
      <c r="K92">
        <v>2021</v>
      </c>
      <c r="L92" t="s">
        <v>601</v>
      </c>
      <c r="M92" t="s">
        <v>793</v>
      </c>
      <c r="N92" t="s">
        <v>336</v>
      </c>
      <c r="P92" s="17"/>
    </row>
    <row r="93" spans="1:16" x14ac:dyDescent="0.2">
      <c r="A93">
        <f t="shared" si="1"/>
        <v>92</v>
      </c>
      <c r="B93" s="7">
        <v>44916</v>
      </c>
      <c r="C93" s="7" t="s">
        <v>845</v>
      </c>
      <c r="D93" s="7" t="s">
        <v>844</v>
      </c>
      <c r="E93" s="7" t="s">
        <v>845</v>
      </c>
      <c r="F93" t="s">
        <v>869</v>
      </c>
      <c r="G93" t="s">
        <v>868</v>
      </c>
      <c r="H93" t="s">
        <v>602</v>
      </c>
      <c r="I93" t="s">
        <v>603</v>
      </c>
      <c r="J93" t="s">
        <v>795</v>
      </c>
      <c r="K93">
        <v>2021</v>
      </c>
      <c r="L93" t="s">
        <v>794</v>
      </c>
      <c r="M93" t="s">
        <v>796</v>
      </c>
      <c r="N93" t="s">
        <v>336</v>
      </c>
      <c r="P93" s="16"/>
    </row>
    <row r="94" spans="1:16" x14ac:dyDescent="0.2">
      <c r="A94">
        <f t="shared" si="1"/>
        <v>93</v>
      </c>
      <c r="B94" s="7"/>
      <c r="C94" s="7" t="s">
        <v>845</v>
      </c>
      <c r="D94" s="7" t="s">
        <v>845</v>
      </c>
      <c r="E94" s="7" t="s">
        <v>891</v>
      </c>
      <c r="F94" t="s">
        <v>947</v>
      </c>
      <c r="G94" t="s">
        <v>843</v>
      </c>
      <c r="H94" t="s">
        <v>604</v>
      </c>
      <c r="I94" t="s">
        <v>605</v>
      </c>
      <c r="J94" t="s">
        <v>797</v>
      </c>
      <c r="K94">
        <v>2021</v>
      </c>
      <c r="L94" t="s">
        <v>606</v>
      </c>
      <c r="M94" t="s">
        <v>798</v>
      </c>
      <c r="N94" t="s">
        <v>336</v>
      </c>
      <c r="P94" s="16"/>
    </row>
    <row r="95" spans="1:16" x14ac:dyDescent="0.2">
      <c r="A95">
        <f t="shared" si="1"/>
        <v>94</v>
      </c>
      <c r="B95" s="7">
        <v>44921</v>
      </c>
      <c r="C95" s="7" t="s">
        <v>845</v>
      </c>
      <c r="D95" s="7" t="s">
        <v>844</v>
      </c>
      <c r="E95" s="7" t="s">
        <v>891</v>
      </c>
      <c r="F95" t="s">
        <v>869</v>
      </c>
      <c r="G95" s="7" t="s">
        <v>868</v>
      </c>
      <c r="H95" t="s">
        <v>607</v>
      </c>
      <c r="I95" t="s">
        <v>608</v>
      </c>
      <c r="J95" t="s">
        <v>290</v>
      </c>
      <c r="K95">
        <v>2021</v>
      </c>
      <c r="L95" t="s">
        <v>799</v>
      </c>
      <c r="M95" t="s">
        <v>800</v>
      </c>
      <c r="N95" t="s">
        <v>336</v>
      </c>
      <c r="P95" s="17"/>
    </row>
    <row r="96" spans="1:16" x14ac:dyDescent="0.2">
      <c r="A96">
        <f t="shared" si="1"/>
        <v>95</v>
      </c>
      <c r="B96" s="7">
        <v>44921</v>
      </c>
      <c r="C96" s="7" t="s">
        <v>845</v>
      </c>
      <c r="D96" s="7" t="s">
        <v>844</v>
      </c>
      <c r="E96" s="7" t="s">
        <v>845</v>
      </c>
      <c r="F96" t="s">
        <v>869</v>
      </c>
      <c r="G96" s="7" t="s">
        <v>868</v>
      </c>
      <c r="H96" t="s">
        <v>402</v>
      </c>
      <c r="I96" t="s">
        <v>403</v>
      </c>
      <c r="J96" t="s">
        <v>404</v>
      </c>
      <c r="K96">
        <v>2021</v>
      </c>
      <c r="L96" t="s">
        <v>405</v>
      </c>
      <c r="M96" t="s">
        <v>406</v>
      </c>
      <c r="N96" t="s">
        <v>9</v>
      </c>
      <c r="P96" s="17"/>
    </row>
    <row r="97" spans="1:16" x14ac:dyDescent="0.2">
      <c r="A97">
        <f t="shared" si="1"/>
        <v>96</v>
      </c>
      <c r="B97" s="7">
        <v>44921</v>
      </c>
      <c r="C97" s="7" t="s">
        <v>845</v>
      </c>
      <c r="D97" s="7" t="s">
        <v>845</v>
      </c>
      <c r="E97" s="7" t="s">
        <v>891</v>
      </c>
      <c r="F97" t="s">
        <v>914</v>
      </c>
      <c r="G97" s="7" t="s">
        <v>868</v>
      </c>
      <c r="H97" t="s">
        <v>407</v>
      </c>
      <c r="I97" t="s">
        <v>408</v>
      </c>
      <c r="J97" t="s">
        <v>8</v>
      </c>
      <c r="K97">
        <v>2021</v>
      </c>
      <c r="L97" t="s">
        <v>296</v>
      </c>
      <c r="M97" t="s">
        <v>409</v>
      </c>
      <c r="N97" t="s">
        <v>9</v>
      </c>
      <c r="P97" s="16"/>
    </row>
    <row r="98" spans="1:16" x14ac:dyDescent="0.2">
      <c r="A98">
        <f t="shared" si="1"/>
        <v>97</v>
      </c>
      <c r="C98" s="7" t="s">
        <v>916</v>
      </c>
      <c r="D98" s="7" t="s">
        <v>844</v>
      </c>
      <c r="E98" s="7" t="s">
        <v>845</v>
      </c>
      <c r="G98" s="7" t="s">
        <v>245</v>
      </c>
      <c r="H98" t="s">
        <v>383</v>
      </c>
      <c r="I98" t="s">
        <v>384</v>
      </c>
      <c r="J98" t="s">
        <v>14</v>
      </c>
      <c r="K98">
        <v>2022</v>
      </c>
      <c r="L98" t="s">
        <v>291</v>
      </c>
      <c r="M98" t="s">
        <v>385</v>
      </c>
      <c r="N98" t="s">
        <v>303</v>
      </c>
      <c r="P98" s="16"/>
    </row>
    <row r="99" spans="1:16" x14ac:dyDescent="0.2">
      <c r="A99">
        <f t="shared" si="1"/>
        <v>98</v>
      </c>
      <c r="B99" s="7">
        <v>44921</v>
      </c>
      <c r="C99" s="7" t="s">
        <v>915</v>
      </c>
      <c r="D99" s="7" t="s">
        <v>845</v>
      </c>
      <c r="E99" s="7" t="s">
        <v>845</v>
      </c>
      <c r="F99" t="s">
        <v>892</v>
      </c>
      <c r="G99" s="7" t="s">
        <v>868</v>
      </c>
      <c r="H99" t="s">
        <v>393</v>
      </c>
      <c r="I99" t="s">
        <v>609</v>
      </c>
      <c r="J99" t="s">
        <v>25</v>
      </c>
      <c r="K99">
        <v>2022</v>
      </c>
      <c r="L99" t="s">
        <v>293</v>
      </c>
      <c r="M99" t="s">
        <v>610</v>
      </c>
      <c r="N99" t="s">
        <v>303</v>
      </c>
    </row>
    <row r="100" spans="1:16" x14ac:dyDescent="0.2">
      <c r="A100">
        <f t="shared" si="1"/>
        <v>99</v>
      </c>
      <c r="B100" s="7">
        <v>44921</v>
      </c>
      <c r="C100" s="7" t="s">
        <v>916</v>
      </c>
      <c r="D100" s="7" t="s">
        <v>845</v>
      </c>
      <c r="E100" s="7" t="s">
        <v>920</v>
      </c>
      <c r="F100" t="s">
        <v>948</v>
      </c>
      <c r="G100" s="7" t="s">
        <v>868</v>
      </c>
      <c r="H100" t="s">
        <v>611</v>
      </c>
      <c r="I100" t="s">
        <v>612</v>
      </c>
      <c r="J100" t="s">
        <v>801</v>
      </c>
      <c r="K100">
        <v>2022</v>
      </c>
      <c r="L100" t="s">
        <v>613</v>
      </c>
      <c r="M100" t="s">
        <v>614</v>
      </c>
      <c r="N100" t="s">
        <v>303</v>
      </c>
      <c r="P100" s="16"/>
    </row>
    <row r="101" spans="1:16" x14ac:dyDescent="0.2">
      <c r="A101">
        <f t="shared" si="1"/>
        <v>100</v>
      </c>
      <c r="B101" s="7">
        <v>44921</v>
      </c>
      <c r="C101" s="7" t="s">
        <v>916</v>
      </c>
      <c r="D101" s="7" t="s">
        <v>845</v>
      </c>
      <c r="E101" s="7" t="s">
        <v>920</v>
      </c>
      <c r="F101" t="s">
        <v>926</v>
      </c>
      <c r="G101" s="7" t="s">
        <v>868</v>
      </c>
      <c r="H101" t="s">
        <v>386</v>
      </c>
      <c r="I101" t="s">
        <v>387</v>
      </c>
      <c r="J101" t="s">
        <v>281</v>
      </c>
      <c r="K101">
        <v>2022</v>
      </c>
      <c r="L101" t="s">
        <v>294</v>
      </c>
      <c r="M101" t="s">
        <v>388</v>
      </c>
      <c r="N101" t="s">
        <v>376</v>
      </c>
      <c r="P101" s="16"/>
    </row>
    <row r="102" spans="1:16" x14ac:dyDescent="0.2">
      <c r="A102">
        <f t="shared" si="1"/>
        <v>101</v>
      </c>
      <c r="B102" s="7">
        <v>44921</v>
      </c>
      <c r="C102" s="7" t="s">
        <v>915</v>
      </c>
      <c r="D102" s="7" t="s">
        <v>845</v>
      </c>
      <c r="E102" s="7" t="s">
        <v>845</v>
      </c>
      <c r="F102" t="s">
        <v>892</v>
      </c>
      <c r="G102" s="7" t="s">
        <v>868</v>
      </c>
      <c r="H102" t="s">
        <v>397</v>
      </c>
      <c r="I102" t="s">
        <v>615</v>
      </c>
      <c r="J102" t="s">
        <v>25</v>
      </c>
      <c r="K102">
        <v>2022</v>
      </c>
      <c r="L102" t="s">
        <v>413</v>
      </c>
      <c r="M102" t="s">
        <v>616</v>
      </c>
      <c r="N102" t="s">
        <v>376</v>
      </c>
      <c r="P102" s="16"/>
    </row>
    <row r="103" spans="1:16" x14ac:dyDescent="0.2">
      <c r="A103">
        <f t="shared" si="1"/>
        <v>102</v>
      </c>
      <c r="B103" s="7">
        <v>44921</v>
      </c>
      <c r="C103" s="7" t="s">
        <v>916</v>
      </c>
      <c r="D103" s="7" t="s">
        <v>844</v>
      </c>
      <c r="E103" s="7" t="s">
        <v>845</v>
      </c>
      <c r="F103" t="s">
        <v>949</v>
      </c>
      <c r="G103" s="7" t="s">
        <v>868</v>
      </c>
      <c r="H103" t="s">
        <v>617</v>
      </c>
      <c r="I103" t="s">
        <v>618</v>
      </c>
      <c r="J103" t="s">
        <v>8</v>
      </c>
      <c r="K103">
        <v>2022</v>
      </c>
      <c r="L103" t="s">
        <v>619</v>
      </c>
      <c r="M103" t="s">
        <v>620</v>
      </c>
      <c r="N103" t="s">
        <v>376</v>
      </c>
      <c r="P103" s="17"/>
    </row>
    <row r="104" spans="1:16" x14ac:dyDescent="0.2">
      <c r="A104">
        <f t="shared" si="1"/>
        <v>103</v>
      </c>
      <c r="B104" s="7">
        <v>44921</v>
      </c>
      <c r="C104" s="7" t="s">
        <v>916</v>
      </c>
      <c r="D104" s="7" t="s">
        <v>845</v>
      </c>
      <c r="E104" s="7" t="s">
        <v>920</v>
      </c>
      <c r="F104" t="s">
        <v>950</v>
      </c>
      <c r="G104" s="7" t="s">
        <v>868</v>
      </c>
      <c r="H104" t="s">
        <v>389</v>
      </c>
      <c r="I104" t="s">
        <v>390</v>
      </c>
      <c r="J104" t="s">
        <v>391</v>
      </c>
      <c r="K104">
        <v>2022</v>
      </c>
      <c r="L104" t="s">
        <v>300</v>
      </c>
      <c r="M104" t="s">
        <v>392</v>
      </c>
      <c r="N104" t="s">
        <v>376</v>
      </c>
    </row>
    <row r="105" spans="1:16" x14ac:dyDescent="0.2">
      <c r="A105">
        <f t="shared" si="1"/>
        <v>104</v>
      </c>
      <c r="B105" s="7">
        <v>44921</v>
      </c>
      <c r="C105" s="7" t="s">
        <v>915</v>
      </c>
      <c r="D105" s="7" t="s">
        <v>845</v>
      </c>
      <c r="E105" s="7" t="s">
        <v>845</v>
      </c>
      <c r="F105" t="s">
        <v>892</v>
      </c>
      <c r="G105" s="7" t="s">
        <v>868</v>
      </c>
      <c r="H105" t="s">
        <v>394</v>
      </c>
      <c r="I105" t="s">
        <v>395</v>
      </c>
      <c r="J105" t="s">
        <v>281</v>
      </c>
      <c r="K105">
        <v>2022</v>
      </c>
      <c r="L105" t="s">
        <v>292</v>
      </c>
      <c r="M105" t="s">
        <v>396</v>
      </c>
      <c r="N105" t="s">
        <v>7</v>
      </c>
      <c r="P105" s="17"/>
    </row>
    <row r="106" spans="1:16" x14ac:dyDescent="0.2">
      <c r="A106">
        <f t="shared" si="1"/>
        <v>105</v>
      </c>
      <c r="B106" s="7">
        <v>44921</v>
      </c>
      <c r="C106" s="7" t="s">
        <v>916</v>
      </c>
      <c r="D106" s="7" t="s">
        <v>845</v>
      </c>
      <c r="E106" s="7" t="s">
        <v>920</v>
      </c>
      <c r="F106" t="s">
        <v>951</v>
      </c>
      <c r="G106" s="7" t="s">
        <v>868</v>
      </c>
      <c r="H106" t="s">
        <v>621</v>
      </c>
      <c r="I106" t="s">
        <v>608</v>
      </c>
      <c r="J106" t="s">
        <v>290</v>
      </c>
      <c r="K106">
        <v>2022</v>
      </c>
      <c r="L106" t="s">
        <v>802</v>
      </c>
      <c r="M106" t="s">
        <v>803</v>
      </c>
      <c r="N106" t="s">
        <v>336</v>
      </c>
    </row>
    <row r="107" spans="1:16" x14ac:dyDescent="0.2">
      <c r="A107">
        <f t="shared" si="1"/>
        <v>106</v>
      </c>
      <c r="B107" s="7">
        <v>44921</v>
      </c>
      <c r="C107" s="7" t="s">
        <v>916</v>
      </c>
      <c r="D107" s="7" t="s">
        <v>845</v>
      </c>
      <c r="E107" s="7" t="s">
        <v>891</v>
      </c>
      <c r="F107" t="s">
        <v>952</v>
      </c>
      <c r="G107" s="7" t="s">
        <v>868</v>
      </c>
      <c r="H107" t="s">
        <v>622</v>
      </c>
      <c r="I107" t="s">
        <v>623</v>
      </c>
      <c r="J107" t="s">
        <v>410</v>
      </c>
      <c r="K107">
        <v>2022</v>
      </c>
      <c r="L107" t="s">
        <v>804</v>
      </c>
      <c r="M107" t="s">
        <v>805</v>
      </c>
      <c r="N107" t="s">
        <v>336</v>
      </c>
      <c r="P107" s="17"/>
    </row>
    <row r="108" spans="1:16" x14ac:dyDescent="0.2">
      <c r="A108">
        <f t="shared" si="1"/>
        <v>107</v>
      </c>
      <c r="C108" s="7" t="s">
        <v>845</v>
      </c>
      <c r="D108" s="7" t="s">
        <v>844</v>
      </c>
      <c r="E108" s="7" t="s">
        <v>845</v>
      </c>
      <c r="F108" t="s">
        <v>869</v>
      </c>
      <c r="G108" t="s">
        <v>843</v>
      </c>
      <c r="H108" t="s">
        <v>624</v>
      </c>
      <c r="I108" t="s">
        <v>625</v>
      </c>
      <c r="J108" t="s">
        <v>398</v>
      </c>
      <c r="K108">
        <v>2022</v>
      </c>
      <c r="L108" t="s">
        <v>806</v>
      </c>
      <c r="M108" t="s">
        <v>807</v>
      </c>
      <c r="N108" t="s">
        <v>336</v>
      </c>
      <c r="P108" s="16"/>
    </row>
    <row r="109" spans="1:16" x14ac:dyDescent="0.2">
      <c r="A109">
        <f t="shared" si="1"/>
        <v>108</v>
      </c>
      <c r="C109" s="7" t="s">
        <v>845</v>
      </c>
      <c r="D109" s="7" t="s">
        <v>845</v>
      </c>
      <c r="E109" s="7" t="s">
        <v>891</v>
      </c>
      <c r="F109" t="s">
        <v>947</v>
      </c>
      <c r="G109" t="s">
        <v>843</v>
      </c>
      <c r="H109" t="s">
        <v>626</v>
      </c>
      <c r="I109" t="s">
        <v>627</v>
      </c>
      <c r="J109" t="s">
        <v>411</v>
      </c>
      <c r="K109">
        <v>2022</v>
      </c>
      <c r="L109" t="s">
        <v>808</v>
      </c>
      <c r="M109" t="s">
        <v>809</v>
      </c>
      <c r="N109" t="s">
        <v>336</v>
      </c>
      <c r="P109" s="16"/>
    </row>
    <row r="110" spans="1:16" x14ac:dyDescent="0.2">
      <c r="A110">
        <f t="shared" si="1"/>
        <v>109</v>
      </c>
      <c r="B110" s="7">
        <v>44921</v>
      </c>
      <c r="C110" s="7" t="s">
        <v>845</v>
      </c>
      <c r="D110" s="7" t="s">
        <v>844</v>
      </c>
      <c r="E110" s="7" t="s">
        <v>891</v>
      </c>
      <c r="F110" t="s">
        <v>947</v>
      </c>
      <c r="G110" s="7" t="s">
        <v>868</v>
      </c>
      <c r="H110" t="s">
        <v>628</v>
      </c>
      <c r="I110" t="s">
        <v>629</v>
      </c>
      <c r="J110" t="s">
        <v>277</v>
      </c>
      <c r="K110">
        <v>2022</v>
      </c>
      <c r="L110" t="s">
        <v>810</v>
      </c>
      <c r="M110" t="s">
        <v>811</v>
      </c>
      <c r="N110" t="s">
        <v>336</v>
      </c>
      <c r="P110" s="16"/>
    </row>
    <row r="111" spans="1:16" x14ac:dyDescent="0.2">
      <c r="A111">
        <f t="shared" si="1"/>
        <v>110</v>
      </c>
      <c r="B111" s="7">
        <v>44921</v>
      </c>
      <c r="C111" s="7" t="s">
        <v>845</v>
      </c>
      <c r="D111" s="7" t="s">
        <v>845</v>
      </c>
      <c r="E111" s="7" t="s">
        <v>891</v>
      </c>
      <c r="F111" t="s">
        <v>925</v>
      </c>
      <c r="G111" s="7" t="s">
        <v>868</v>
      </c>
      <c r="H111" t="s">
        <v>630</v>
      </c>
      <c r="I111" t="s">
        <v>631</v>
      </c>
      <c r="J111" t="s">
        <v>13</v>
      </c>
      <c r="K111">
        <v>2022</v>
      </c>
      <c r="L111" t="s">
        <v>812</v>
      </c>
      <c r="M111" t="s">
        <v>813</v>
      </c>
      <c r="N111" t="s">
        <v>336</v>
      </c>
      <c r="P111" s="16"/>
    </row>
    <row r="112" spans="1:16" x14ac:dyDescent="0.2">
      <c r="A112">
        <f t="shared" si="1"/>
        <v>111</v>
      </c>
      <c r="B112" s="7">
        <v>44921</v>
      </c>
      <c r="C112" s="7" t="s">
        <v>845</v>
      </c>
      <c r="D112" s="7" t="s">
        <v>845</v>
      </c>
      <c r="E112" s="7" t="s">
        <v>891</v>
      </c>
      <c r="F112" t="s">
        <v>925</v>
      </c>
      <c r="G112" s="7" t="s">
        <v>868</v>
      </c>
      <c r="H112" t="s">
        <v>632</v>
      </c>
      <c r="I112" t="s">
        <v>633</v>
      </c>
      <c r="J112" t="s">
        <v>814</v>
      </c>
      <c r="K112">
        <v>2022</v>
      </c>
      <c r="L112" t="s">
        <v>634</v>
      </c>
      <c r="M112" t="s">
        <v>815</v>
      </c>
      <c r="N112" t="s">
        <v>336</v>
      </c>
      <c r="P112" s="17"/>
    </row>
    <row r="113" spans="1:17" x14ac:dyDescent="0.2">
      <c r="A113">
        <f t="shared" si="1"/>
        <v>112</v>
      </c>
      <c r="B113" s="7">
        <v>44921</v>
      </c>
      <c r="C113" s="7" t="s">
        <v>845</v>
      </c>
      <c r="D113" s="7" t="s">
        <v>844</v>
      </c>
      <c r="E113" s="7" t="s">
        <v>845</v>
      </c>
      <c r="F113" t="s">
        <v>869</v>
      </c>
      <c r="G113" s="7" t="s">
        <v>868</v>
      </c>
      <c r="H113" t="s">
        <v>635</v>
      </c>
      <c r="I113" t="s">
        <v>636</v>
      </c>
      <c r="J113" t="s">
        <v>637</v>
      </c>
      <c r="K113">
        <v>2022</v>
      </c>
      <c r="L113" t="s">
        <v>638</v>
      </c>
      <c r="M113" t="s">
        <v>816</v>
      </c>
      <c r="N113" t="s">
        <v>336</v>
      </c>
      <c r="P113" s="17"/>
    </row>
    <row r="114" spans="1:17" x14ac:dyDescent="0.2">
      <c r="A114">
        <f t="shared" si="1"/>
        <v>113</v>
      </c>
      <c r="B114" s="7">
        <v>44921</v>
      </c>
      <c r="C114" s="7" t="s">
        <v>845</v>
      </c>
      <c r="D114" s="7" t="s">
        <v>844</v>
      </c>
      <c r="E114" s="7" t="s">
        <v>920</v>
      </c>
      <c r="F114" t="s">
        <v>869</v>
      </c>
      <c r="G114" s="7" t="s">
        <v>868</v>
      </c>
      <c r="H114" t="s">
        <v>639</v>
      </c>
      <c r="I114" t="s">
        <v>640</v>
      </c>
      <c r="J114" t="s">
        <v>281</v>
      </c>
      <c r="K114">
        <v>2022</v>
      </c>
      <c r="L114" t="s">
        <v>817</v>
      </c>
      <c r="M114" t="s">
        <v>818</v>
      </c>
      <c r="N114" t="s">
        <v>336</v>
      </c>
      <c r="P114" s="16"/>
    </row>
    <row r="115" spans="1:17" x14ac:dyDescent="0.2">
      <c r="A115">
        <f t="shared" si="1"/>
        <v>114</v>
      </c>
      <c r="B115" s="7">
        <v>44921</v>
      </c>
      <c r="C115" s="7" t="s">
        <v>845</v>
      </c>
      <c r="D115" s="7" t="s">
        <v>844</v>
      </c>
      <c r="E115" s="7" t="s">
        <v>845</v>
      </c>
      <c r="F115" t="s">
        <v>869</v>
      </c>
      <c r="G115" s="7" t="s">
        <v>868</v>
      </c>
      <c r="H115" t="s">
        <v>641</v>
      </c>
      <c r="I115" t="s">
        <v>642</v>
      </c>
      <c r="J115" t="s">
        <v>819</v>
      </c>
      <c r="K115">
        <v>2022</v>
      </c>
      <c r="L115" t="s">
        <v>820</v>
      </c>
      <c r="M115" t="s">
        <v>821</v>
      </c>
      <c r="N115" t="s">
        <v>336</v>
      </c>
      <c r="P115" s="16"/>
    </row>
    <row r="116" spans="1:17" x14ac:dyDescent="0.2">
      <c r="A116">
        <f t="shared" si="1"/>
        <v>115</v>
      </c>
      <c r="B116" s="7">
        <v>44921</v>
      </c>
      <c r="C116" s="7" t="s">
        <v>845</v>
      </c>
      <c r="D116" s="7" t="s">
        <v>844</v>
      </c>
      <c r="E116" s="7" t="s">
        <v>845</v>
      </c>
      <c r="F116" t="s">
        <v>869</v>
      </c>
      <c r="G116" s="7" t="s">
        <v>868</v>
      </c>
      <c r="H116" t="s">
        <v>643</v>
      </c>
      <c r="I116" t="s">
        <v>644</v>
      </c>
      <c r="J116" t="s">
        <v>822</v>
      </c>
      <c r="K116">
        <v>2022</v>
      </c>
      <c r="L116" t="s">
        <v>823</v>
      </c>
      <c r="M116" t="s">
        <v>824</v>
      </c>
      <c r="N116" t="s">
        <v>336</v>
      </c>
      <c r="P116" s="16"/>
    </row>
    <row r="117" spans="1:17" x14ac:dyDescent="0.2">
      <c r="A117">
        <f t="shared" si="1"/>
        <v>116</v>
      </c>
      <c r="B117" s="7">
        <v>44921</v>
      </c>
      <c r="C117" s="7" t="s">
        <v>845</v>
      </c>
      <c r="D117" s="7" t="s">
        <v>845</v>
      </c>
      <c r="E117" s="7" t="s">
        <v>845</v>
      </c>
      <c r="F117" t="s">
        <v>953</v>
      </c>
      <c r="G117" s="7" t="s">
        <v>868</v>
      </c>
      <c r="H117" t="s">
        <v>645</v>
      </c>
      <c r="I117" t="s">
        <v>646</v>
      </c>
      <c r="J117" t="s">
        <v>12</v>
      </c>
      <c r="K117">
        <v>2022</v>
      </c>
      <c r="L117" t="s">
        <v>825</v>
      </c>
      <c r="M117" t="s">
        <v>826</v>
      </c>
      <c r="N117" t="s">
        <v>336</v>
      </c>
    </row>
    <row r="118" spans="1:17" x14ac:dyDescent="0.2">
      <c r="A118">
        <f t="shared" si="1"/>
        <v>117</v>
      </c>
      <c r="B118" s="7">
        <v>44921</v>
      </c>
      <c r="C118" s="7" t="s">
        <v>845</v>
      </c>
      <c r="D118" s="7" t="s">
        <v>845</v>
      </c>
      <c r="E118" s="7" t="s">
        <v>891</v>
      </c>
      <c r="F118" t="s">
        <v>925</v>
      </c>
      <c r="G118" s="7" t="s">
        <v>868</v>
      </c>
      <c r="H118" t="s">
        <v>647</v>
      </c>
      <c r="I118" t="s">
        <v>648</v>
      </c>
      <c r="J118" t="s">
        <v>8</v>
      </c>
      <c r="K118">
        <v>2022</v>
      </c>
      <c r="L118" t="s">
        <v>827</v>
      </c>
      <c r="M118" t="s">
        <v>828</v>
      </c>
      <c r="N118" t="s">
        <v>336</v>
      </c>
    </row>
    <row r="119" spans="1:17" x14ac:dyDescent="0.2">
      <c r="A119">
        <f t="shared" si="1"/>
        <v>118</v>
      </c>
      <c r="B119" s="7">
        <v>44921</v>
      </c>
      <c r="C119" s="7" t="s">
        <v>845</v>
      </c>
      <c r="D119" s="7" t="s">
        <v>844</v>
      </c>
      <c r="E119" s="7" t="s">
        <v>845</v>
      </c>
      <c r="F119" t="s">
        <v>869</v>
      </c>
      <c r="G119" s="7" t="s">
        <v>868</v>
      </c>
      <c r="H119" t="s">
        <v>649</v>
      </c>
      <c r="I119" t="s">
        <v>650</v>
      </c>
      <c r="J119" t="s">
        <v>410</v>
      </c>
      <c r="K119">
        <v>2022</v>
      </c>
      <c r="L119" t="s">
        <v>829</v>
      </c>
      <c r="M119" t="s">
        <v>830</v>
      </c>
      <c r="N119" t="s">
        <v>336</v>
      </c>
    </row>
    <row r="120" spans="1:17" x14ac:dyDescent="0.2">
      <c r="A120">
        <f t="shared" si="1"/>
        <v>119</v>
      </c>
      <c r="B120" s="7">
        <v>44921</v>
      </c>
      <c r="C120" s="7" t="s">
        <v>845</v>
      </c>
      <c r="D120" s="7" t="s">
        <v>844</v>
      </c>
      <c r="E120" s="7" t="s">
        <v>845</v>
      </c>
      <c r="F120" t="s">
        <v>869</v>
      </c>
      <c r="G120" s="7" t="s">
        <v>868</v>
      </c>
      <c r="H120" t="s">
        <v>651</v>
      </c>
      <c r="I120" t="s">
        <v>652</v>
      </c>
      <c r="J120" t="s">
        <v>281</v>
      </c>
      <c r="K120">
        <v>2022</v>
      </c>
      <c r="L120" t="s">
        <v>831</v>
      </c>
      <c r="M120" t="s">
        <v>832</v>
      </c>
      <c r="N120" t="s">
        <v>336</v>
      </c>
      <c r="Q120" s="17"/>
    </row>
    <row r="121" spans="1:17" x14ac:dyDescent="0.2">
      <c r="A121">
        <f t="shared" si="1"/>
        <v>120</v>
      </c>
      <c r="B121" s="7">
        <v>44921</v>
      </c>
      <c r="C121" s="7" t="s">
        <v>845</v>
      </c>
      <c r="D121" s="7" t="s">
        <v>844</v>
      </c>
      <c r="E121" s="7" t="s">
        <v>845</v>
      </c>
      <c r="F121" t="s">
        <v>869</v>
      </c>
      <c r="G121" s="7" t="s">
        <v>868</v>
      </c>
      <c r="H121" t="s">
        <v>653</v>
      </c>
      <c r="I121" t="s">
        <v>654</v>
      </c>
      <c r="J121" t="s">
        <v>290</v>
      </c>
      <c r="K121">
        <v>2022</v>
      </c>
      <c r="L121" t="s">
        <v>833</v>
      </c>
      <c r="M121" t="s">
        <v>834</v>
      </c>
      <c r="N121" t="s">
        <v>336</v>
      </c>
    </row>
    <row r="122" spans="1:17" x14ac:dyDescent="0.2">
      <c r="A122">
        <f t="shared" si="1"/>
        <v>121</v>
      </c>
      <c r="B122" s="7">
        <v>44921</v>
      </c>
      <c r="C122" s="7" t="s">
        <v>845</v>
      </c>
      <c r="D122" s="7" t="s">
        <v>845</v>
      </c>
      <c r="E122" s="7" t="s">
        <v>845</v>
      </c>
      <c r="F122" t="s">
        <v>954</v>
      </c>
      <c r="G122" s="7" t="s">
        <v>868</v>
      </c>
      <c r="H122" t="s">
        <v>655</v>
      </c>
      <c r="I122" t="s">
        <v>656</v>
      </c>
      <c r="J122" t="s">
        <v>412</v>
      </c>
      <c r="K122">
        <v>2022</v>
      </c>
      <c r="L122" t="s">
        <v>835</v>
      </c>
      <c r="M122" t="s">
        <v>836</v>
      </c>
      <c r="N122" t="s">
        <v>336</v>
      </c>
    </row>
    <row r="123" spans="1:17" x14ac:dyDescent="0.2">
      <c r="A123">
        <f t="shared" si="1"/>
        <v>122</v>
      </c>
      <c r="B123" s="7">
        <v>44921</v>
      </c>
      <c r="C123" s="7" t="s">
        <v>845</v>
      </c>
      <c r="D123" s="7" t="s">
        <v>845</v>
      </c>
      <c r="E123" s="7" t="s">
        <v>891</v>
      </c>
      <c r="F123" t="s">
        <v>955</v>
      </c>
      <c r="G123" s="7" t="s">
        <v>868</v>
      </c>
      <c r="H123" t="s">
        <v>657</v>
      </c>
      <c r="I123" t="s">
        <v>658</v>
      </c>
      <c r="J123" t="s">
        <v>684</v>
      </c>
      <c r="K123">
        <v>2022</v>
      </c>
      <c r="L123" t="s">
        <v>837</v>
      </c>
      <c r="M123" t="s">
        <v>838</v>
      </c>
      <c r="N123" t="s">
        <v>336</v>
      </c>
    </row>
    <row r="124" spans="1:17" x14ac:dyDescent="0.2">
      <c r="A124">
        <f t="shared" si="1"/>
        <v>123</v>
      </c>
      <c r="C124" s="7" t="s">
        <v>845</v>
      </c>
      <c r="D124" s="7" t="s">
        <v>845</v>
      </c>
      <c r="E124" s="7" t="s">
        <v>845</v>
      </c>
      <c r="F124" t="s">
        <v>956</v>
      </c>
      <c r="G124" t="s">
        <v>843</v>
      </c>
      <c r="H124" t="s">
        <v>659</v>
      </c>
      <c r="I124" t="s">
        <v>660</v>
      </c>
      <c r="J124" t="s">
        <v>281</v>
      </c>
      <c r="K124">
        <v>2022</v>
      </c>
      <c r="L124" t="s">
        <v>839</v>
      </c>
      <c r="M124" t="s">
        <v>840</v>
      </c>
      <c r="N124" t="s">
        <v>336</v>
      </c>
    </row>
    <row r="125" spans="1:17" x14ac:dyDescent="0.2">
      <c r="A125">
        <f t="shared" si="1"/>
        <v>124</v>
      </c>
      <c r="C125" s="7" t="s">
        <v>845</v>
      </c>
      <c r="D125" s="7" t="s">
        <v>845</v>
      </c>
      <c r="E125" s="7" t="s">
        <v>920</v>
      </c>
      <c r="F125" t="s">
        <v>957</v>
      </c>
      <c r="G125" t="s">
        <v>843</v>
      </c>
      <c r="H125" t="s">
        <v>661</v>
      </c>
      <c r="I125" t="s">
        <v>662</v>
      </c>
      <c r="J125" t="s">
        <v>281</v>
      </c>
      <c r="K125">
        <v>2022</v>
      </c>
      <c r="L125" t="s">
        <v>841</v>
      </c>
      <c r="M125" t="s">
        <v>842</v>
      </c>
      <c r="N125" t="s">
        <v>336</v>
      </c>
    </row>
    <row r="126" spans="1:17" x14ac:dyDescent="0.2">
      <c r="A126">
        <f t="shared" si="1"/>
        <v>125</v>
      </c>
      <c r="B126" s="7">
        <v>44921</v>
      </c>
      <c r="C126" s="7" t="s">
        <v>916</v>
      </c>
      <c r="D126" s="7" t="s">
        <v>845</v>
      </c>
      <c r="E126" s="7" t="s">
        <v>920</v>
      </c>
      <c r="F126" t="s">
        <v>892</v>
      </c>
      <c r="G126" t="s">
        <v>868</v>
      </c>
      <c r="H126" t="s">
        <v>401</v>
      </c>
      <c r="I126" t="s">
        <v>298</v>
      </c>
      <c r="J126" t="s">
        <v>391</v>
      </c>
      <c r="K126">
        <v>2022</v>
      </c>
      <c r="L126" t="s">
        <v>300</v>
      </c>
      <c r="M126" t="s">
        <v>302</v>
      </c>
      <c r="N126" t="s">
        <v>303</v>
      </c>
    </row>
    <row r="127" spans="1:17" x14ac:dyDescent="0.2">
      <c r="A127">
        <f t="shared" si="1"/>
        <v>126</v>
      </c>
      <c r="B127" s="7"/>
      <c r="C127" s="7" t="s">
        <v>916</v>
      </c>
      <c r="D127" s="7" t="s">
        <v>844</v>
      </c>
      <c r="E127" s="7" t="s">
        <v>932</v>
      </c>
      <c r="G127" t="s">
        <v>245</v>
      </c>
      <c r="H127" t="s">
        <v>399</v>
      </c>
      <c r="I127" t="s">
        <v>663</v>
      </c>
      <c r="J127" t="s">
        <v>19</v>
      </c>
      <c r="K127">
        <v>2023</v>
      </c>
      <c r="L127" t="s">
        <v>295</v>
      </c>
      <c r="M127" t="s">
        <v>400</v>
      </c>
      <c r="N127" t="s">
        <v>376</v>
      </c>
    </row>
  </sheetData>
  <autoFilter ref="A1:N138" xr:uid="{1CCC84C4-D214-284B-90BC-6A2481F38F31}">
    <sortState xmlns:xlrd2="http://schemas.microsoft.com/office/spreadsheetml/2017/richdata2" ref="A2:N127">
      <sortCondition ref="K1:K138"/>
    </sortState>
  </autoFilter>
  <sortState xmlns:xlrd2="http://schemas.microsoft.com/office/spreadsheetml/2017/richdata2" ref="A2:N122">
    <sortCondition ref="K2:K122"/>
  </sortState>
  <conditionalFormatting sqref="G89:G120 G122:G127 G7:G11 G2:G5 G14:G33 G35:G58 G60:G87">
    <cfRule type="containsText" dxfId="46" priority="46" stopIfTrue="1" operator="containsText" text="NetworkProblem">
      <formula>NOT(ISERROR(SEARCH("NetworkProblem",G2)))</formula>
    </cfRule>
    <cfRule type="containsText" dxfId="45" priority="47" stopIfTrue="1" operator="containsText" text="MultiProblem">
      <formula>NOT(ISERROR(SEARCH("MultiProblem",G2)))</formula>
    </cfRule>
    <cfRule type="containsText" dxfId="44" priority="48" stopIfTrue="1" operator="containsText" text="SingleProblem">
      <formula>NOT(ISERROR(SEARCH("SingleProblem",G2)))</formula>
    </cfRule>
    <cfRule type="containsText" dxfId="43" priority="50" stopIfTrue="1" operator="containsText" text="Stand-by">
      <formula>NOT(ISERROR(SEARCH("Stand-by",G2)))</formula>
    </cfRule>
    <cfRule type="notContainsText" dxfId="42" priority="52" operator="notContains" text="OK">
      <formula>ISERROR(SEARCH("OK",G2))</formula>
    </cfRule>
  </conditionalFormatting>
  <conditionalFormatting sqref="G6">
    <cfRule type="containsText" dxfId="41" priority="36" stopIfTrue="1" operator="containsText" text="NetworkProblem">
      <formula>NOT(ISERROR(SEARCH("NetworkProblem",G6)))</formula>
    </cfRule>
    <cfRule type="containsText" dxfId="40" priority="37" stopIfTrue="1" operator="containsText" text="MultiProblem">
      <formula>NOT(ISERROR(SEARCH("MultiProblem",G6)))</formula>
    </cfRule>
    <cfRule type="containsText" dxfId="39" priority="38" stopIfTrue="1" operator="containsText" text="SingleProblem">
      <formula>NOT(ISERROR(SEARCH("SingleProblem",G6)))</formula>
    </cfRule>
    <cfRule type="containsText" dxfId="38" priority="39" stopIfTrue="1" operator="containsText" text="Stand-by">
      <formula>NOT(ISERROR(SEARCH("Stand-by",G6)))</formula>
    </cfRule>
    <cfRule type="notContainsText" dxfId="37" priority="40" operator="notContains" text="OK">
      <formula>ISERROR(SEARCH("OK",G6))</formula>
    </cfRule>
  </conditionalFormatting>
  <conditionalFormatting sqref="G12">
    <cfRule type="containsText" dxfId="36" priority="31" stopIfTrue="1" operator="containsText" text="NetworkProblem">
      <formula>NOT(ISERROR(SEARCH("NetworkProblem",G12)))</formula>
    </cfRule>
    <cfRule type="containsText" dxfId="35" priority="32" stopIfTrue="1" operator="containsText" text="MultiProblem">
      <formula>NOT(ISERROR(SEARCH("MultiProblem",G12)))</formula>
    </cfRule>
    <cfRule type="containsText" dxfId="34" priority="33" stopIfTrue="1" operator="containsText" text="SingleProblem">
      <formula>NOT(ISERROR(SEARCH("SingleProblem",G12)))</formula>
    </cfRule>
    <cfRule type="containsText" dxfId="33" priority="34" stopIfTrue="1" operator="containsText" text="Stand-by">
      <formula>NOT(ISERROR(SEARCH("Stand-by",G12)))</formula>
    </cfRule>
    <cfRule type="notContainsText" dxfId="32" priority="35" operator="notContains" text="OK">
      <formula>ISERROR(SEARCH("OK",G12))</formula>
    </cfRule>
  </conditionalFormatting>
  <conditionalFormatting sqref="G13">
    <cfRule type="containsText" dxfId="31" priority="26" stopIfTrue="1" operator="containsText" text="NetworkProblem">
      <formula>NOT(ISERROR(SEARCH("NetworkProblem",G13)))</formula>
    </cfRule>
    <cfRule type="containsText" dxfId="30" priority="27" stopIfTrue="1" operator="containsText" text="MultiProblem">
      <formula>NOT(ISERROR(SEARCH("MultiProblem",G13)))</formula>
    </cfRule>
    <cfRule type="containsText" dxfId="29" priority="28" stopIfTrue="1" operator="containsText" text="SingleProblem">
      <formula>NOT(ISERROR(SEARCH("SingleProblem",G13)))</formula>
    </cfRule>
    <cfRule type="containsText" dxfId="28" priority="29" stopIfTrue="1" operator="containsText" text="Stand-by">
      <formula>NOT(ISERROR(SEARCH("Stand-by",G13)))</formula>
    </cfRule>
    <cfRule type="notContainsText" dxfId="27" priority="30" operator="notContains" text="OK">
      <formula>ISERROR(SEARCH("OK",G13))</formula>
    </cfRule>
  </conditionalFormatting>
  <conditionalFormatting sqref="G34">
    <cfRule type="containsText" dxfId="26" priority="21" stopIfTrue="1" operator="containsText" text="NetworkProblem">
      <formula>NOT(ISERROR(SEARCH("NetworkProblem",G34)))</formula>
    </cfRule>
    <cfRule type="containsText" dxfId="25" priority="22" stopIfTrue="1" operator="containsText" text="MultiProblem">
      <formula>NOT(ISERROR(SEARCH("MultiProblem",G34)))</formula>
    </cfRule>
    <cfRule type="containsText" dxfId="24" priority="23" stopIfTrue="1" operator="containsText" text="SingleProblem">
      <formula>NOT(ISERROR(SEARCH("SingleProblem",G34)))</formula>
    </cfRule>
    <cfRule type="containsText" dxfId="23" priority="24" stopIfTrue="1" operator="containsText" text="Stand-by">
      <formula>NOT(ISERROR(SEARCH("Stand-by",G34)))</formula>
    </cfRule>
    <cfRule type="notContainsText" dxfId="22" priority="25" operator="notContains" text="OK">
      <formula>ISERROR(SEARCH("OK",G34))</formula>
    </cfRule>
  </conditionalFormatting>
  <conditionalFormatting sqref="G59">
    <cfRule type="containsText" dxfId="21" priority="16" stopIfTrue="1" operator="containsText" text="NetworkProblem">
      <formula>NOT(ISERROR(SEARCH("NetworkProblem",G59)))</formula>
    </cfRule>
    <cfRule type="containsText" dxfId="20" priority="17" stopIfTrue="1" operator="containsText" text="MultiProblem">
      <formula>NOT(ISERROR(SEARCH("MultiProblem",G59)))</formula>
    </cfRule>
    <cfRule type="containsText" dxfId="19" priority="18" stopIfTrue="1" operator="containsText" text="SingleProblem">
      <formula>NOT(ISERROR(SEARCH("SingleProblem",G59)))</formula>
    </cfRule>
    <cfRule type="containsText" dxfId="18" priority="19" stopIfTrue="1" operator="containsText" text="Stand-by">
      <formula>NOT(ISERROR(SEARCH("Stand-by",G59)))</formula>
    </cfRule>
    <cfRule type="notContainsText" dxfId="17" priority="20" operator="notContains" text="OK">
      <formula>ISERROR(SEARCH("OK",G59))</formula>
    </cfRule>
  </conditionalFormatting>
  <conditionalFormatting sqref="G88">
    <cfRule type="containsText" dxfId="16" priority="11" stopIfTrue="1" operator="containsText" text="NetworkProblem">
      <formula>NOT(ISERROR(SEARCH("NetworkProblem",G88)))</formula>
    </cfRule>
    <cfRule type="containsText" dxfId="15" priority="12" stopIfTrue="1" operator="containsText" text="MultiProblem">
      <formula>NOT(ISERROR(SEARCH("MultiProblem",G88)))</formula>
    </cfRule>
    <cfRule type="containsText" dxfId="14" priority="13" stopIfTrue="1" operator="containsText" text="SingleProblem">
      <formula>NOT(ISERROR(SEARCH("SingleProblem",G88)))</formula>
    </cfRule>
    <cfRule type="containsText" dxfId="13" priority="14" stopIfTrue="1" operator="containsText" text="Stand-by">
      <formula>NOT(ISERROR(SEARCH("Stand-by",G88)))</formula>
    </cfRule>
    <cfRule type="notContainsText" dxfId="12" priority="15" operator="notContains" text="OK">
      <formula>ISERROR(SEARCH("OK",G88))</formula>
    </cfRule>
  </conditionalFormatting>
  <conditionalFormatting sqref="G121">
    <cfRule type="containsText" dxfId="11" priority="6" stopIfTrue="1" operator="containsText" text="NetworkProblem">
      <formula>NOT(ISERROR(SEARCH("NetworkProblem",G121)))</formula>
    </cfRule>
    <cfRule type="containsText" dxfId="10" priority="7" stopIfTrue="1" operator="containsText" text="MultiProblem">
      <formula>NOT(ISERROR(SEARCH("MultiProblem",G121)))</formula>
    </cfRule>
    <cfRule type="containsText" dxfId="9" priority="8" stopIfTrue="1" operator="containsText" text="SingleProblem">
      <formula>NOT(ISERROR(SEARCH("SingleProblem",G121)))</formula>
    </cfRule>
    <cfRule type="containsText" dxfId="8" priority="9" stopIfTrue="1" operator="containsText" text="Stand-by">
      <formula>NOT(ISERROR(SEARCH("Stand-by",G121)))</formula>
    </cfRule>
    <cfRule type="notContainsText" dxfId="7" priority="10" operator="notContains" text="OK">
      <formula>ISERROR(SEARCH("OK",G121))</formula>
    </cfRule>
  </conditionalFormatting>
  <conditionalFormatting sqref="H2:H127">
    <cfRule type="containsText" dxfId="6" priority="4" stopIfTrue="1" operator="containsText" text="survey">
      <formula>NOT(ISERROR(SEARCH("survey",H2)))</formula>
    </cfRule>
    <cfRule type="containsText" dxfId="5" priority="5" operator="containsText" text="review">
      <formula>NOT(ISERROR(SEARCH("review",H2)))</formula>
    </cfRule>
  </conditionalFormatting>
  <conditionalFormatting sqref="C2:C127">
    <cfRule type="containsText" dxfId="4" priority="1" operator="containsText" text="Tri-level">
      <formula>NOT(ISERROR(SEARCH("Tri-level",C2)))</formula>
    </cfRule>
    <cfRule type="containsText" dxfId="3" priority="3" operator="containsText" text="Bi-level">
      <formula>NOT(ISERROR(SEARCH("Bi-level",C2)))</formula>
    </cfRule>
  </conditionalFormatting>
  <conditionalFormatting sqref="D2:D127">
    <cfRule type="containsText" dxfId="2" priority="2" operator="containsText" text="Yes">
      <formula>NOT(ISERROR(SEARCH("Yes",D2)))</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B6A03-3DE7-FA4C-B993-C7C7A2F3853B}">
  <dimension ref="B1:U34"/>
  <sheetViews>
    <sheetView zoomScale="151" workbookViewId="0"/>
  </sheetViews>
  <sheetFormatPr baseColWidth="10" defaultRowHeight="16" customHeight="1" x14ac:dyDescent="0.15"/>
  <cols>
    <col min="1" max="1" width="1.6640625" style="29" customWidth="1"/>
    <col min="2" max="2" width="10.1640625" style="29" bestFit="1" customWidth="1"/>
    <col min="3" max="3" width="12.33203125" style="29" bestFit="1" customWidth="1"/>
    <col min="4" max="4" width="11" style="29" bestFit="1" customWidth="1"/>
    <col min="5" max="5" width="13.6640625" style="29" bestFit="1" customWidth="1"/>
    <col min="6" max="6" width="7.1640625" style="29" bestFit="1" customWidth="1"/>
    <col min="7" max="7" width="10.5" style="29" bestFit="1" customWidth="1"/>
    <col min="8" max="8" width="14.6640625" style="29" bestFit="1" customWidth="1"/>
    <col min="9" max="9" width="12.1640625" style="29" bestFit="1" customWidth="1"/>
    <col min="10" max="10" width="1.6640625" style="29" customWidth="1"/>
    <col min="11" max="11" width="13.1640625" style="29" bestFit="1" customWidth="1"/>
    <col min="12" max="12" width="15.6640625" style="29" bestFit="1" customWidth="1"/>
    <col min="13" max="13" width="19.83203125" style="29" bestFit="1" customWidth="1"/>
    <col min="14" max="14" width="5" style="29" bestFit="1" customWidth="1"/>
    <col min="15" max="15" width="9.6640625" style="29" bestFit="1" customWidth="1"/>
    <col min="16" max="16" width="10.83203125" style="29" bestFit="1" customWidth="1"/>
    <col min="17" max="17" width="16.5" style="29" bestFit="1" customWidth="1"/>
    <col min="18" max="18" width="12.33203125" style="29" bestFit="1" customWidth="1"/>
    <col min="19" max="19" width="16.5" style="29" bestFit="1" customWidth="1"/>
    <col min="20" max="20" width="17.1640625" style="29" bestFit="1" customWidth="1"/>
    <col min="21" max="21" width="21.33203125" style="29" bestFit="1" customWidth="1"/>
    <col min="22" max="254" width="10.83203125" style="29"/>
    <col min="255" max="255" width="12.5" style="29" bestFit="1" customWidth="1"/>
    <col min="256" max="256" width="12.5" style="29" customWidth="1"/>
    <col min="257" max="257" width="14.6640625" style="29" bestFit="1" customWidth="1"/>
    <col min="258" max="258" width="12.5" style="29" bestFit="1" customWidth="1"/>
    <col min="259" max="259" width="1.83203125" style="29" customWidth="1"/>
    <col min="260" max="260" width="13" style="29" bestFit="1" customWidth="1"/>
    <col min="261" max="510" width="10.83203125" style="29"/>
    <col min="511" max="511" width="12.5" style="29" bestFit="1" customWidth="1"/>
    <col min="512" max="512" width="12.5" style="29" customWidth="1"/>
    <col min="513" max="513" width="14.6640625" style="29" bestFit="1" customWidth="1"/>
    <col min="514" max="514" width="12.5" style="29" bestFit="1" customWidth="1"/>
    <col min="515" max="515" width="1.83203125" style="29" customWidth="1"/>
    <col min="516" max="516" width="13" style="29" bestFit="1" customWidth="1"/>
    <col min="517" max="766" width="10.83203125" style="29"/>
    <col min="767" max="767" width="12.5" style="29" bestFit="1" customWidth="1"/>
    <col min="768" max="768" width="12.5" style="29" customWidth="1"/>
    <col min="769" max="769" width="14.6640625" style="29" bestFit="1" customWidth="1"/>
    <col min="770" max="770" width="12.5" style="29" bestFit="1" customWidth="1"/>
    <col min="771" max="771" width="1.83203125" style="29" customWidth="1"/>
    <col min="772" max="772" width="13" style="29" bestFit="1" customWidth="1"/>
    <col min="773" max="1022" width="10.83203125" style="29"/>
    <col min="1023" max="1023" width="12.5" style="29" bestFit="1" customWidth="1"/>
    <col min="1024" max="1024" width="12.5" style="29" customWidth="1"/>
    <col min="1025" max="1025" width="14.6640625" style="29" bestFit="1" customWidth="1"/>
    <col min="1026" max="1026" width="12.5" style="29" bestFit="1" customWidth="1"/>
    <col min="1027" max="1027" width="1.83203125" style="29" customWidth="1"/>
    <col min="1028" max="1028" width="13" style="29" bestFit="1" customWidth="1"/>
    <col min="1029" max="1278" width="10.83203125" style="29"/>
    <col min="1279" max="1279" width="12.5" style="29" bestFit="1" customWidth="1"/>
    <col min="1280" max="1280" width="12.5" style="29" customWidth="1"/>
    <col min="1281" max="1281" width="14.6640625" style="29" bestFit="1" customWidth="1"/>
    <col min="1282" max="1282" width="12.5" style="29" bestFit="1" customWidth="1"/>
    <col min="1283" max="1283" width="1.83203125" style="29" customWidth="1"/>
    <col min="1284" max="1284" width="13" style="29" bestFit="1" customWidth="1"/>
    <col min="1285" max="1534" width="10.83203125" style="29"/>
    <col min="1535" max="1535" width="12.5" style="29" bestFit="1" customWidth="1"/>
    <col min="1536" max="1536" width="12.5" style="29" customWidth="1"/>
    <col min="1537" max="1537" width="14.6640625" style="29" bestFit="1" customWidth="1"/>
    <col min="1538" max="1538" width="12.5" style="29" bestFit="1" customWidth="1"/>
    <col min="1539" max="1539" width="1.83203125" style="29" customWidth="1"/>
    <col min="1540" max="1540" width="13" style="29" bestFit="1" customWidth="1"/>
    <col min="1541" max="1790" width="10.83203125" style="29"/>
    <col min="1791" max="1791" width="12.5" style="29" bestFit="1" customWidth="1"/>
    <col min="1792" max="1792" width="12.5" style="29" customWidth="1"/>
    <col min="1793" max="1793" width="14.6640625" style="29" bestFit="1" customWidth="1"/>
    <col min="1794" max="1794" width="12.5" style="29" bestFit="1" customWidth="1"/>
    <col min="1795" max="1795" width="1.83203125" style="29" customWidth="1"/>
    <col min="1796" max="1796" width="13" style="29" bestFit="1" customWidth="1"/>
    <col min="1797" max="2046" width="10.83203125" style="29"/>
    <col min="2047" max="2047" width="12.5" style="29" bestFit="1" customWidth="1"/>
    <col min="2048" max="2048" width="12.5" style="29" customWidth="1"/>
    <col min="2049" max="2049" width="14.6640625" style="29" bestFit="1" customWidth="1"/>
    <col min="2050" max="2050" width="12.5" style="29" bestFit="1" customWidth="1"/>
    <col min="2051" max="2051" width="1.83203125" style="29" customWidth="1"/>
    <col min="2052" max="2052" width="13" style="29" bestFit="1" customWidth="1"/>
    <col min="2053" max="2302" width="10.83203125" style="29"/>
    <col min="2303" max="2303" width="12.5" style="29" bestFit="1" customWidth="1"/>
    <col min="2304" max="2304" width="12.5" style="29" customWidth="1"/>
    <col min="2305" max="2305" width="14.6640625" style="29" bestFit="1" customWidth="1"/>
    <col min="2306" max="2306" width="12.5" style="29" bestFit="1" customWidth="1"/>
    <col min="2307" max="2307" width="1.83203125" style="29" customWidth="1"/>
    <col min="2308" max="2308" width="13" style="29" bestFit="1" customWidth="1"/>
    <col min="2309" max="2558" width="10.83203125" style="29"/>
    <col min="2559" max="2559" width="12.5" style="29" bestFit="1" customWidth="1"/>
    <col min="2560" max="2560" width="12.5" style="29" customWidth="1"/>
    <col min="2561" max="2561" width="14.6640625" style="29" bestFit="1" customWidth="1"/>
    <col min="2562" max="2562" width="12.5" style="29" bestFit="1" customWidth="1"/>
    <col min="2563" max="2563" width="1.83203125" style="29" customWidth="1"/>
    <col min="2564" max="2564" width="13" style="29" bestFit="1" customWidth="1"/>
    <col min="2565" max="2814" width="10.83203125" style="29"/>
    <col min="2815" max="2815" width="12.5" style="29" bestFit="1" customWidth="1"/>
    <col min="2816" max="2816" width="12.5" style="29" customWidth="1"/>
    <col min="2817" max="2817" width="14.6640625" style="29" bestFit="1" customWidth="1"/>
    <col min="2818" max="2818" width="12.5" style="29" bestFit="1" customWidth="1"/>
    <col min="2819" max="2819" width="1.83203125" style="29" customWidth="1"/>
    <col min="2820" max="2820" width="13" style="29" bestFit="1" customWidth="1"/>
    <col min="2821" max="3070" width="10.83203125" style="29"/>
    <col min="3071" max="3071" width="12.5" style="29" bestFit="1" customWidth="1"/>
    <col min="3072" max="3072" width="12.5" style="29" customWidth="1"/>
    <col min="3073" max="3073" width="14.6640625" style="29" bestFit="1" customWidth="1"/>
    <col min="3074" max="3074" width="12.5" style="29" bestFit="1" customWidth="1"/>
    <col min="3075" max="3075" width="1.83203125" style="29" customWidth="1"/>
    <col min="3076" max="3076" width="13" style="29" bestFit="1" customWidth="1"/>
    <col min="3077" max="3326" width="10.83203125" style="29"/>
    <col min="3327" max="3327" width="12.5" style="29" bestFit="1" customWidth="1"/>
    <col min="3328" max="3328" width="12.5" style="29" customWidth="1"/>
    <col min="3329" max="3329" width="14.6640625" style="29" bestFit="1" customWidth="1"/>
    <col min="3330" max="3330" width="12.5" style="29" bestFit="1" customWidth="1"/>
    <col min="3331" max="3331" width="1.83203125" style="29" customWidth="1"/>
    <col min="3332" max="3332" width="13" style="29" bestFit="1" customWidth="1"/>
    <col min="3333" max="3582" width="10.83203125" style="29"/>
    <col min="3583" max="3583" width="12.5" style="29" bestFit="1" customWidth="1"/>
    <col min="3584" max="3584" width="12.5" style="29" customWidth="1"/>
    <col min="3585" max="3585" width="14.6640625" style="29" bestFit="1" customWidth="1"/>
    <col min="3586" max="3586" width="12.5" style="29" bestFit="1" customWidth="1"/>
    <col min="3587" max="3587" width="1.83203125" style="29" customWidth="1"/>
    <col min="3588" max="3588" width="13" style="29" bestFit="1" customWidth="1"/>
    <col min="3589" max="3838" width="10.83203125" style="29"/>
    <col min="3839" max="3839" width="12.5" style="29" bestFit="1" customWidth="1"/>
    <col min="3840" max="3840" width="12.5" style="29" customWidth="1"/>
    <col min="3841" max="3841" width="14.6640625" style="29" bestFit="1" customWidth="1"/>
    <col min="3842" max="3842" width="12.5" style="29" bestFit="1" customWidth="1"/>
    <col min="3843" max="3843" width="1.83203125" style="29" customWidth="1"/>
    <col min="3844" max="3844" width="13" style="29" bestFit="1" customWidth="1"/>
    <col min="3845" max="4094" width="10.83203125" style="29"/>
    <col min="4095" max="4095" width="12.5" style="29" bestFit="1" customWidth="1"/>
    <col min="4096" max="4096" width="12.5" style="29" customWidth="1"/>
    <col min="4097" max="4097" width="14.6640625" style="29" bestFit="1" customWidth="1"/>
    <col min="4098" max="4098" width="12.5" style="29" bestFit="1" customWidth="1"/>
    <col min="4099" max="4099" width="1.83203125" style="29" customWidth="1"/>
    <col min="4100" max="4100" width="13" style="29" bestFit="1" customWidth="1"/>
    <col min="4101" max="4350" width="10.83203125" style="29"/>
    <col min="4351" max="4351" width="12.5" style="29" bestFit="1" customWidth="1"/>
    <col min="4352" max="4352" width="12.5" style="29" customWidth="1"/>
    <col min="4353" max="4353" width="14.6640625" style="29" bestFit="1" customWidth="1"/>
    <col min="4354" max="4354" width="12.5" style="29" bestFit="1" customWidth="1"/>
    <col min="4355" max="4355" width="1.83203125" style="29" customWidth="1"/>
    <col min="4356" max="4356" width="13" style="29" bestFit="1" customWidth="1"/>
    <col min="4357" max="4606" width="10.83203125" style="29"/>
    <col min="4607" max="4607" width="12.5" style="29" bestFit="1" customWidth="1"/>
    <col min="4608" max="4608" width="12.5" style="29" customWidth="1"/>
    <col min="4609" max="4609" width="14.6640625" style="29" bestFit="1" customWidth="1"/>
    <col min="4610" max="4610" width="12.5" style="29" bestFit="1" customWidth="1"/>
    <col min="4611" max="4611" width="1.83203125" style="29" customWidth="1"/>
    <col min="4612" max="4612" width="13" style="29" bestFit="1" customWidth="1"/>
    <col min="4613" max="4862" width="10.83203125" style="29"/>
    <col min="4863" max="4863" width="12.5" style="29" bestFit="1" customWidth="1"/>
    <col min="4864" max="4864" width="12.5" style="29" customWidth="1"/>
    <col min="4865" max="4865" width="14.6640625" style="29" bestFit="1" customWidth="1"/>
    <col min="4866" max="4866" width="12.5" style="29" bestFit="1" customWidth="1"/>
    <col min="4867" max="4867" width="1.83203125" style="29" customWidth="1"/>
    <col min="4868" max="4868" width="13" style="29" bestFit="1" customWidth="1"/>
    <col min="4869" max="5118" width="10.83203125" style="29"/>
    <col min="5119" max="5119" width="12.5" style="29" bestFit="1" customWidth="1"/>
    <col min="5120" max="5120" width="12.5" style="29" customWidth="1"/>
    <col min="5121" max="5121" width="14.6640625" style="29" bestFit="1" customWidth="1"/>
    <col min="5122" max="5122" width="12.5" style="29" bestFit="1" customWidth="1"/>
    <col min="5123" max="5123" width="1.83203125" style="29" customWidth="1"/>
    <col min="5124" max="5124" width="13" style="29" bestFit="1" customWidth="1"/>
    <col min="5125" max="5374" width="10.83203125" style="29"/>
    <col min="5375" max="5375" width="12.5" style="29" bestFit="1" customWidth="1"/>
    <col min="5376" max="5376" width="12.5" style="29" customWidth="1"/>
    <col min="5377" max="5377" width="14.6640625" style="29" bestFit="1" customWidth="1"/>
    <col min="5378" max="5378" width="12.5" style="29" bestFit="1" customWidth="1"/>
    <col min="5379" max="5379" width="1.83203125" style="29" customWidth="1"/>
    <col min="5380" max="5380" width="13" style="29" bestFit="1" customWidth="1"/>
    <col min="5381" max="5630" width="10.83203125" style="29"/>
    <col min="5631" max="5631" width="12.5" style="29" bestFit="1" customWidth="1"/>
    <col min="5632" max="5632" width="12.5" style="29" customWidth="1"/>
    <col min="5633" max="5633" width="14.6640625" style="29" bestFit="1" customWidth="1"/>
    <col min="5634" max="5634" width="12.5" style="29" bestFit="1" customWidth="1"/>
    <col min="5635" max="5635" width="1.83203125" style="29" customWidth="1"/>
    <col min="5636" max="5636" width="13" style="29" bestFit="1" customWidth="1"/>
    <col min="5637" max="5886" width="10.83203125" style="29"/>
    <col min="5887" max="5887" width="12.5" style="29" bestFit="1" customWidth="1"/>
    <col min="5888" max="5888" width="12.5" style="29" customWidth="1"/>
    <col min="5889" max="5889" width="14.6640625" style="29" bestFit="1" customWidth="1"/>
    <col min="5890" max="5890" width="12.5" style="29" bestFit="1" customWidth="1"/>
    <col min="5891" max="5891" width="1.83203125" style="29" customWidth="1"/>
    <col min="5892" max="5892" width="13" style="29" bestFit="1" customWidth="1"/>
    <col min="5893" max="6142" width="10.83203125" style="29"/>
    <col min="6143" max="6143" width="12.5" style="29" bestFit="1" customWidth="1"/>
    <col min="6144" max="6144" width="12.5" style="29" customWidth="1"/>
    <col min="6145" max="6145" width="14.6640625" style="29" bestFit="1" customWidth="1"/>
    <col min="6146" max="6146" width="12.5" style="29" bestFit="1" customWidth="1"/>
    <col min="6147" max="6147" width="1.83203125" style="29" customWidth="1"/>
    <col min="6148" max="6148" width="13" style="29" bestFit="1" customWidth="1"/>
    <col min="6149" max="6398" width="10.83203125" style="29"/>
    <col min="6399" max="6399" width="12.5" style="29" bestFit="1" customWidth="1"/>
    <col min="6400" max="6400" width="12.5" style="29" customWidth="1"/>
    <col min="6401" max="6401" width="14.6640625" style="29" bestFit="1" customWidth="1"/>
    <col min="6402" max="6402" width="12.5" style="29" bestFit="1" customWidth="1"/>
    <col min="6403" max="6403" width="1.83203125" style="29" customWidth="1"/>
    <col min="6404" max="6404" width="13" style="29" bestFit="1" customWidth="1"/>
    <col min="6405" max="6654" width="10.83203125" style="29"/>
    <col min="6655" max="6655" width="12.5" style="29" bestFit="1" customWidth="1"/>
    <col min="6656" max="6656" width="12.5" style="29" customWidth="1"/>
    <col min="6657" max="6657" width="14.6640625" style="29" bestFit="1" customWidth="1"/>
    <col min="6658" max="6658" width="12.5" style="29" bestFit="1" customWidth="1"/>
    <col min="6659" max="6659" width="1.83203125" style="29" customWidth="1"/>
    <col min="6660" max="6660" width="13" style="29" bestFit="1" customWidth="1"/>
    <col min="6661" max="6910" width="10.83203125" style="29"/>
    <col min="6911" max="6911" width="12.5" style="29" bestFit="1" customWidth="1"/>
    <col min="6912" max="6912" width="12.5" style="29" customWidth="1"/>
    <col min="6913" max="6913" width="14.6640625" style="29" bestFit="1" customWidth="1"/>
    <col min="6914" max="6914" width="12.5" style="29" bestFit="1" customWidth="1"/>
    <col min="6915" max="6915" width="1.83203125" style="29" customWidth="1"/>
    <col min="6916" max="6916" width="13" style="29" bestFit="1" customWidth="1"/>
    <col min="6917" max="7166" width="10.83203125" style="29"/>
    <col min="7167" max="7167" width="12.5" style="29" bestFit="1" customWidth="1"/>
    <col min="7168" max="7168" width="12.5" style="29" customWidth="1"/>
    <col min="7169" max="7169" width="14.6640625" style="29" bestFit="1" customWidth="1"/>
    <col min="7170" max="7170" width="12.5" style="29" bestFit="1" customWidth="1"/>
    <col min="7171" max="7171" width="1.83203125" style="29" customWidth="1"/>
    <col min="7172" max="7172" width="13" style="29" bestFit="1" customWidth="1"/>
    <col min="7173" max="7422" width="10.83203125" style="29"/>
    <col min="7423" max="7423" width="12.5" style="29" bestFit="1" customWidth="1"/>
    <col min="7424" max="7424" width="12.5" style="29" customWidth="1"/>
    <col min="7425" max="7425" width="14.6640625" style="29" bestFit="1" customWidth="1"/>
    <col min="7426" max="7426" width="12.5" style="29" bestFit="1" customWidth="1"/>
    <col min="7427" max="7427" width="1.83203125" style="29" customWidth="1"/>
    <col min="7428" max="7428" width="13" style="29" bestFit="1" customWidth="1"/>
    <col min="7429" max="7678" width="10.83203125" style="29"/>
    <col min="7679" max="7679" width="12.5" style="29" bestFit="1" customWidth="1"/>
    <col min="7680" max="7680" width="12.5" style="29" customWidth="1"/>
    <col min="7681" max="7681" width="14.6640625" style="29" bestFit="1" customWidth="1"/>
    <col min="7682" max="7682" width="12.5" style="29" bestFit="1" customWidth="1"/>
    <col min="7683" max="7683" width="1.83203125" style="29" customWidth="1"/>
    <col min="7684" max="7684" width="13" style="29" bestFit="1" customWidth="1"/>
    <col min="7685" max="7934" width="10.83203125" style="29"/>
    <col min="7935" max="7935" width="12.5" style="29" bestFit="1" customWidth="1"/>
    <col min="7936" max="7936" width="12.5" style="29" customWidth="1"/>
    <col min="7937" max="7937" width="14.6640625" style="29" bestFit="1" customWidth="1"/>
    <col min="7938" max="7938" width="12.5" style="29" bestFit="1" customWidth="1"/>
    <col min="7939" max="7939" width="1.83203125" style="29" customWidth="1"/>
    <col min="7940" max="7940" width="13" style="29" bestFit="1" customWidth="1"/>
    <col min="7941" max="8190" width="10.83203125" style="29"/>
    <col min="8191" max="8191" width="12.5" style="29" bestFit="1" customWidth="1"/>
    <col min="8192" max="8192" width="12.5" style="29" customWidth="1"/>
    <col min="8193" max="8193" width="14.6640625" style="29" bestFit="1" customWidth="1"/>
    <col min="8194" max="8194" width="12.5" style="29" bestFit="1" customWidth="1"/>
    <col min="8195" max="8195" width="1.83203125" style="29" customWidth="1"/>
    <col min="8196" max="8196" width="13" style="29" bestFit="1" customWidth="1"/>
    <col min="8197" max="8446" width="10.83203125" style="29"/>
    <col min="8447" max="8447" width="12.5" style="29" bestFit="1" customWidth="1"/>
    <col min="8448" max="8448" width="12.5" style="29" customWidth="1"/>
    <col min="8449" max="8449" width="14.6640625" style="29" bestFit="1" customWidth="1"/>
    <col min="8450" max="8450" width="12.5" style="29" bestFit="1" customWidth="1"/>
    <col min="8451" max="8451" width="1.83203125" style="29" customWidth="1"/>
    <col min="8452" max="8452" width="13" style="29" bestFit="1" customWidth="1"/>
    <col min="8453" max="8702" width="10.83203125" style="29"/>
    <col min="8703" max="8703" width="12.5" style="29" bestFit="1" customWidth="1"/>
    <col min="8704" max="8704" width="12.5" style="29" customWidth="1"/>
    <col min="8705" max="8705" width="14.6640625" style="29" bestFit="1" customWidth="1"/>
    <col min="8706" max="8706" width="12.5" style="29" bestFit="1" customWidth="1"/>
    <col min="8707" max="8707" width="1.83203125" style="29" customWidth="1"/>
    <col min="8708" max="8708" width="13" style="29" bestFit="1" customWidth="1"/>
    <col min="8709" max="8958" width="10.83203125" style="29"/>
    <col min="8959" max="8959" width="12.5" style="29" bestFit="1" customWidth="1"/>
    <col min="8960" max="8960" width="12.5" style="29" customWidth="1"/>
    <col min="8961" max="8961" width="14.6640625" style="29" bestFit="1" customWidth="1"/>
    <col min="8962" max="8962" width="12.5" style="29" bestFit="1" customWidth="1"/>
    <col min="8963" max="8963" width="1.83203125" style="29" customWidth="1"/>
    <col min="8964" max="8964" width="13" style="29" bestFit="1" customWidth="1"/>
    <col min="8965" max="9214" width="10.83203125" style="29"/>
    <col min="9215" max="9215" width="12.5" style="29" bestFit="1" customWidth="1"/>
    <col min="9216" max="9216" width="12.5" style="29" customWidth="1"/>
    <col min="9217" max="9217" width="14.6640625" style="29" bestFit="1" customWidth="1"/>
    <col min="9218" max="9218" width="12.5" style="29" bestFit="1" customWidth="1"/>
    <col min="9219" max="9219" width="1.83203125" style="29" customWidth="1"/>
    <col min="9220" max="9220" width="13" style="29" bestFit="1" customWidth="1"/>
    <col min="9221" max="9470" width="10.83203125" style="29"/>
    <col min="9471" max="9471" width="12.5" style="29" bestFit="1" customWidth="1"/>
    <col min="9472" max="9472" width="12.5" style="29" customWidth="1"/>
    <col min="9473" max="9473" width="14.6640625" style="29" bestFit="1" customWidth="1"/>
    <col min="9474" max="9474" width="12.5" style="29" bestFit="1" customWidth="1"/>
    <col min="9475" max="9475" width="1.83203125" style="29" customWidth="1"/>
    <col min="9476" max="9476" width="13" style="29" bestFit="1" customWidth="1"/>
    <col min="9477" max="9726" width="10.83203125" style="29"/>
    <col min="9727" max="9727" width="12.5" style="29" bestFit="1" customWidth="1"/>
    <col min="9728" max="9728" width="12.5" style="29" customWidth="1"/>
    <col min="9729" max="9729" width="14.6640625" style="29" bestFit="1" customWidth="1"/>
    <col min="9730" max="9730" width="12.5" style="29" bestFit="1" customWidth="1"/>
    <col min="9731" max="9731" width="1.83203125" style="29" customWidth="1"/>
    <col min="9732" max="9732" width="13" style="29" bestFit="1" customWidth="1"/>
    <col min="9733" max="9982" width="10.83203125" style="29"/>
    <col min="9983" max="9983" width="12.5" style="29" bestFit="1" customWidth="1"/>
    <col min="9984" max="9984" width="12.5" style="29" customWidth="1"/>
    <col min="9985" max="9985" width="14.6640625" style="29" bestFit="1" customWidth="1"/>
    <col min="9986" max="9986" width="12.5" style="29" bestFit="1" customWidth="1"/>
    <col min="9987" max="9987" width="1.83203125" style="29" customWidth="1"/>
    <col min="9988" max="9988" width="13" style="29" bestFit="1" customWidth="1"/>
    <col min="9989" max="10238" width="10.83203125" style="29"/>
    <col min="10239" max="10239" width="12.5" style="29" bestFit="1" customWidth="1"/>
    <col min="10240" max="10240" width="12.5" style="29" customWidth="1"/>
    <col min="10241" max="10241" width="14.6640625" style="29" bestFit="1" customWidth="1"/>
    <col min="10242" max="10242" width="12.5" style="29" bestFit="1" customWidth="1"/>
    <col min="10243" max="10243" width="1.83203125" style="29" customWidth="1"/>
    <col min="10244" max="10244" width="13" style="29" bestFit="1" customWidth="1"/>
    <col min="10245" max="10494" width="10.83203125" style="29"/>
    <col min="10495" max="10495" width="12.5" style="29" bestFit="1" customWidth="1"/>
    <col min="10496" max="10496" width="12.5" style="29" customWidth="1"/>
    <col min="10497" max="10497" width="14.6640625" style="29" bestFit="1" customWidth="1"/>
    <col min="10498" max="10498" width="12.5" style="29" bestFit="1" customWidth="1"/>
    <col min="10499" max="10499" width="1.83203125" style="29" customWidth="1"/>
    <col min="10500" max="10500" width="13" style="29" bestFit="1" customWidth="1"/>
    <col min="10501" max="10750" width="10.83203125" style="29"/>
    <col min="10751" max="10751" width="12.5" style="29" bestFit="1" customWidth="1"/>
    <col min="10752" max="10752" width="12.5" style="29" customWidth="1"/>
    <col min="10753" max="10753" width="14.6640625" style="29" bestFit="1" customWidth="1"/>
    <col min="10754" max="10754" width="12.5" style="29" bestFit="1" customWidth="1"/>
    <col min="10755" max="10755" width="1.83203125" style="29" customWidth="1"/>
    <col min="10756" max="10756" width="13" style="29" bestFit="1" customWidth="1"/>
    <col min="10757" max="11006" width="10.83203125" style="29"/>
    <col min="11007" max="11007" width="12.5" style="29" bestFit="1" customWidth="1"/>
    <col min="11008" max="11008" width="12.5" style="29" customWidth="1"/>
    <col min="11009" max="11009" width="14.6640625" style="29" bestFit="1" customWidth="1"/>
    <col min="11010" max="11010" width="12.5" style="29" bestFit="1" customWidth="1"/>
    <col min="11011" max="11011" width="1.83203125" style="29" customWidth="1"/>
    <col min="11012" max="11012" width="13" style="29" bestFit="1" customWidth="1"/>
    <col min="11013" max="11262" width="10.83203125" style="29"/>
    <col min="11263" max="11263" width="12.5" style="29" bestFit="1" customWidth="1"/>
    <col min="11264" max="11264" width="12.5" style="29" customWidth="1"/>
    <col min="11265" max="11265" width="14.6640625" style="29" bestFit="1" customWidth="1"/>
    <col min="11266" max="11266" width="12.5" style="29" bestFit="1" customWidth="1"/>
    <col min="11267" max="11267" width="1.83203125" style="29" customWidth="1"/>
    <col min="11268" max="11268" width="13" style="29" bestFit="1" customWidth="1"/>
    <col min="11269" max="11518" width="10.83203125" style="29"/>
    <col min="11519" max="11519" width="12.5" style="29" bestFit="1" customWidth="1"/>
    <col min="11520" max="11520" width="12.5" style="29" customWidth="1"/>
    <col min="11521" max="11521" width="14.6640625" style="29" bestFit="1" customWidth="1"/>
    <col min="11522" max="11522" width="12.5" style="29" bestFit="1" customWidth="1"/>
    <col min="11523" max="11523" width="1.83203125" style="29" customWidth="1"/>
    <col min="11524" max="11524" width="13" style="29" bestFit="1" customWidth="1"/>
    <col min="11525" max="11774" width="10.83203125" style="29"/>
    <col min="11775" max="11775" width="12.5" style="29" bestFit="1" customWidth="1"/>
    <col min="11776" max="11776" width="12.5" style="29" customWidth="1"/>
    <col min="11777" max="11777" width="14.6640625" style="29" bestFit="1" customWidth="1"/>
    <col min="11778" max="11778" width="12.5" style="29" bestFit="1" customWidth="1"/>
    <col min="11779" max="11779" width="1.83203125" style="29" customWidth="1"/>
    <col min="11780" max="11780" width="13" style="29" bestFit="1" customWidth="1"/>
    <col min="11781" max="12030" width="10.83203125" style="29"/>
    <col min="12031" max="12031" width="12.5" style="29" bestFit="1" customWidth="1"/>
    <col min="12032" max="12032" width="12.5" style="29" customWidth="1"/>
    <col min="12033" max="12033" width="14.6640625" style="29" bestFit="1" customWidth="1"/>
    <col min="12034" max="12034" width="12.5" style="29" bestFit="1" customWidth="1"/>
    <col min="12035" max="12035" width="1.83203125" style="29" customWidth="1"/>
    <col min="12036" max="12036" width="13" style="29" bestFit="1" customWidth="1"/>
    <col min="12037" max="12286" width="10.83203125" style="29"/>
    <col min="12287" max="12287" width="12.5" style="29" bestFit="1" customWidth="1"/>
    <col min="12288" max="12288" width="12.5" style="29" customWidth="1"/>
    <col min="12289" max="12289" width="14.6640625" style="29" bestFit="1" customWidth="1"/>
    <col min="12290" max="12290" width="12.5" style="29" bestFit="1" customWidth="1"/>
    <col min="12291" max="12291" width="1.83203125" style="29" customWidth="1"/>
    <col min="12292" max="12292" width="13" style="29" bestFit="1" customWidth="1"/>
    <col min="12293" max="12542" width="10.83203125" style="29"/>
    <col min="12543" max="12543" width="12.5" style="29" bestFit="1" customWidth="1"/>
    <col min="12544" max="12544" width="12.5" style="29" customWidth="1"/>
    <col min="12545" max="12545" width="14.6640625" style="29" bestFit="1" customWidth="1"/>
    <col min="12546" max="12546" width="12.5" style="29" bestFit="1" customWidth="1"/>
    <col min="12547" max="12547" width="1.83203125" style="29" customWidth="1"/>
    <col min="12548" max="12548" width="13" style="29" bestFit="1" customWidth="1"/>
    <col min="12549" max="12798" width="10.83203125" style="29"/>
    <col min="12799" max="12799" width="12.5" style="29" bestFit="1" customWidth="1"/>
    <col min="12800" max="12800" width="12.5" style="29" customWidth="1"/>
    <col min="12801" max="12801" width="14.6640625" style="29" bestFit="1" customWidth="1"/>
    <col min="12802" max="12802" width="12.5" style="29" bestFit="1" customWidth="1"/>
    <col min="12803" max="12803" width="1.83203125" style="29" customWidth="1"/>
    <col min="12804" max="12804" width="13" style="29" bestFit="1" customWidth="1"/>
    <col min="12805" max="13054" width="10.83203125" style="29"/>
    <col min="13055" max="13055" width="12.5" style="29" bestFit="1" customWidth="1"/>
    <col min="13056" max="13056" width="12.5" style="29" customWidth="1"/>
    <col min="13057" max="13057" width="14.6640625" style="29" bestFit="1" customWidth="1"/>
    <col min="13058" max="13058" width="12.5" style="29" bestFit="1" customWidth="1"/>
    <col min="13059" max="13059" width="1.83203125" style="29" customWidth="1"/>
    <col min="13060" max="13060" width="13" style="29" bestFit="1" customWidth="1"/>
    <col min="13061" max="13310" width="10.83203125" style="29"/>
    <col min="13311" max="13311" width="12.5" style="29" bestFit="1" customWidth="1"/>
    <col min="13312" max="13312" width="12.5" style="29" customWidth="1"/>
    <col min="13313" max="13313" width="14.6640625" style="29" bestFit="1" customWidth="1"/>
    <col min="13314" max="13314" width="12.5" style="29" bestFit="1" customWidth="1"/>
    <col min="13315" max="13315" width="1.83203125" style="29" customWidth="1"/>
    <col min="13316" max="13316" width="13" style="29" bestFit="1" customWidth="1"/>
    <col min="13317" max="13566" width="10.83203125" style="29"/>
    <col min="13567" max="13567" width="12.5" style="29" bestFit="1" customWidth="1"/>
    <col min="13568" max="13568" width="12.5" style="29" customWidth="1"/>
    <col min="13569" max="13569" width="14.6640625" style="29" bestFit="1" customWidth="1"/>
    <col min="13570" max="13570" width="12.5" style="29" bestFit="1" customWidth="1"/>
    <col min="13571" max="13571" width="1.83203125" style="29" customWidth="1"/>
    <col min="13572" max="13572" width="13" style="29" bestFit="1" customWidth="1"/>
    <col min="13573" max="13822" width="10.83203125" style="29"/>
    <col min="13823" max="13823" width="12.5" style="29" bestFit="1" customWidth="1"/>
    <col min="13824" max="13824" width="12.5" style="29" customWidth="1"/>
    <col min="13825" max="13825" width="14.6640625" style="29" bestFit="1" customWidth="1"/>
    <col min="13826" max="13826" width="12.5" style="29" bestFit="1" customWidth="1"/>
    <col min="13827" max="13827" width="1.83203125" style="29" customWidth="1"/>
    <col min="13828" max="13828" width="13" style="29" bestFit="1" customWidth="1"/>
    <col min="13829" max="14078" width="10.83203125" style="29"/>
    <col min="14079" max="14079" width="12.5" style="29" bestFit="1" customWidth="1"/>
    <col min="14080" max="14080" width="12.5" style="29" customWidth="1"/>
    <col min="14081" max="14081" width="14.6640625" style="29" bestFit="1" customWidth="1"/>
    <col min="14082" max="14082" width="12.5" style="29" bestFit="1" customWidth="1"/>
    <col min="14083" max="14083" width="1.83203125" style="29" customWidth="1"/>
    <col min="14084" max="14084" width="13" style="29" bestFit="1" customWidth="1"/>
    <col min="14085" max="14334" width="10.83203125" style="29"/>
    <col min="14335" max="14335" width="12.5" style="29" bestFit="1" customWidth="1"/>
    <col min="14336" max="14336" width="12.5" style="29" customWidth="1"/>
    <col min="14337" max="14337" width="14.6640625" style="29" bestFit="1" customWidth="1"/>
    <col min="14338" max="14338" width="12.5" style="29" bestFit="1" customWidth="1"/>
    <col min="14339" max="14339" width="1.83203125" style="29" customWidth="1"/>
    <col min="14340" max="14340" width="13" style="29" bestFit="1" customWidth="1"/>
    <col min="14341" max="14590" width="10.83203125" style="29"/>
    <col min="14591" max="14591" width="12.5" style="29" bestFit="1" customWidth="1"/>
    <col min="14592" max="14592" width="12.5" style="29" customWidth="1"/>
    <col min="14593" max="14593" width="14.6640625" style="29" bestFit="1" customWidth="1"/>
    <col min="14594" max="14594" width="12.5" style="29" bestFit="1" customWidth="1"/>
    <col min="14595" max="14595" width="1.83203125" style="29" customWidth="1"/>
    <col min="14596" max="14596" width="13" style="29" bestFit="1" customWidth="1"/>
    <col min="14597" max="14846" width="10.83203125" style="29"/>
    <col min="14847" max="14847" width="12.5" style="29" bestFit="1" customWidth="1"/>
    <col min="14848" max="14848" width="12.5" style="29" customWidth="1"/>
    <col min="14849" max="14849" width="14.6640625" style="29" bestFit="1" customWidth="1"/>
    <col min="14850" max="14850" width="12.5" style="29" bestFit="1" customWidth="1"/>
    <col min="14851" max="14851" width="1.83203125" style="29" customWidth="1"/>
    <col min="14852" max="14852" width="13" style="29" bestFit="1" customWidth="1"/>
    <col min="14853" max="15102" width="10.83203125" style="29"/>
    <col min="15103" max="15103" width="12.5" style="29" bestFit="1" customWidth="1"/>
    <col min="15104" max="15104" width="12.5" style="29" customWidth="1"/>
    <col min="15105" max="15105" width="14.6640625" style="29" bestFit="1" customWidth="1"/>
    <col min="15106" max="15106" width="12.5" style="29" bestFit="1" customWidth="1"/>
    <col min="15107" max="15107" width="1.83203125" style="29" customWidth="1"/>
    <col min="15108" max="15108" width="13" style="29" bestFit="1" customWidth="1"/>
    <col min="15109" max="15358" width="10.83203125" style="29"/>
    <col min="15359" max="15359" width="12.5" style="29" bestFit="1" customWidth="1"/>
    <col min="15360" max="15360" width="12.5" style="29" customWidth="1"/>
    <col min="15361" max="15361" width="14.6640625" style="29" bestFit="1" customWidth="1"/>
    <col min="15362" max="15362" width="12.5" style="29" bestFit="1" customWidth="1"/>
    <col min="15363" max="15363" width="1.83203125" style="29" customWidth="1"/>
    <col min="15364" max="15364" width="13" style="29" bestFit="1" customWidth="1"/>
    <col min="15365" max="15614" width="10.83203125" style="29"/>
    <col min="15615" max="15615" width="12.5" style="29" bestFit="1" customWidth="1"/>
    <col min="15616" max="15616" width="12.5" style="29" customWidth="1"/>
    <col min="15617" max="15617" width="14.6640625" style="29" bestFit="1" customWidth="1"/>
    <col min="15618" max="15618" width="12.5" style="29" bestFit="1" customWidth="1"/>
    <col min="15619" max="15619" width="1.83203125" style="29" customWidth="1"/>
    <col min="15620" max="15620" width="13" style="29" bestFit="1" customWidth="1"/>
    <col min="15621" max="15870" width="10.83203125" style="29"/>
    <col min="15871" max="15871" width="12.5" style="29" bestFit="1" customWidth="1"/>
    <col min="15872" max="15872" width="12.5" style="29" customWidth="1"/>
    <col min="15873" max="15873" width="14.6640625" style="29" bestFit="1" customWidth="1"/>
    <col min="15874" max="15874" width="12.5" style="29" bestFit="1" customWidth="1"/>
    <col min="15875" max="15875" width="1.83203125" style="29" customWidth="1"/>
    <col min="15876" max="15876" width="13" style="29" bestFit="1" customWidth="1"/>
    <col min="15877" max="16126" width="10.83203125" style="29"/>
    <col min="16127" max="16127" width="12.5" style="29" bestFit="1" customWidth="1"/>
    <col min="16128" max="16128" width="12.5" style="29" customWidth="1"/>
    <col min="16129" max="16129" width="14.6640625" style="29" bestFit="1" customWidth="1"/>
    <col min="16130" max="16130" width="12.5" style="29" bestFit="1" customWidth="1"/>
    <col min="16131" max="16131" width="1.83203125" style="29" customWidth="1"/>
    <col min="16132" max="16132" width="13" style="29" bestFit="1" customWidth="1"/>
    <col min="16133" max="16384" width="10.83203125" style="29"/>
  </cols>
  <sheetData>
    <row r="1" spans="2:21" ht="16" customHeight="1" x14ac:dyDescent="0.15">
      <c r="C1" s="39" t="s">
        <v>243</v>
      </c>
      <c r="D1" s="40"/>
      <c r="E1" s="41"/>
      <c r="K1" s="38" t="s">
        <v>930</v>
      </c>
      <c r="L1" s="38"/>
      <c r="M1" s="38"/>
      <c r="N1" s="38"/>
    </row>
    <row r="2" spans="2:21" ht="16" customHeight="1" x14ac:dyDescent="0.15">
      <c r="C2" s="31" t="s">
        <v>331</v>
      </c>
      <c r="D2" s="31" t="s">
        <v>332</v>
      </c>
      <c r="E2" s="31" t="s">
        <v>329</v>
      </c>
      <c r="F2" s="31" t="s">
        <v>244</v>
      </c>
      <c r="G2" s="31" t="s">
        <v>245</v>
      </c>
      <c r="H2" s="31" t="s">
        <v>246</v>
      </c>
      <c r="I2" s="31" t="s">
        <v>247</v>
      </c>
      <c r="K2" s="31" t="s">
        <v>6</v>
      </c>
      <c r="L2" s="36" t="s">
        <v>928</v>
      </c>
      <c r="M2" s="36" t="s">
        <v>929</v>
      </c>
      <c r="N2" s="31" t="s">
        <v>250</v>
      </c>
    </row>
    <row r="3" spans="2:21" ht="16" customHeight="1" x14ac:dyDescent="0.15">
      <c r="B3" s="31" t="s">
        <v>248</v>
      </c>
      <c r="C3" s="31">
        <f>COUNTIF(ReadingList!$G$2:$G$122,C2)</f>
        <v>0</v>
      </c>
      <c r="D3" s="31">
        <f>COUNTIF(ReadingList!$G$2:$G$122,D2)</f>
        <v>1</v>
      </c>
      <c r="E3" s="31">
        <f>COUNTIF(ReadingList!$G$2:$G$122,E2)</f>
        <v>1</v>
      </c>
      <c r="F3" s="31">
        <f>COUNTIF(ReadingList!G1:G122,"Abstract")</f>
        <v>0</v>
      </c>
      <c r="G3" s="31">
        <f>COUNTIF(ReadingList!G1:G122,"Stand-by")</f>
        <v>13</v>
      </c>
      <c r="H3" s="31">
        <f>COUNTIF(ReadingList!G1:G122,"Literature review")</f>
        <v>9</v>
      </c>
      <c r="I3" s="31">
        <f>COUNTIF(ReadingList!G1:G122,"No access")</f>
        <v>0</v>
      </c>
      <c r="K3" s="37" t="s">
        <v>885</v>
      </c>
      <c r="L3" s="36">
        <f>COUNTIFS(ReadingList!$D$2:$D$127,"No",ReadingList!$N$2:$N$127,"GoogleScholar")</f>
        <v>39</v>
      </c>
      <c r="M3" s="36">
        <f>COUNTIFS(ReadingList!$C$2:$C$127,"No",ReadingList!$N$2:$N$127,"GoogleScholar")</f>
        <v>71</v>
      </c>
      <c r="N3" s="31">
        <f>COUNTIFS(ReadingList!$C$2:$C$127,"No",ReadingList!$D$2:$D$127,"No",ReadingList!$N$2:$N$127,"GoogleScholar")</f>
        <v>27</v>
      </c>
    </row>
    <row r="4" spans="2:21" ht="16" customHeight="1" x14ac:dyDescent="0.15">
      <c r="K4" s="37" t="s">
        <v>303</v>
      </c>
      <c r="L4" s="36">
        <f>COUNTIFS(ReadingList!$D$2:$D$127,"No",ReadingList!$N$2:$N$127,"WoS")</f>
        <v>9</v>
      </c>
      <c r="M4" s="36">
        <f>COUNTIFS(ReadingList!$C$2:$C$127,"No",ReadingList!$N$2:$N$127,"WoS")</f>
        <v>0</v>
      </c>
      <c r="N4" s="31">
        <f>COUNTIFS(ReadingList!$C$2:$C$127,"No",ReadingList!$D$2:$D$127,"No",ReadingList!$N$2:$N$127,"WoS")</f>
        <v>0</v>
      </c>
    </row>
    <row r="5" spans="2:21" ht="16" customHeight="1" x14ac:dyDescent="0.2">
      <c r="B5" s="31" t="s">
        <v>250</v>
      </c>
      <c r="C5" s="38" t="s">
        <v>249</v>
      </c>
      <c r="D5" s="38"/>
      <c r="E5" s="31" t="s">
        <v>251</v>
      </c>
      <c r="F5" s="31" t="s">
        <v>311</v>
      </c>
      <c r="G5" s="31" t="s">
        <v>328</v>
      </c>
      <c r="H5" s="31" t="s">
        <v>913</v>
      </c>
      <c r="I5" s="31" t="s">
        <v>911</v>
      </c>
      <c r="J5" s="32"/>
      <c r="K5" s="37" t="s">
        <v>376</v>
      </c>
      <c r="L5" s="36">
        <f>COUNTIFS(ReadingList!$D$2:$D$127,"No",ReadingList!$N$2:$N$127,"Scopus")</f>
        <v>8</v>
      </c>
      <c r="M5" s="36">
        <f>COUNTIFS(ReadingList!$C$2:$C$127,"No",ReadingList!$N$2:$N$127,"Scopus")</f>
        <v>0</v>
      </c>
      <c r="N5" s="31">
        <f>COUNTIFS(ReadingList!$C$2:$C$127,"No",ReadingList!$D$2:$D$127,"No",ReadingList!$N$2:$N$127,"Scopus")</f>
        <v>0</v>
      </c>
      <c r="O5" s="30"/>
      <c r="P5" s="30"/>
      <c r="Q5" s="30"/>
      <c r="R5" s="30"/>
      <c r="S5" s="30"/>
      <c r="T5" s="30"/>
      <c r="U5" s="30"/>
    </row>
    <row r="6" spans="2:21" ht="16" customHeight="1" x14ac:dyDescent="0.2">
      <c r="B6" s="31">
        <f>COUNT(ReadingList!A:A)</f>
        <v>126</v>
      </c>
      <c r="C6" s="31">
        <f>COUNTIF(ReadingList!G2:G122,C2) + COUNTIF(ReadingList!G2:G122,D2) + COUNTIF(ReadingList!G2:G122,E2) + COUNTIF(ReadingList!G1:G122,"Body")</f>
        <v>99</v>
      </c>
      <c r="D6" s="6">
        <f>C6/F6</f>
        <v>0.84615384615384615</v>
      </c>
      <c r="E6" s="6">
        <f>IFERROR(SUM(C3:E3)/F6, 0)</f>
        <v>1.7094017094017096E-2</v>
      </c>
      <c r="F6" s="31">
        <f>B6-F3-H3-I3</f>
        <v>117</v>
      </c>
      <c r="G6" s="31">
        <f>E6*F6</f>
        <v>2</v>
      </c>
      <c r="H6" s="31">
        <v>10</v>
      </c>
      <c r="I6" s="33">
        <f ca="1">OFFSET(B9,ROUNDUP(F6/AVERAGEIF(D9:D33,"&gt;0"),0)-1,0)</f>
        <v>44922</v>
      </c>
      <c r="J6" s="32"/>
      <c r="K6" s="37" t="s">
        <v>7</v>
      </c>
      <c r="L6" s="36">
        <f>COUNTIFS(ReadingList!$D$2:$D$127,"No",ReadingList!$N$2:$N$127,"Compendex")</f>
        <v>3</v>
      </c>
      <c r="M6" s="36">
        <f>COUNTIFS(ReadingList!$C$2:$C$127,"No",ReadingList!$N$2:$N$127,"Compendex")</f>
        <v>1</v>
      </c>
      <c r="N6" s="31">
        <f>COUNTIFS(ReadingList!$C$2:$C$127,"No",ReadingList!$D$2:$D$127,"No",ReadingList!$N$2:$N$127,"Compendex")</f>
        <v>0</v>
      </c>
      <c r="O6" s="30"/>
      <c r="P6" s="30"/>
      <c r="Q6" s="30"/>
      <c r="R6" s="30"/>
      <c r="S6" s="30"/>
      <c r="T6" s="30"/>
      <c r="U6" s="30"/>
    </row>
    <row r="7" spans="2:21" ht="16" customHeight="1" x14ac:dyDescent="0.2">
      <c r="K7" s="37" t="s">
        <v>9</v>
      </c>
      <c r="L7" s="36">
        <f>COUNTIFS(ReadingList!$D$2:$D$127,"No",ReadingList!$N$2:$N$127,"Inspec")</f>
        <v>1</v>
      </c>
      <c r="M7" s="36">
        <f>COUNTIFS(ReadingList!$C$2:$C$127,"No",ReadingList!$N$2:$N$127,"Inspec")</f>
        <v>2</v>
      </c>
      <c r="N7" s="31">
        <f>COUNTIFS(ReadingList!$C$2:$C$127,"No",ReadingList!$D$2:$D$127,"No",ReadingList!$N$2:$N$127,"Inspec")</f>
        <v>1</v>
      </c>
      <c r="O7" s="30"/>
      <c r="P7" s="30"/>
      <c r="Q7" s="30"/>
      <c r="R7" s="30"/>
      <c r="S7" s="30"/>
      <c r="T7" s="30"/>
      <c r="U7" s="30"/>
    </row>
    <row r="8" spans="2:21" ht="16" customHeight="1" x14ac:dyDescent="0.2">
      <c r="B8" s="31" t="s">
        <v>252</v>
      </c>
      <c r="C8" s="31" t="s">
        <v>244</v>
      </c>
      <c r="D8" s="31" t="s">
        <v>249</v>
      </c>
      <c r="E8" s="31" t="s">
        <v>243</v>
      </c>
      <c r="F8" s="31" t="s">
        <v>250</v>
      </c>
      <c r="G8" s="31" t="s">
        <v>251</v>
      </c>
      <c r="H8" s="31" t="s">
        <v>326</v>
      </c>
      <c r="I8" s="34"/>
      <c r="J8" s="32"/>
      <c r="K8" s="30"/>
      <c r="L8" s="30"/>
      <c r="M8" s="30"/>
      <c r="N8" s="30"/>
      <c r="O8" s="30"/>
      <c r="P8" s="30"/>
      <c r="Q8" s="30"/>
      <c r="R8" s="30"/>
      <c r="S8" s="30"/>
      <c r="T8" s="30"/>
      <c r="U8" s="30"/>
    </row>
    <row r="9" spans="2:21" ht="16" customHeight="1" x14ac:dyDescent="0.2">
      <c r="B9" s="33">
        <v>44916</v>
      </c>
      <c r="C9" s="31">
        <f>COUNTIFS(ReadingList!$B$2:$B$122,"&lt;="&amp;B9, ReadingList!$G$2:$G$122, "Abstract") + COUNTIFS(ReadingList!$B$2:$B$122,"&lt;="&amp;B9, ReadingList!$G$2:$G$122, "No access")</f>
        <v>0</v>
      </c>
      <c r="D9" s="31">
        <f>COUNTIFS(ReadingList!$B$2:$B$122,"&lt;="&amp;B9, ReadingList!$G$2:$G$122, C2) + COUNTIFS(ReadingList!$B$2:$B$122,"&lt;="&amp;B9, ReadingList!$G$2:$G$122, D2) + COUNTIFS(ReadingList!$B$2:$B$122,"&lt;="&amp;B9, ReadingList!$G$2:$G$122, E2) + COUNTIFS(ReadingList!$B$2:$B$122,"&lt;="&amp;B9, ReadingList!$G$2:$G$122, "Body")</f>
        <v>5</v>
      </c>
      <c r="E9" s="31">
        <f>COUNTIFS(ReadingList!$B$2:$B$122,"&lt;="&amp;B9,ReadingList!$G$2:$G$122,C2)+COUNTIFS(ReadingList!$B$2:$B$122,"&lt;="&amp;B9,ReadingList!$G$2:$G$122,D2)+COUNTIFS(ReadingList!$B$2:$B$122,"&lt;="&amp;B9,ReadingList!$G$2:$G$122,E2)</f>
        <v>1</v>
      </c>
      <c r="F9" s="14">
        <f>SUM(C9:D9)/$B$6</f>
        <v>3.968253968253968E-2</v>
      </c>
      <c r="G9" s="6">
        <f>IFERROR(E9/D9, 0)</f>
        <v>0.2</v>
      </c>
      <c r="H9" s="31" t="s">
        <v>271</v>
      </c>
      <c r="I9" s="32"/>
      <c r="J9" s="32"/>
      <c r="K9" s="30"/>
      <c r="L9" s="30"/>
      <c r="M9" s="30"/>
      <c r="N9" s="30"/>
      <c r="O9" s="30"/>
      <c r="P9" s="30"/>
      <c r="Q9" s="30"/>
      <c r="R9" s="30"/>
      <c r="S9" s="30"/>
      <c r="T9" s="30"/>
      <c r="U9" s="30"/>
    </row>
    <row r="10" spans="2:21" ht="16" customHeight="1" x14ac:dyDescent="0.2">
      <c r="B10" s="33">
        <f>B9+IF(WEEKDAY(B9)=6, 3, 1)</f>
        <v>44917</v>
      </c>
      <c r="C10" s="31">
        <f>COUNTIFS(ReadingList!$B$2:$B$122,"&lt;="&amp;B10, ReadingList!$B$2:$B$122,"&gt;"&amp;B9, ReadingList!$G$2:$G$122, "Abstract") + COUNTIFS(ReadingList!$B$2:$B$122,"&lt;="&amp;B10, ReadingList!$B$2:$B$122,"&gt;"&amp;B9, ReadingList!$G$2:$G$122, "No access")</f>
        <v>0</v>
      </c>
      <c r="D10" s="31">
        <f>COUNTIFS(ReadingList!$B$2:$B$122,"&lt;="&amp;B10, ReadingList!$B$2:$B$122,"&gt;"&amp;B9, ReadingList!$G$2:$G$122, $C$2) + COUNTIFS(ReadingList!$B$2:$B$122,"&lt;="&amp;B10, ReadingList!$B$2:$B$122,"&gt;"&amp;B9, ReadingList!$G$2:$G$122, $D$2) + COUNTIFS(ReadingList!$B$2:$B$122,"&lt;="&amp;B10, ReadingList!$B$2:$B$122,"&gt;"&amp;B9, ReadingList!$G$2:$G$122, $E$2) + COUNTIFS(ReadingList!$B$2:$B$122,"&lt;="&amp;B10, ReadingList!$B$2:$B$122,"&gt;"&amp;B9, ReadingList!$G$2:$G$122, "Body")</f>
        <v>6</v>
      </c>
      <c r="E10" s="31">
        <f>COUNTIFS(ReadingList!$B$2:$B$122,"&lt;="&amp;B10, ReadingList!$B$2:$B$122,"&gt;"&amp;B9,ReadingList!$G$2:$G$122,$C$2) + COUNTIFS(ReadingList!$B$2:$B$122,"&lt;="&amp;B10, ReadingList!$B$2:$B$122,"&gt;"&amp;B9,ReadingList!$G$2:$G$122,$D$2) + COUNTIFS(ReadingList!$B$2:$B$122,"&lt;="&amp;B10, ReadingList!$B$2:$B$122,"&gt;"&amp;B9,ReadingList!$G$2:$G$122,$E$2)</f>
        <v>1</v>
      </c>
      <c r="F10" s="14">
        <f t="shared" ref="F10:F33" si="0">SUM(C10:D10)/$B$6</f>
        <v>4.7619047619047616E-2</v>
      </c>
      <c r="G10" s="6">
        <f t="shared" ref="G10:G33" si="1">IFERROR(E10/D10, 0)</f>
        <v>0.16666666666666666</v>
      </c>
      <c r="H10" s="31" t="str">
        <f>IF(SUM($D$9:D10)&gt;=$F$6,"Finished",IF(SUM($D$9:D10)&gt;=$H$6*COUNT($B$9:B10), "Yes", "No"))</f>
        <v>No</v>
      </c>
      <c r="I10" s="32"/>
      <c r="K10" s="30"/>
      <c r="L10" s="30"/>
      <c r="M10" s="30"/>
      <c r="N10" s="30"/>
      <c r="O10" s="30"/>
      <c r="P10" s="30"/>
      <c r="Q10" s="30"/>
      <c r="R10" s="30"/>
      <c r="S10" s="30"/>
      <c r="T10" s="30"/>
      <c r="U10" s="30"/>
    </row>
    <row r="11" spans="2:21" ht="16" customHeight="1" x14ac:dyDescent="0.2">
      <c r="B11" s="33">
        <f t="shared" ref="B11:B33" si="2">B10+IF(WEEKDAY(B10)=6, 3, 1)</f>
        <v>44918</v>
      </c>
      <c r="C11" s="31">
        <f>COUNTIFS(ReadingList!$B$2:$B$122,"&lt;="&amp;B11, ReadingList!$B$2:$B$122,"&gt;"&amp;B10, ReadingList!$G$2:$G$122, "Abstract") + COUNTIFS(ReadingList!$B$2:$B$122,"&lt;="&amp;B11, ReadingList!$B$2:$B$122,"&gt;"&amp;B10, ReadingList!$G$2:$G$122, "No access")</f>
        <v>0</v>
      </c>
      <c r="D11" s="31">
        <f>COUNTIFS(ReadingList!$B$2:$B$122,"&lt;="&amp;B11, ReadingList!$B$2:$B$122,"&gt;"&amp;B10, ReadingList!$G$2:$G$122, $C$2) + COUNTIFS(ReadingList!$B$2:$B$122,"&lt;="&amp;B11, ReadingList!$B$2:$B$122,"&gt;"&amp;B10, ReadingList!$G$2:$G$122, $D$2) + COUNTIFS(ReadingList!$B$2:$B$122,"&lt;="&amp;B11, ReadingList!$B$2:$B$122,"&gt;"&amp;B10, ReadingList!$G$2:$G$122, $E$2) + COUNTIFS(ReadingList!$B$2:$B$122,"&lt;="&amp;B11, ReadingList!$B$2:$B$122,"&gt;"&amp;B10, ReadingList!$G$2:$G$122, "Body")</f>
        <v>27</v>
      </c>
      <c r="E11" s="31">
        <f>COUNTIFS(ReadingList!$B$2:$B$122,"&lt;="&amp;B11, ReadingList!$B$2:$B$122,"&gt;"&amp;B10,ReadingList!$G$2:$G$122,$C$2) + COUNTIFS(ReadingList!$B$2:$B$122,"&lt;="&amp;B11, ReadingList!$B$2:$B$122,"&gt;"&amp;B10,ReadingList!$G$2:$G$122,$D$2) + COUNTIFS(ReadingList!$B$2:$B$122,"&lt;="&amp;B11, ReadingList!$B$2:$B$122,"&gt;"&amp;B10,ReadingList!$G$2:$G$122,$E$2)</f>
        <v>0</v>
      </c>
      <c r="F11" s="14">
        <f t="shared" si="0"/>
        <v>0.21428571428571427</v>
      </c>
      <c r="G11" s="6">
        <f t="shared" si="1"/>
        <v>0</v>
      </c>
      <c r="H11" s="31" t="str">
        <f>IF(SUM($D$9:D11)&gt;=$F$6,"Finished",IF(SUM($D$9:D11)&gt;=$H$6*COUNT($B$9:B11), "Yes", "No"))</f>
        <v>Yes</v>
      </c>
      <c r="I11" s="32"/>
      <c r="J11" s="32"/>
      <c r="K11" s="30"/>
      <c r="L11" s="30"/>
      <c r="M11" s="30"/>
      <c r="N11" s="30"/>
      <c r="O11" s="30"/>
      <c r="P11" s="30"/>
      <c r="Q11" s="30"/>
      <c r="R11" s="30"/>
      <c r="S11" s="30"/>
      <c r="T11" s="30"/>
      <c r="U11" s="30"/>
    </row>
    <row r="12" spans="2:21" ht="16" customHeight="1" x14ac:dyDescent="0.2">
      <c r="B12" s="33">
        <f t="shared" si="2"/>
        <v>44921</v>
      </c>
      <c r="C12" s="31">
        <f>COUNTIFS(ReadingList!$B$2:$B$122,"&lt;="&amp;B12, ReadingList!$B$2:$B$122,"&gt;"&amp;B11, ReadingList!$G$2:$G$122, "Abstract") + COUNTIFS(ReadingList!$B$2:$B$122,"&lt;="&amp;B12, ReadingList!$B$2:$B$122,"&gt;"&amp;B11, ReadingList!$G$2:$G$122, "No access")</f>
        <v>0</v>
      </c>
      <c r="D12" s="31">
        <f>COUNTIFS(ReadingList!$B$2:$B$122,"&lt;="&amp;B12, ReadingList!$B$2:$B$122,"&gt;"&amp;B11, ReadingList!$G$2:$G$122, $C$2) + COUNTIFS(ReadingList!$B$2:$B$122,"&lt;="&amp;B12, ReadingList!$B$2:$B$122,"&gt;"&amp;B11, ReadingList!$G$2:$G$122, $D$2) + COUNTIFS(ReadingList!$B$2:$B$122,"&lt;="&amp;B12, ReadingList!$B$2:$B$122,"&gt;"&amp;B11, ReadingList!$G$2:$G$122, $E$2) + COUNTIFS(ReadingList!$B$2:$B$122,"&lt;="&amp;B12, ReadingList!$B$2:$B$122,"&gt;"&amp;B11, ReadingList!$G$2:$G$122, "Body")</f>
        <v>61</v>
      </c>
      <c r="E12" s="31">
        <f>COUNTIFS(ReadingList!$B$2:$B$122,"&lt;="&amp;B12, ReadingList!$B$2:$B$122,"&gt;"&amp;B11,ReadingList!$G$2:$G$122,$C$2) + COUNTIFS(ReadingList!$B$2:$B$122,"&lt;="&amp;B12, ReadingList!$B$2:$B$122,"&gt;"&amp;B11,ReadingList!$G$2:$G$122,$D$2) + COUNTIFS(ReadingList!$B$2:$B$122,"&lt;="&amp;B12, ReadingList!$B$2:$B$122,"&gt;"&amp;B11,ReadingList!$G$2:$G$122,$E$2)</f>
        <v>0</v>
      </c>
      <c r="F12" s="14">
        <f t="shared" si="0"/>
        <v>0.48412698412698413</v>
      </c>
      <c r="G12" s="6">
        <f t="shared" si="1"/>
        <v>0</v>
      </c>
      <c r="H12" s="31" t="str">
        <f>IF(SUM($D$9:D12)&gt;=$F$6,"Finished",IF(SUM($D$9:D12)&gt;=$H$6*COUNT($B$9:B12), "Yes", "No"))</f>
        <v>Yes</v>
      </c>
      <c r="I12" s="32"/>
      <c r="J12" s="32"/>
      <c r="K12" s="30"/>
      <c r="L12" s="30"/>
      <c r="M12" s="30"/>
      <c r="N12" s="30"/>
      <c r="O12" s="30"/>
      <c r="P12" s="30"/>
      <c r="Q12" s="30"/>
      <c r="R12" s="30"/>
      <c r="S12" s="30"/>
      <c r="T12" s="30"/>
      <c r="U12" s="30"/>
    </row>
    <row r="13" spans="2:21" ht="16" customHeight="1" x14ac:dyDescent="0.2">
      <c r="B13" s="33">
        <f t="shared" si="2"/>
        <v>44922</v>
      </c>
      <c r="C13" s="31">
        <f>COUNTIFS(ReadingList!$B$2:$B$122,"&lt;="&amp;B13, ReadingList!$B$2:$B$122,"&gt;"&amp;B12, ReadingList!$G$2:$G$122, "Abstract") + COUNTIFS(ReadingList!$B$2:$B$122,"&lt;="&amp;B13, ReadingList!$B$2:$B$122,"&gt;"&amp;B12, ReadingList!$G$2:$G$122, "No access")</f>
        <v>0</v>
      </c>
      <c r="D13" s="31">
        <f>COUNTIFS(ReadingList!$B$2:$B$122,"&lt;="&amp;B13, ReadingList!$B$2:$B$122,"&gt;"&amp;B12, ReadingList!$G$2:$G$122, $C$2) + COUNTIFS(ReadingList!$B$2:$B$122,"&lt;="&amp;B13, ReadingList!$B$2:$B$122,"&gt;"&amp;B12, ReadingList!$G$2:$G$122, $D$2) + COUNTIFS(ReadingList!$B$2:$B$122,"&lt;="&amp;B13, ReadingList!$B$2:$B$122,"&gt;"&amp;B12, ReadingList!$G$2:$G$122, $E$2) + COUNTIFS(ReadingList!$B$2:$B$122,"&lt;="&amp;B13, ReadingList!$B$2:$B$122,"&gt;"&amp;B12, ReadingList!$G$2:$G$122, "Body")</f>
        <v>0</v>
      </c>
      <c r="E13" s="31">
        <f>COUNTIFS(ReadingList!$B$2:$B$122,"&lt;="&amp;B13, ReadingList!$B$2:$B$122,"&gt;"&amp;B12,ReadingList!$G$2:$G$122,$C$2) + COUNTIFS(ReadingList!$B$2:$B$122,"&lt;="&amp;B13, ReadingList!$B$2:$B$122,"&gt;"&amp;B12,ReadingList!$G$2:$G$122,$D$2) + COUNTIFS(ReadingList!$B$2:$B$122,"&lt;="&amp;B13, ReadingList!$B$2:$B$122,"&gt;"&amp;B12,ReadingList!$G$2:$G$122,$E$2)</f>
        <v>0</v>
      </c>
      <c r="F13" s="14">
        <f t="shared" si="0"/>
        <v>0</v>
      </c>
      <c r="G13" s="6">
        <f t="shared" si="1"/>
        <v>0</v>
      </c>
      <c r="H13" s="31" t="str">
        <f>IF(SUM($D$9:D13)&gt;=$F$6,"Finished",IF(SUM($D$9:D13)&gt;=$H$6*COUNT($B$9:B13), "Yes", "No"))</f>
        <v>Yes</v>
      </c>
      <c r="I13" s="32"/>
      <c r="J13" s="32"/>
      <c r="K13" s="30"/>
      <c r="L13" s="30"/>
      <c r="M13" s="30"/>
      <c r="N13" s="30"/>
      <c r="O13" s="30"/>
      <c r="P13" s="30"/>
      <c r="Q13" s="30"/>
      <c r="R13" s="30"/>
      <c r="S13" s="30"/>
      <c r="T13" s="30"/>
      <c r="U13" s="30"/>
    </row>
    <row r="14" spans="2:21" ht="16" customHeight="1" x14ac:dyDescent="0.2">
      <c r="B14" s="33">
        <f t="shared" si="2"/>
        <v>44923</v>
      </c>
      <c r="C14" s="31">
        <f>COUNTIFS(ReadingList!$B$2:$B$122,"&lt;="&amp;B14, ReadingList!$B$2:$B$122,"&gt;"&amp;B13, ReadingList!$G$2:$G$122, "Abstract") + COUNTIFS(ReadingList!$B$2:$B$122,"&lt;="&amp;B14, ReadingList!$B$2:$B$122,"&gt;"&amp;B13, ReadingList!$G$2:$G$122, "No access")</f>
        <v>0</v>
      </c>
      <c r="D14" s="31">
        <f>COUNTIFS(ReadingList!$B$2:$B$122,"&lt;="&amp;B14, ReadingList!$B$2:$B$122,"&gt;"&amp;B13, ReadingList!$G$2:$G$122, $C$2) + COUNTIFS(ReadingList!$B$2:$B$122,"&lt;="&amp;B14, ReadingList!$B$2:$B$122,"&gt;"&amp;B13, ReadingList!$G$2:$G$122, $D$2) + COUNTIFS(ReadingList!$B$2:$B$122,"&lt;="&amp;B14, ReadingList!$B$2:$B$122,"&gt;"&amp;B13, ReadingList!$G$2:$G$122, $E$2) + COUNTIFS(ReadingList!$B$2:$B$122,"&lt;="&amp;B14, ReadingList!$B$2:$B$122,"&gt;"&amp;B13, ReadingList!$G$2:$G$122, "Body")</f>
        <v>0</v>
      </c>
      <c r="E14" s="31">
        <f>COUNTIFS(ReadingList!$B$2:$B$122,"&lt;="&amp;B14, ReadingList!$B$2:$B$122,"&gt;"&amp;B13,ReadingList!$G$2:$G$122,$C$2) + COUNTIFS(ReadingList!$B$2:$B$122,"&lt;="&amp;B14, ReadingList!$B$2:$B$122,"&gt;"&amp;B13,ReadingList!$G$2:$G$122,$D$2) + COUNTIFS(ReadingList!$B$2:$B$122,"&lt;="&amp;B14, ReadingList!$B$2:$B$122,"&gt;"&amp;B13,ReadingList!$G$2:$G$122,$E$2)</f>
        <v>0</v>
      </c>
      <c r="F14" s="14">
        <f t="shared" si="0"/>
        <v>0</v>
      </c>
      <c r="G14" s="6">
        <f t="shared" si="1"/>
        <v>0</v>
      </c>
      <c r="H14" s="31" t="str">
        <f>IF(SUM($D$9:D14)&gt;=$F$6,"Finished",IF(SUM($D$9:D14)&gt;=$H$6*COUNT($B$9:B14), "Yes", "No"))</f>
        <v>Yes</v>
      </c>
      <c r="I14" s="32"/>
      <c r="J14" s="32"/>
      <c r="K14" s="30"/>
      <c r="L14" s="30"/>
      <c r="M14" s="30"/>
      <c r="N14" s="30"/>
      <c r="O14" s="30"/>
      <c r="P14" s="30"/>
      <c r="Q14" s="30"/>
      <c r="R14" s="30"/>
      <c r="S14" s="30"/>
      <c r="T14" s="30"/>
      <c r="U14" s="30"/>
    </row>
    <row r="15" spans="2:21" ht="16" customHeight="1" x14ac:dyDescent="0.2">
      <c r="B15" s="33">
        <f t="shared" si="2"/>
        <v>44924</v>
      </c>
      <c r="C15" s="31">
        <f>COUNTIFS(ReadingList!$B$2:$B$122,"&lt;="&amp;B15, ReadingList!$B$2:$B$122,"&gt;"&amp;B14, ReadingList!$G$2:$G$122, "Abstract") + COUNTIFS(ReadingList!$B$2:$B$122,"&lt;="&amp;B15, ReadingList!$B$2:$B$122,"&gt;"&amp;B14, ReadingList!$G$2:$G$122, "No access")</f>
        <v>0</v>
      </c>
      <c r="D15" s="31">
        <f>COUNTIFS(ReadingList!$B$2:$B$122,"&lt;="&amp;B15, ReadingList!$B$2:$B$122,"&gt;"&amp;B14, ReadingList!$G$2:$G$122, $C$2) + COUNTIFS(ReadingList!$B$2:$B$122,"&lt;="&amp;B15, ReadingList!$B$2:$B$122,"&gt;"&amp;B14, ReadingList!$G$2:$G$122, $D$2) + COUNTIFS(ReadingList!$B$2:$B$122,"&lt;="&amp;B15, ReadingList!$B$2:$B$122,"&gt;"&amp;B14, ReadingList!$G$2:$G$122, $E$2) + COUNTIFS(ReadingList!$B$2:$B$122,"&lt;="&amp;B15, ReadingList!$B$2:$B$122,"&gt;"&amp;B14, ReadingList!$G$2:$G$122, "Body")</f>
        <v>0</v>
      </c>
      <c r="E15" s="31">
        <f>COUNTIFS(ReadingList!$B$2:$B$122,"&lt;="&amp;B15, ReadingList!$B$2:$B$122,"&gt;"&amp;B14,ReadingList!$G$2:$G$122,$C$2) + COUNTIFS(ReadingList!$B$2:$B$122,"&lt;="&amp;B15, ReadingList!$B$2:$B$122,"&gt;"&amp;B14,ReadingList!$G$2:$G$122,$D$2) + COUNTIFS(ReadingList!$B$2:$B$122,"&lt;="&amp;B15, ReadingList!$B$2:$B$122,"&gt;"&amp;B14,ReadingList!$G$2:$G$122,$E$2)</f>
        <v>0</v>
      </c>
      <c r="F15" s="14">
        <f t="shared" si="0"/>
        <v>0</v>
      </c>
      <c r="G15" s="6">
        <f t="shared" si="1"/>
        <v>0</v>
      </c>
      <c r="H15" s="31" t="str">
        <f>IF(SUM($D$9:D15)&gt;=$F$6,"Finished",IF(SUM($D$9:D15)&gt;=$H$6*COUNT($B$9:B15), "Yes", "No"))</f>
        <v>Yes</v>
      </c>
      <c r="I15" s="32"/>
      <c r="J15" s="32"/>
      <c r="K15" s="30"/>
      <c r="L15" s="30"/>
      <c r="M15" s="30"/>
      <c r="N15" s="30"/>
      <c r="O15" s="30"/>
      <c r="P15" s="30"/>
      <c r="Q15" s="30"/>
      <c r="R15" s="30"/>
      <c r="S15" s="30"/>
      <c r="T15" s="30"/>
      <c r="U15" s="30"/>
    </row>
    <row r="16" spans="2:21" ht="16" customHeight="1" x14ac:dyDescent="0.2">
      <c r="B16" s="33">
        <f t="shared" si="2"/>
        <v>44925</v>
      </c>
      <c r="C16" s="31">
        <f>COUNTIFS(ReadingList!$B$2:$B$122,"&lt;="&amp;B16, ReadingList!$B$2:$B$122,"&gt;"&amp;B15, ReadingList!$G$2:$G$122, "Abstract") + COUNTIFS(ReadingList!$B$2:$B$122,"&lt;="&amp;B16, ReadingList!$B$2:$B$122,"&gt;"&amp;B15, ReadingList!$G$2:$G$122, "No access")</f>
        <v>0</v>
      </c>
      <c r="D16" s="31">
        <f>COUNTIFS(ReadingList!$B$2:$B$122,"&lt;="&amp;B16, ReadingList!$B$2:$B$122,"&gt;"&amp;B15, ReadingList!$G$2:$G$122, $C$2) + COUNTIFS(ReadingList!$B$2:$B$122,"&lt;="&amp;B16, ReadingList!$B$2:$B$122,"&gt;"&amp;B15, ReadingList!$G$2:$G$122, $D$2) + COUNTIFS(ReadingList!$B$2:$B$122,"&lt;="&amp;B16, ReadingList!$B$2:$B$122,"&gt;"&amp;B15, ReadingList!$G$2:$G$122, $E$2) + COUNTIFS(ReadingList!$B$2:$B$122,"&lt;="&amp;B16, ReadingList!$B$2:$B$122,"&gt;"&amp;B15, ReadingList!$G$2:$G$122, "Body")</f>
        <v>0</v>
      </c>
      <c r="E16" s="31">
        <f>COUNTIFS(ReadingList!$B$2:$B$122,"&lt;="&amp;B16, ReadingList!$B$2:$B$122,"&gt;"&amp;B15,ReadingList!$G$2:$G$122,$C$2) + COUNTIFS(ReadingList!$B$2:$B$122,"&lt;="&amp;B16, ReadingList!$B$2:$B$122,"&gt;"&amp;B15,ReadingList!$G$2:$G$122,$D$2) + COUNTIFS(ReadingList!$B$2:$B$122,"&lt;="&amp;B16, ReadingList!$B$2:$B$122,"&gt;"&amp;B15,ReadingList!$G$2:$G$122,$E$2)</f>
        <v>0</v>
      </c>
      <c r="F16" s="14">
        <f t="shared" si="0"/>
        <v>0</v>
      </c>
      <c r="G16" s="6">
        <f t="shared" si="1"/>
        <v>0</v>
      </c>
      <c r="H16" s="31" t="str">
        <f>IF(SUM($D$9:D16)&gt;=$F$6,"Finished",IF(SUM($D$9:D16)&gt;=$H$6*COUNT($B$9:B16), "Yes", "No"))</f>
        <v>Yes</v>
      </c>
      <c r="I16" s="32"/>
      <c r="J16" s="32"/>
      <c r="K16" s="30"/>
      <c r="L16" s="30"/>
      <c r="M16" s="30"/>
      <c r="N16" s="30"/>
      <c r="O16" s="30"/>
      <c r="P16" s="30"/>
      <c r="Q16" s="30"/>
      <c r="R16" s="30"/>
      <c r="S16" s="30"/>
      <c r="T16" s="30"/>
      <c r="U16" s="30"/>
    </row>
    <row r="17" spans="2:21" ht="16" customHeight="1" x14ac:dyDescent="0.2">
      <c r="B17" s="33">
        <f t="shared" si="2"/>
        <v>44928</v>
      </c>
      <c r="C17" s="31">
        <f>COUNTIFS(ReadingList!$B$2:$B$122,"&lt;="&amp;B17, ReadingList!$B$2:$B$122,"&gt;"&amp;B16, ReadingList!$G$2:$G$122, "Abstract") + COUNTIFS(ReadingList!$B$2:$B$122,"&lt;="&amp;B17, ReadingList!$B$2:$B$122,"&gt;"&amp;B16, ReadingList!$G$2:$G$122, "No access")</f>
        <v>0</v>
      </c>
      <c r="D17" s="31">
        <f>COUNTIFS(ReadingList!$B$2:$B$122,"&lt;="&amp;B17, ReadingList!$B$2:$B$122,"&gt;"&amp;B16, ReadingList!$G$2:$G$122, $C$2) + COUNTIFS(ReadingList!$B$2:$B$122,"&lt;="&amp;B17, ReadingList!$B$2:$B$122,"&gt;"&amp;B16, ReadingList!$G$2:$G$122, $D$2) + COUNTIFS(ReadingList!$B$2:$B$122,"&lt;="&amp;B17, ReadingList!$B$2:$B$122,"&gt;"&amp;B16, ReadingList!$G$2:$G$122, $E$2) + COUNTIFS(ReadingList!$B$2:$B$122,"&lt;="&amp;B17, ReadingList!$B$2:$B$122,"&gt;"&amp;B16, ReadingList!$G$2:$G$122, "Body")</f>
        <v>0</v>
      </c>
      <c r="E17" s="31">
        <f>COUNTIFS(ReadingList!$B$2:$B$122,"&lt;="&amp;B17, ReadingList!$B$2:$B$122,"&gt;"&amp;B16,ReadingList!$G$2:$G$122,$C$2) + COUNTIFS(ReadingList!$B$2:$B$122,"&lt;="&amp;B17, ReadingList!$B$2:$B$122,"&gt;"&amp;B16,ReadingList!$G$2:$G$122,$D$2) + COUNTIFS(ReadingList!$B$2:$B$122,"&lt;="&amp;B17, ReadingList!$B$2:$B$122,"&gt;"&amp;B16,ReadingList!$G$2:$G$122,$E$2)</f>
        <v>0</v>
      </c>
      <c r="F17" s="14">
        <f t="shared" si="0"/>
        <v>0</v>
      </c>
      <c r="G17" s="6">
        <f t="shared" si="1"/>
        <v>0</v>
      </c>
      <c r="H17" s="31" t="str">
        <f>IF(SUM($D$9:D17)&gt;=$F$6,"Finished",IF(SUM($D$9:D17)&gt;=$H$6*COUNT($B$9:B17), "Yes", "No"))</f>
        <v>Yes</v>
      </c>
      <c r="I17" s="32"/>
      <c r="J17" s="32"/>
      <c r="K17" s="30"/>
      <c r="L17" s="30"/>
      <c r="M17" s="30"/>
      <c r="N17" s="30"/>
      <c r="O17" s="30"/>
      <c r="P17" s="30"/>
      <c r="Q17" s="30"/>
      <c r="R17" s="30"/>
      <c r="S17" s="30"/>
      <c r="T17" s="30"/>
      <c r="U17" s="30"/>
    </row>
    <row r="18" spans="2:21" ht="16" customHeight="1" x14ac:dyDescent="0.2">
      <c r="B18" s="33">
        <f t="shared" si="2"/>
        <v>44929</v>
      </c>
      <c r="C18" s="31">
        <f>COUNTIFS(ReadingList!$B$2:$B$122,"&lt;="&amp;B18, ReadingList!$B$2:$B$122,"&gt;"&amp;B17, ReadingList!$G$2:$G$122, "Abstract") + COUNTIFS(ReadingList!$B$2:$B$122,"&lt;="&amp;B18, ReadingList!$B$2:$B$122,"&gt;"&amp;B17, ReadingList!$G$2:$G$122, "No access")</f>
        <v>0</v>
      </c>
      <c r="D18" s="31">
        <f>COUNTIFS(ReadingList!$B$2:$B$122,"&lt;="&amp;B18, ReadingList!$B$2:$B$122,"&gt;"&amp;B17, ReadingList!$G$2:$G$122, $C$2) + COUNTIFS(ReadingList!$B$2:$B$122,"&lt;="&amp;B18, ReadingList!$B$2:$B$122,"&gt;"&amp;B17, ReadingList!$G$2:$G$122, $D$2) + COUNTIFS(ReadingList!$B$2:$B$122,"&lt;="&amp;B18, ReadingList!$B$2:$B$122,"&gt;"&amp;B17, ReadingList!$G$2:$G$122, $E$2) + COUNTIFS(ReadingList!$B$2:$B$122,"&lt;="&amp;B18, ReadingList!$B$2:$B$122,"&gt;"&amp;B17, ReadingList!$G$2:$G$122, "Body")</f>
        <v>0</v>
      </c>
      <c r="E18" s="31">
        <f>COUNTIFS(ReadingList!$B$2:$B$122,"&lt;="&amp;B18, ReadingList!$B$2:$B$122,"&gt;"&amp;B17,ReadingList!$G$2:$G$122,$C$2) + COUNTIFS(ReadingList!$B$2:$B$122,"&lt;="&amp;B18, ReadingList!$B$2:$B$122,"&gt;"&amp;B17,ReadingList!$G$2:$G$122,$D$2) + COUNTIFS(ReadingList!$B$2:$B$122,"&lt;="&amp;B18, ReadingList!$B$2:$B$122,"&gt;"&amp;B17,ReadingList!$G$2:$G$122,$E$2)</f>
        <v>0</v>
      </c>
      <c r="F18" s="14">
        <f t="shared" si="0"/>
        <v>0</v>
      </c>
      <c r="G18" s="6">
        <f t="shared" si="1"/>
        <v>0</v>
      </c>
      <c r="H18" s="31" t="str">
        <f>IF(SUM($D$9:D18)&gt;=$F$6,"Finished",IF(SUM($D$9:D18)&gt;=$H$6*COUNT($B$9:B18), "Yes", "No"))</f>
        <v>No</v>
      </c>
      <c r="I18" s="32"/>
      <c r="J18" s="32"/>
      <c r="K18" s="30"/>
      <c r="L18" s="30"/>
      <c r="M18" s="30"/>
      <c r="N18" s="30"/>
      <c r="O18" s="30"/>
      <c r="P18" s="30"/>
      <c r="Q18" s="30"/>
      <c r="R18" s="30"/>
      <c r="S18" s="30"/>
      <c r="T18" s="30"/>
      <c r="U18" s="30"/>
    </row>
    <row r="19" spans="2:21" ht="16" customHeight="1" x14ac:dyDescent="0.2">
      <c r="B19" s="33">
        <f t="shared" si="2"/>
        <v>44930</v>
      </c>
      <c r="C19" s="31">
        <f>COUNTIFS(ReadingList!$B$2:$B$122,"&lt;="&amp;B19, ReadingList!$B$2:$B$122,"&gt;"&amp;B18, ReadingList!$G$2:$G$122, "Abstract") + COUNTIFS(ReadingList!$B$2:$B$122,"&lt;="&amp;B19, ReadingList!$B$2:$B$122,"&gt;"&amp;B18, ReadingList!$G$2:$G$122, "No access")</f>
        <v>0</v>
      </c>
      <c r="D19" s="31">
        <f>COUNTIFS(ReadingList!$B$2:$B$122,"&lt;="&amp;B19, ReadingList!$B$2:$B$122,"&gt;"&amp;B18, ReadingList!$G$2:$G$122, $C$2) + COUNTIFS(ReadingList!$B$2:$B$122,"&lt;="&amp;B19, ReadingList!$B$2:$B$122,"&gt;"&amp;B18, ReadingList!$G$2:$G$122, $D$2) + COUNTIFS(ReadingList!$B$2:$B$122,"&lt;="&amp;B19, ReadingList!$B$2:$B$122,"&gt;"&amp;B18, ReadingList!$G$2:$G$122, $E$2) + COUNTIFS(ReadingList!$B$2:$B$122,"&lt;="&amp;B19, ReadingList!$B$2:$B$122,"&gt;"&amp;B18, ReadingList!$G$2:$G$122, "Body")</f>
        <v>0</v>
      </c>
      <c r="E19" s="31">
        <f>COUNTIFS(ReadingList!$B$2:$B$122,"&lt;="&amp;B19, ReadingList!$B$2:$B$122,"&gt;"&amp;B18,ReadingList!$G$2:$G$122,$C$2) + COUNTIFS(ReadingList!$B$2:$B$122,"&lt;="&amp;B19, ReadingList!$B$2:$B$122,"&gt;"&amp;B18,ReadingList!$G$2:$G$122,$D$2) + COUNTIFS(ReadingList!$B$2:$B$122,"&lt;="&amp;B19, ReadingList!$B$2:$B$122,"&gt;"&amp;B18,ReadingList!$G$2:$G$122,$E$2)</f>
        <v>0</v>
      </c>
      <c r="F19" s="14">
        <f t="shared" si="0"/>
        <v>0</v>
      </c>
      <c r="G19" s="6">
        <f t="shared" si="1"/>
        <v>0</v>
      </c>
      <c r="H19" s="31" t="str">
        <f>IF(SUM($D$9:D19)&gt;=$F$6,"Finished",IF(SUM($D$9:D19)&gt;=$H$6*COUNT($B$9:B19), "Yes", "No"))</f>
        <v>No</v>
      </c>
      <c r="I19" s="32"/>
      <c r="J19" s="32"/>
      <c r="K19" s="30"/>
      <c r="L19" s="30"/>
      <c r="M19" s="30"/>
      <c r="N19" s="30"/>
      <c r="O19" s="30"/>
      <c r="P19" s="30"/>
      <c r="Q19" s="30"/>
      <c r="R19" s="30"/>
      <c r="S19" s="30"/>
      <c r="T19" s="30"/>
      <c r="U19" s="30"/>
    </row>
    <row r="20" spans="2:21" ht="16" customHeight="1" x14ac:dyDescent="0.2">
      <c r="B20" s="33">
        <f t="shared" si="2"/>
        <v>44931</v>
      </c>
      <c r="C20" s="31">
        <f>COUNTIFS(ReadingList!$B$2:$B$122,"&lt;="&amp;B20, ReadingList!$B$2:$B$122,"&gt;"&amp;B19, ReadingList!$G$2:$G$122, "Abstract") + COUNTIFS(ReadingList!$B$2:$B$122,"&lt;="&amp;B20, ReadingList!$B$2:$B$122,"&gt;"&amp;B19, ReadingList!$G$2:$G$122, "No access")</f>
        <v>0</v>
      </c>
      <c r="D20" s="31">
        <f>COUNTIFS(ReadingList!$B$2:$B$122,"&lt;="&amp;B20, ReadingList!$B$2:$B$122,"&gt;"&amp;B19, ReadingList!$G$2:$G$122, $C$2) + COUNTIFS(ReadingList!$B$2:$B$122,"&lt;="&amp;B20, ReadingList!$B$2:$B$122,"&gt;"&amp;B19, ReadingList!$G$2:$G$122, $D$2) + COUNTIFS(ReadingList!$B$2:$B$122,"&lt;="&amp;B20, ReadingList!$B$2:$B$122,"&gt;"&amp;B19, ReadingList!$G$2:$G$122, $E$2) + COUNTIFS(ReadingList!$B$2:$B$122,"&lt;="&amp;B20, ReadingList!$B$2:$B$122,"&gt;"&amp;B19, ReadingList!$G$2:$G$122, "Body")</f>
        <v>0</v>
      </c>
      <c r="E20" s="31">
        <f>COUNTIFS(ReadingList!$B$2:$B$122,"&lt;="&amp;B20, ReadingList!$B$2:$B$122,"&gt;"&amp;B19,ReadingList!$G$2:$G$122,$C$2) + COUNTIFS(ReadingList!$B$2:$B$122,"&lt;="&amp;B20, ReadingList!$B$2:$B$122,"&gt;"&amp;B19,ReadingList!$G$2:$G$122,$D$2) + COUNTIFS(ReadingList!$B$2:$B$122,"&lt;="&amp;B20, ReadingList!$B$2:$B$122,"&gt;"&amp;B19,ReadingList!$G$2:$G$122,$E$2)</f>
        <v>0</v>
      </c>
      <c r="F20" s="14">
        <f t="shared" si="0"/>
        <v>0</v>
      </c>
      <c r="G20" s="6">
        <f t="shared" si="1"/>
        <v>0</v>
      </c>
      <c r="H20" s="31" t="str">
        <f>IF(SUM($D$9:D20)&gt;=$F$6,"Finished",IF(SUM($D$9:D20)&gt;=$H$6*COUNT($B$9:B20), "Yes", "No"))</f>
        <v>No</v>
      </c>
      <c r="I20" s="32"/>
      <c r="J20" s="32"/>
      <c r="K20" s="30"/>
      <c r="L20" s="30"/>
      <c r="M20" s="30"/>
      <c r="N20" s="30"/>
      <c r="O20" s="30"/>
      <c r="P20" s="30"/>
      <c r="Q20" s="30"/>
    </row>
    <row r="21" spans="2:21" ht="16" customHeight="1" x14ac:dyDescent="0.2">
      <c r="B21" s="33">
        <f t="shared" si="2"/>
        <v>44932</v>
      </c>
      <c r="C21" s="31">
        <f>COUNTIFS(ReadingList!$B$2:$B$122,"&lt;="&amp;B21, ReadingList!$B$2:$B$122,"&gt;"&amp;B20, ReadingList!$G$2:$G$122, "Abstract") + COUNTIFS(ReadingList!$B$2:$B$122,"&lt;="&amp;B21, ReadingList!$B$2:$B$122,"&gt;"&amp;B20, ReadingList!$G$2:$G$122, "No access")</f>
        <v>0</v>
      </c>
      <c r="D21" s="31">
        <f>COUNTIFS(ReadingList!$B$2:$B$122,"&lt;="&amp;B21, ReadingList!$B$2:$B$122,"&gt;"&amp;B20, ReadingList!$G$2:$G$122, $C$2) + COUNTIFS(ReadingList!$B$2:$B$122,"&lt;="&amp;B21, ReadingList!$B$2:$B$122,"&gt;"&amp;B20, ReadingList!$G$2:$G$122, $D$2) + COUNTIFS(ReadingList!$B$2:$B$122,"&lt;="&amp;B21, ReadingList!$B$2:$B$122,"&gt;"&amp;B20, ReadingList!$G$2:$G$122, $E$2) + COUNTIFS(ReadingList!$B$2:$B$122,"&lt;="&amp;B21, ReadingList!$B$2:$B$122,"&gt;"&amp;B20, ReadingList!$G$2:$G$122, "Body")</f>
        <v>0</v>
      </c>
      <c r="E21" s="31">
        <f>COUNTIFS(ReadingList!$B$2:$B$122,"&lt;="&amp;B21, ReadingList!$B$2:$B$122,"&gt;"&amp;B20,ReadingList!$G$2:$G$122,$C$2) + COUNTIFS(ReadingList!$B$2:$B$122,"&lt;="&amp;B21, ReadingList!$B$2:$B$122,"&gt;"&amp;B20,ReadingList!$G$2:$G$122,$D$2) + COUNTIFS(ReadingList!$B$2:$B$122,"&lt;="&amp;B21, ReadingList!$B$2:$B$122,"&gt;"&amp;B20,ReadingList!$G$2:$G$122,$E$2)</f>
        <v>0</v>
      </c>
      <c r="F21" s="14">
        <f t="shared" si="0"/>
        <v>0</v>
      </c>
      <c r="G21" s="6">
        <f t="shared" si="1"/>
        <v>0</v>
      </c>
      <c r="H21" s="31" t="str">
        <f>IF(SUM($D$9:D21)&gt;=$F$6,"Finished",IF(SUM($D$9:D21)&gt;=$H$6*COUNT($B$9:B21), "Yes", "No"))</f>
        <v>No</v>
      </c>
      <c r="I21" s="32"/>
      <c r="J21" s="32"/>
      <c r="K21" s="30"/>
      <c r="L21" s="30"/>
      <c r="M21" s="30"/>
    </row>
    <row r="22" spans="2:21" ht="16" customHeight="1" x14ac:dyDescent="0.2">
      <c r="B22" s="33">
        <f t="shared" si="2"/>
        <v>44935</v>
      </c>
      <c r="C22" s="31">
        <f>COUNTIFS(ReadingList!$B$2:$B$122,"&lt;="&amp;B22, ReadingList!$B$2:$B$122,"&gt;"&amp;B21, ReadingList!$G$2:$G$122, "Abstract") + COUNTIFS(ReadingList!$B$2:$B$122,"&lt;="&amp;B22, ReadingList!$B$2:$B$122,"&gt;"&amp;B21, ReadingList!$G$2:$G$122, "No access")</f>
        <v>0</v>
      </c>
      <c r="D22" s="31">
        <f>COUNTIFS(ReadingList!$B$2:$B$122,"&lt;="&amp;B22, ReadingList!$B$2:$B$122,"&gt;"&amp;B21, ReadingList!$G$2:$G$122, $C$2) + COUNTIFS(ReadingList!$B$2:$B$122,"&lt;="&amp;B22, ReadingList!$B$2:$B$122,"&gt;"&amp;B21, ReadingList!$G$2:$G$122, $D$2) + COUNTIFS(ReadingList!$B$2:$B$122,"&lt;="&amp;B22, ReadingList!$B$2:$B$122,"&gt;"&amp;B21, ReadingList!$G$2:$G$122, $E$2) + COUNTIFS(ReadingList!$B$2:$B$122,"&lt;="&amp;B22, ReadingList!$B$2:$B$122,"&gt;"&amp;B21, ReadingList!$G$2:$G$122, "Body")</f>
        <v>0</v>
      </c>
      <c r="E22" s="31">
        <f>COUNTIFS(ReadingList!$B$2:$B$122,"&lt;="&amp;B22, ReadingList!$B$2:$B$122,"&gt;"&amp;B21,ReadingList!$G$2:$G$122,$C$2) + COUNTIFS(ReadingList!$B$2:$B$122,"&lt;="&amp;B22, ReadingList!$B$2:$B$122,"&gt;"&amp;B21,ReadingList!$G$2:$G$122,$D$2) + COUNTIFS(ReadingList!$B$2:$B$122,"&lt;="&amp;B22, ReadingList!$B$2:$B$122,"&gt;"&amp;B21,ReadingList!$G$2:$G$122,$E$2)</f>
        <v>0</v>
      </c>
      <c r="F22" s="14">
        <f t="shared" si="0"/>
        <v>0</v>
      </c>
      <c r="G22" s="6">
        <f t="shared" si="1"/>
        <v>0</v>
      </c>
      <c r="H22" s="31" t="str">
        <f>IF(SUM($D$9:D22)&gt;=$F$6,"Finished",IF(SUM($D$9:D22)&gt;=$H$6*COUNT($B$9:B22), "Yes", "No"))</f>
        <v>No</v>
      </c>
      <c r="I22" s="32"/>
      <c r="J22" s="32"/>
      <c r="K22" s="30"/>
      <c r="L22" s="30"/>
      <c r="M22" s="30"/>
    </row>
    <row r="23" spans="2:21" ht="16" customHeight="1" x14ac:dyDescent="0.15">
      <c r="B23" s="33">
        <f t="shared" si="2"/>
        <v>44936</v>
      </c>
      <c r="C23" s="31">
        <f>COUNTIFS(ReadingList!$B$2:$B$122,"&lt;="&amp;B23, ReadingList!$B$2:$B$122,"&gt;"&amp;B22, ReadingList!$G$2:$G$122, "Abstract") + COUNTIFS(ReadingList!$B$2:$B$122,"&lt;="&amp;B23, ReadingList!$B$2:$B$122,"&gt;"&amp;B22, ReadingList!$G$2:$G$122, "No access")</f>
        <v>0</v>
      </c>
      <c r="D23" s="31">
        <f>COUNTIFS(ReadingList!$B$2:$B$122,"&lt;="&amp;B23, ReadingList!$B$2:$B$122,"&gt;"&amp;B22, ReadingList!$G$2:$G$122, $C$2) + COUNTIFS(ReadingList!$B$2:$B$122,"&lt;="&amp;B23, ReadingList!$B$2:$B$122,"&gt;"&amp;B22, ReadingList!$G$2:$G$122, $D$2) + COUNTIFS(ReadingList!$B$2:$B$122,"&lt;="&amp;B23, ReadingList!$B$2:$B$122,"&gt;"&amp;B22, ReadingList!$G$2:$G$122, $E$2) + COUNTIFS(ReadingList!$B$2:$B$122,"&lt;="&amp;B23, ReadingList!$B$2:$B$122,"&gt;"&amp;B22, ReadingList!$G$2:$G$122, "Body")</f>
        <v>0</v>
      </c>
      <c r="E23" s="31">
        <f>COUNTIFS(ReadingList!$B$2:$B$122,"&lt;="&amp;B23, ReadingList!$B$2:$B$122,"&gt;"&amp;B22,ReadingList!$G$2:$G$122,$C$2) + COUNTIFS(ReadingList!$B$2:$B$122,"&lt;="&amp;B23, ReadingList!$B$2:$B$122,"&gt;"&amp;B22,ReadingList!$G$2:$G$122,$D$2) + COUNTIFS(ReadingList!$B$2:$B$122,"&lt;="&amp;B23, ReadingList!$B$2:$B$122,"&gt;"&amp;B22,ReadingList!$G$2:$G$122,$E$2)</f>
        <v>0</v>
      </c>
      <c r="F23" s="14">
        <f t="shared" si="0"/>
        <v>0</v>
      </c>
      <c r="G23" s="6">
        <f t="shared" si="1"/>
        <v>0</v>
      </c>
      <c r="H23" s="31" t="str">
        <f>IF(SUM($D$9:D23)&gt;=$F$6,"Finished",IF(SUM($D$9:D23)&gt;=$H$6*COUNT($B$9:B23), "Yes", "No"))</f>
        <v>No</v>
      </c>
      <c r="I23" s="32"/>
      <c r="J23" s="32"/>
    </row>
    <row r="24" spans="2:21" ht="16" customHeight="1" x14ac:dyDescent="0.15">
      <c r="B24" s="33">
        <f t="shared" si="2"/>
        <v>44937</v>
      </c>
      <c r="C24" s="31">
        <f>COUNTIFS(ReadingList!$B$2:$B$122,"&lt;="&amp;B24, ReadingList!$B$2:$B$122,"&gt;"&amp;B23, ReadingList!$G$2:$G$122, "Abstract") + COUNTIFS(ReadingList!$B$2:$B$122,"&lt;="&amp;B24, ReadingList!$B$2:$B$122,"&gt;"&amp;B23, ReadingList!$G$2:$G$122, "No access")</f>
        <v>0</v>
      </c>
      <c r="D24" s="31">
        <f>COUNTIFS(ReadingList!$B$2:$B$122,"&lt;="&amp;B24, ReadingList!$B$2:$B$122,"&gt;"&amp;B23, ReadingList!$G$2:$G$122, $C$2) + COUNTIFS(ReadingList!$B$2:$B$122,"&lt;="&amp;B24, ReadingList!$B$2:$B$122,"&gt;"&amp;B23, ReadingList!$G$2:$G$122, $D$2) + COUNTIFS(ReadingList!$B$2:$B$122,"&lt;="&amp;B24, ReadingList!$B$2:$B$122,"&gt;"&amp;B23, ReadingList!$G$2:$G$122, $E$2) + COUNTIFS(ReadingList!$B$2:$B$122,"&lt;="&amp;B24, ReadingList!$B$2:$B$122,"&gt;"&amp;B23, ReadingList!$G$2:$G$122, "Body")</f>
        <v>0</v>
      </c>
      <c r="E24" s="31">
        <f>COUNTIFS(ReadingList!$B$2:$B$122,"&lt;="&amp;B24, ReadingList!$B$2:$B$122,"&gt;"&amp;B23,ReadingList!$G$2:$G$122,$C$2) + COUNTIFS(ReadingList!$B$2:$B$122,"&lt;="&amp;B24, ReadingList!$B$2:$B$122,"&gt;"&amp;B23,ReadingList!$G$2:$G$122,$D$2) + COUNTIFS(ReadingList!$B$2:$B$122,"&lt;="&amp;B24, ReadingList!$B$2:$B$122,"&gt;"&amp;B23,ReadingList!$G$2:$G$122,$E$2)</f>
        <v>0</v>
      </c>
      <c r="F24" s="14">
        <f t="shared" si="0"/>
        <v>0</v>
      </c>
      <c r="G24" s="6">
        <f t="shared" si="1"/>
        <v>0</v>
      </c>
      <c r="H24" s="31" t="str">
        <f>IF(SUM($D$9:D24)&gt;=$F$6,"Finished",IF(SUM($D$9:D24)&gt;=$H$6*COUNT($B$9:B24), "Yes", "No"))</f>
        <v>No</v>
      </c>
      <c r="I24" s="32"/>
      <c r="J24" s="32"/>
    </row>
    <row r="25" spans="2:21" ht="16" customHeight="1" x14ac:dyDescent="0.15">
      <c r="B25" s="33">
        <f t="shared" si="2"/>
        <v>44938</v>
      </c>
      <c r="C25" s="31">
        <f>COUNTIFS(ReadingList!$B$2:$B$122,"&lt;="&amp;B25, ReadingList!$B$2:$B$122,"&gt;"&amp;B24, ReadingList!$G$2:$G$122, "Abstract") + COUNTIFS(ReadingList!$B$2:$B$122,"&lt;="&amp;B25, ReadingList!$B$2:$B$122,"&gt;"&amp;B24, ReadingList!$G$2:$G$122, "No access")</f>
        <v>0</v>
      </c>
      <c r="D25" s="31">
        <f>COUNTIFS(ReadingList!$B$2:$B$122,"&lt;="&amp;B25, ReadingList!$B$2:$B$122,"&gt;"&amp;B24, ReadingList!$G$2:$G$122, $C$2) + COUNTIFS(ReadingList!$B$2:$B$122,"&lt;="&amp;B25, ReadingList!$B$2:$B$122,"&gt;"&amp;B24, ReadingList!$G$2:$G$122, $D$2) + COUNTIFS(ReadingList!$B$2:$B$122,"&lt;="&amp;B25, ReadingList!$B$2:$B$122,"&gt;"&amp;B24, ReadingList!$G$2:$G$122, $E$2) + COUNTIFS(ReadingList!$B$2:$B$122,"&lt;="&amp;B25, ReadingList!$B$2:$B$122,"&gt;"&amp;B24, ReadingList!$G$2:$G$122, "Body")</f>
        <v>0</v>
      </c>
      <c r="E25" s="31">
        <f>COUNTIFS(ReadingList!$B$2:$B$122,"&lt;="&amp;B25, ReadingList!$B$2:$B$122,"&gt;"&amp;B24,ReadingList!$G$2:$G$122,$C$2) + COUNTIFS(ReadingList!$B$2:$B$122,"&lt;="&amp;B25, ReadingList!$B$2:$B$122,"&gt;"&amp;B24,ReadingList!$G$2:$G$122,$D$2) + COUNTIFS(ReadingList!$B$2:$B$122,"&lt;="&amp;B25, ReadingList!$B$2:$B$122,"&gt;"&amp;B24,ReadingList!$G$2:$G$122,$E$2)</f>
        <v>0</v>
      </c>
      <c r="F25" s="14">
        <f t="shared" si="0"/>
        <v>0</v>
      </c>
      <c r="G25" s="6">
        <f t="shared" si="1"/>
        <v>0</v>
      </c>
      <c r="H25" s="31" t="str">
        <f>IF(SUM($D$9:D25)&gt;=$F$6,"Finished",IF(SUM($D$9:D25)&gt;=$H$6*COUNT($B$9:B25), "Yes", "No"))</f>
        <v>No</v>
      </c>
      <c r="I25" s="32"/>
      <c r="J25" s="32"/>
    </row>
    <row r="26" spans="2:21" ht="16" customHeight="1" x14ac:dyDescent="0.15">
      <c r="B26" s="33">
        <f t="shared" si="2"/>
        <v>44939</v>
      </c>
      <c r="C26" s="31">
        <f>COUNTIFS(ReadingList!$B$2:$B$122,"&lt;="&amp;B26, ReadingList!$B$2:$B$122,"&gt;"&amp;B25, ReadingList!$G$2:$G$122, "Abstract") + COUNTIFS(ReadingList!$B$2:$B$122,"&lt;="&amp;B26, ReadingList!$B$2:$B$122,"&gt;"&amp;B25, ReadingList!$G$2:$G$122, "No access")</f>
        <v>0</v>
      </c>
      <c r="D26" s="31">
        <f>COUNTIFS(ReadingList!$B$2:$B$122,"&lt;="&amp;B26, ReadingList!$B$2:$B$122,"&gt;"&amp;B25, ReadingList!$G$2:$G$122, $C$2) + COUNTIFS(ReadingList!$B$2:$B$122,"&lt;="&amp;B26, ReadingList!$B$2:$B$122,"&gt;"&amp;B25, ReadingList!$G$2:$G$122, $D$2) + COUNTIFS(ReadingList!$B$2:$B$122,"&lt;="&amp;B26, ReadingList!$B$2:$B$122,"&gt;"&amp;B25, ReadingList!$G$2:$G$122, $E$2) + COUNTIFS(ReadingList!$B$2:$B$122,"&lt;="&amp;B26, ReadingList!$B$2:$B$122,"&gt;"&amp;B25, ReadingList!$G$2:$G$122, "Body")</f>
        <v>0</v>
      </c>
      <c r="E26" s="31">
        <f>COUNTIFS(ReadingList!$B$2:$B$122,"&lt;="&amp;B26, ReadingList!$B$2:$B$122,"&gt;"&amp;B25,ReadingList!$G$2:$G$122,$C$2) + COUNTIFS(ReadingList!$B$2:$B$122,"&lt;="&amp;B26, ReadingList!$B$2:$B$122,"&gt;"&amp;B25,ReadingList!$G$2:$G$122,$D$2) + COUNTIFS(ReadingList!$B$2:$B$122,"&lt;="&amp;B26, ReadingList!$B$2:$B$122,"&gt;"&amp;B25,ReadingList!$G$2:$G$122,$E$2)</f>
        <v>0</v>
      </c>
      <c r="F26" s="14">
        <f t="shared" si="0"/>
        <v>0</v>
      </c>
      <c r="G26" s="6">
        <f t="shared" si="1"/>
        <v>0</v>
      </c>
      <c r="H26" s="31" t="str">
        <f>IF(SUM($D$9:D26)&gt;=$F$6,"Finished",IF(SUM($D$9:D26)&gt;=$H$6*COUNT($B$9:B26), "Yes", "No"))</f>
        <v>No</v>
      </c>
      <c r="I26" s="32"/>
      <c r="J26" s="32"/>
    </row>
    <row r="27" spans="2:21" ht="16" customHeight="1" x14ac:dyDescent="0.15">
      <c r="B27" s="33">
        <f t="shared" si="2"/>
        <v>44942</v>
      </c>
      <c r="C27" s="31">
        <f>COUNTIFS(ReadingList!$B$2:$B$122,"&lt;="&amp;B27, ReadingList!$B$2:$B$122,"&gt;"&amp;B26, ReadingList!$G$2:$G$122, "Abstract") + COUNTIFS(ReadingList!$B$2:$B$122,"&lt;="&amp;B27, ReadingList!$B$2:$B$122,"&gt;"&amp;B26, ReadingList!$G$2:$G$122, "No access")</f>
        <v>0</v>
      </c>
      <c r="D27" s="31">
        <f>COUNTIFS(ReadingList!$B$2:$B$122,"&lt;="&amp;B27, ReadingList!$B$2:$B$122,"&gt;"&amp;B26, ReadingList!$G$2:$G$122, $C$2) + COUNTIFS(ReadingList!$B$2:$B$122,"&lt;="&amp;B27, ReadingList!$B$2:$B$122,"&gt;"&amp;B26, ReadingList!$G$2:$G$122, $D$2) + COUNTIFS(ReadingList!$B$2:$B$122,"&lt;="&amp;B27, ReadingList!$B$2:$B$122,"&gt;"&amp;B26, ReadingList!$G$2:$G$122, $E$2) + COUNTIFS(ReadingList!$B$2:$B$122,"&lt;="&amp;B27, ReadingList!$B$2:$B$122,"&gt;"&amp;B26, ReadingList!$G$2:$G$122, "Body")</f>
        <v>0</v>
      </c>
      <c r="E27" s="31">
        <f>COUNTIFS(ReadingList!$B$2:$B$122,"&lt;="&amp;B27, ReadingList!$B$2:$B$122,"&gt;"&amp;B26,ReadingList!$G$2:$G$122,$C$2) + COUNTIFS(ReadingList!$B$2:$B$122,"&lt;="&amp;B27, ReadingList!$B$2:$B$122,"&gt;"&amp;B26,ReadingList!$G$2:$G$122,$D$2) + COUNTIFS(ReadingList!$B$2:$B$122,"&lt;="&amp;B27, ReadingList!$B$2:$B$122,"&gt;"&amp;B26,ReadingList!$G$2:$G$122,$E$2)</f>
        <v>0</v>
      </c>
      <c r="F27" s="14">
        <f t="shared" si="0"/>
        <v>0</v>
      </c>
      <c r="G27" s="6">
        <f t="shared" si="1"/>
        <v>0</v>
      </c>
      <c r="H27" s="31" t="str">
        <f>IF(SUM($D$9:D27)&gt;=$F$6,"Finished",IF(SUM($D$9:D27)&gt;=$H$6*COUNT($B$9:B27), "Yes", "No"))</f>
        <v>No</v>
      </c>
      <c r="I27" s="32"/>
      <c r="J27" s="32"/>
    </row>
    <row r="28" spans="2:21" ht="16" customHeight="1" x14ac:dyDescent="0.15">
      <c r="B28" s="33">
        <f t="shared" si="2"/>
        <v>44943</v>
      </c>
      <c r="C28" s="31">
        <f>COUNTIFS(ReadingList!$B$2:$B$122,"&lt;="&amp;B28, ReadingList!$B$2:$B$122,"&gt;"&amp;B27, ReadingList!$G$2:$G$122, "Abstract") + COUNTIFS(ReadingList!$B$2:$B$122,"&lt;="&amp;B28, ReadingList!$B$2:$B$122,"&gt;"&amp;B27, ReadingList!$G$2:$G$122, "No access")</f>
        <v>0</v>
      </c>
      <c r="D28" s="31">
        <f>COUNTIFS(ReadingList!$B$2:$B$122,"&lt;="&amp;B28, ReadingList!$B$2:$B$122,"&gt;"&amp;B27, ReadingList!$G$2:$G$122, $C$2) + COUNTIFS(ReadingList!$B$2:$B$122,"&lt;="&amp;B28, ReadingList!$B$2:$B$122,"&gt;"&amp;B27, ReadingList!$G$2:$G$122, $D$2) + COUNTIFS(ReadingList!$B$2:$B$122,"&lt;="&amp;B28, ReadingList!$B$2:$B$122,"&gt;"&amp;B27, ReadingList!$G$2:$G$122, $E$2) + COUNTIFS(ReadingList!$B$2:$B$122,"&lt;="&amp;B28, ReadingList!$B$2:$B$122,"&gt;"&amp;B27, ReadingList!$G$2:$G$122, "Body")</f>
        <v>0</v>
      </c>
      <c r="E28" s="31">
        <f>COUNTIFS(ReadingList!$B$2:$B$122,"&lt;="&amp;B28, ReadingList!$B$2:$B$122,"&gt;"&amp;B27,ReadingList!$G$2:$G$122,$C$2) + COUNTIFS(ReadingList!$B$2:$B$122,"&lt;="&amp;B28, ReadingList!$B$2:$B$122,"&gt;"&amp;B27,ReadingList!$G$2:$G$122,$D$2) + COUNTIFS(ReadingList!$B$2:$B$122,"&lt;="&amp;B28, ReadingList!$B$2:$B$122,"&gt;"&amp;B27,ReadingList!$G$2:$G$122,$E$2)</f>
        <v>0</v>
      </c>
      <c r="F28" s="14">
        <f t="shared" si="0"/>
        <v>0</v>
      </c>
      <c r="G28" s="6">
        <f t="shared" si="1"/>
        <v>0</v>
      </c>
      <c r="H28" s="31" t="str">
        <f>IF(SUM($D$9:D28)&gt;=$F$6,"Finished",IF(SUM($D$9:D28)&gt;=$H$6*COUNT($B$9:B28), "Yes", "No"))</f>
        <v>No</v>
      </c>
      <c r="I28" s="32"/>
      <c r="J28" s="32"/>
    </row>
    <row r="29" spans="2:21" ht="16" customHeight="1" x14ac:dyDescent="0.15">
      <c r="B29" s="33">
        <f t="shared" si="2"/>
        <v>44944</v>
      </c>
      <c r="C29" s="31">
        <f>COUNTIFS(ReadingList!$B$2:$B$122,"&lt;="&amp;B29, ReadingList!$B$2:$B$122,"&gt;"&amp;B28, ReadingList!$G$2:$G$122, "Abstract") + COUNTIFS(ReadingList!$B$2:$B$122,"&lt;="&amp;B29, ReadingList!$B$2:$B$122,"&gt;"&amp;B28, ReadingList!$G$2:$G$122, "No access")</f>
        <v>0</v>
      </c>
      <c r="D29" s="31">
        <f>COUNTIFS(ReadingList!$B$2:$B$122,"&lt;="&amp;B29, ReadingList!$B$2:$B$122,"&gt;"&amp;B28, ReadingList!$G$2:$G$122, $C$2) + COUNTIFS(ReadingList!$B$2:$B$122,"&lt;="&amp;B29, ReadingList!$B$2:$B$122,"&gt;"&amp;B28, ReadingList!$G$2:$G$122, $D$2) + COUNTIFS(ReadingList!$B$2:$B$122,"&lt;="&amp;B29, ReadingList!$B$2:$B$122,"&gt;"&amp;B28, ReadingList!$G$2:$G$122, $E$2) + COUNTIFS(ReadingList!$B$2:$B$122,"&lt;="&amp;B29, ReadingList!$B$2:$B$122,"&gt;"&amp;B28, ReadingList!$G$2:$G$122, "Body")</f>
        <v>0</v>
      </c>
      <c r="E29" s="31">
        <f>COUNTIFS(ReadingList!$B$2:$B$122,"&lt;="&amp;B29, ReadingList!$B$2:$B$122,"&gt;"&amp;B28,ReadingList!$G$2:$G$122,$C$2) + COUNTIFS(ReadingList!$B$2:$B$122,"&lt;="&amp;B29, ReadingList!$B$2:$B$122,"&gt;"&amp;B28,ReadingList!$G$2:$G$122,$D$2) + COUNTIFS(ReadingList!$B$2:$B$122,"&lt;="&amp;B29, ReadingList!$B$2:$B$122,"&gt;"&amp;B28,ReadingList!$G$2:$G$122,$E$2)</f>
        <v>0</v>
      </c>
      <c r="F29" s="14">
        <f t="shared" si="0"/>
        <v>0</v>
      </c>
      <c r="G29" s="6">
        <f t="shared" si="1"/>
        <v>0</v>
      </c>
      <c r="H29" s="31" t="str">
        <f>IF(SUM($D$9:D29)&gt;=$F$6,"Finished",IF(SUM($D$9:D29)&gt;=$H$6*COUNT($B$9:B29), "Yes", "No"))</f>
        <v>No</v>
      </c>
      <c r="I29" s="32"/>
      <c r="J29" s="32"/>
    </row>
    <row r="30" spans="2:21" ht="16" customHeight="1" x14ac:dyDescent="0.15">
      <c r="B30" s="33">
        <f t="shared" si="2"/>
        <v>44945</v>
      </c>
      <c r="C30" s="31">
        <f>COUNTIFS(ReadingList!$B$2:$B$122,"&lt;="&amp;B30, ReadingList!$B$2:$B$122,"&gt;"&amp;B29, ReadingList!$G$2:$G$122, "Abstract") + COUNTIFS(ReadingList!$B$2:$B$122,"&lt;="&amp;B30, ReadingList!$B$2:$B$122,"&gt;"&amp;B29, ReadingList!$G$2:$G$122, "No access")</f>
        <v>0</v>
      </c>
      <c r="D30" s="31">
        <f>COUNTIFS(ReadingList!$B$2:$B$122,"&lt;="&amp;B30, ReadingList!$B$2:$B$122,"&gt;"&amp;B29, ReadingList!$G$2:$G$122, $C$2) + COUNTIFS(ReadingList!$B$2:$B$122,"&lt;="&amp;B30, ReadingList!$B$2:$B$122,"&gt;"&amp;B29, ReadingList!$G$2:$G$122, $D$2) + COUNTIFS(ReadingList!$B$2:$B$122,"&lt;="&amp;B30, ReadingList!$B$2:$B$122,"&gt;"&amp;B29, ReadingList!$G$2:$G$122, $E$2) + COUNTIFS(ReadingList!$B$2:$B$122,"&lt;="&amp;B30, ReadingList!$B$2:$B$122,"&gt;"&amp;B29, ReadingList!$G$2:$G$122, "Body")</f>
        <v>0</v>
      </c>
      <c r="E30" s="31">
        <f>COUNTIFS(ReadingList!$B$2:$B$122,"&lt;="&amp;B30, ReadingList!$B$2:$B$122,"&gt;"&amp;B29,ReadingList!$G$2:$G$122,$C$2) + COUNTIFS(ReadingList!$B$2:$B$122,"&lt;="&amp;B30, ReadingList!$B$2:$B$122,"&gt;"&amp;B29,ReadingList!$G$2:$G$122,$D$2) + COUNTIFS(ReadingList!$B$2:$B$122,"&lt;="&amp;B30, ReadingList!$B$2:$B$122,"&gt;"&amp;B29,ReadingList!$G$2:$G$122,$E$2)</f>
        <v>0</v>
      </c>
      <c r="F30" s="14">
        <f t="shared" si="0"/>
        <v>0</v>
      </c>
      <c r="G30" s="6">
        <f t="shared" si="1"/>
        <v>0</v>
      </c>
      <c r="H30" s="31" t="str">
        <f>IF(SUM($D$9:D30)&gt;=$F$6,"Finished",IF(SUM($D$9:D30)&gt;=$H$6*COUNT($B$9:B30), "Yes", "No"))</f>
        <v>No</v>
      </c>
      <c r="I30" s="32"/>
      <c r="J30" s="32"/>
    </row>
    <row r="31" spans="2:21" ht="16" customHeight="1" x14ac:dyDescent="0.15">
      <c r="B31" s="33">
        <f t="shared" si="2"/>
        <v>44946</v>
      </c>
      <c r="C31" s="31">
        <f>COUNTIFS(ReadingList!$B$2:$B$122,"&lt;="&amp;B31, ReadingList!$B$2:$B$122,"&gt;"&amp;B30, ReadingList!$G$2:$G$122, "Abstract") + COUNTIFS(ReadingList!$B$2:$B$122,"&lt;="&amp;B31, ReadingList!$B$2:$B$122,"&gt;"&amp;B30, ReadingList!$G$2:$G$122, "No access")</f>
        <v>0</v>
      </c>
      <c r="D31" s="31">
        <f>COUNTIFS(ReadingList!$B$2:$B$122,"&lt;="&amp;B31, ReadingList!$B$2:$B$122,"&gt;"&amp;B30, ReadingList!$G$2:$G$122, $C$2) + COUNTIFS(ReadingList!$B$2:$B$122,"&lt;="&amp;B31, ReadingList!$B$2:$B$122,"&gt;"&amp;B30, ReadingList!$G$2:$G$122, $D$2) + COUNTIFS(ReadingList!$B$2:$B$122,"&lt;="&amp;B31, ReadingList!$B$2:$B$122,"&gt;"&amp;B30, ReadingList!$G$2:$G$122, $E$2) + COUNTIFS(ReadingList!$B$2:$B$122,"&lt;="&amp;B31, ReadingList!$B$2:$B$122,"&gt;"&amp;B30, ReadingList!$G$2:$G$122, "Body")</f>
        <v>0</v>
      </c>
      <c r="E31" s="31">
        <f>COUNTIFS(ReadingList!$B$2:$B$122,"&lt;="&amp;B31, ReadingList!$B$2:$B$122,"&gt;"&amp;B30,ReadingList!$G$2:$G$122,$C$2) + COUNTIFS(ReadingList!$B$2:$B$122,"&lt;="&amp;B31, ReadingList!$B$2:$B$122,"&gt;"&amp;B30,ReadingList!$G$2:$G$122,$D$2) + COUNTIFS(ReadingList!$B$2:$B$122,"&lt;="&amp;B31, ReadingList!$B$2:$B$122,"&gt;"&amp;B30,ReadingList!$G$2:$G$122,$E$2)</f>
        <v>0</v>
      </c>
      <c r="F31" s="14">
        <f t="shared" si="0"/>
        <v>0</v>
      </c>
      <c r="G31" s="6">
        <f t="shared" si="1"/>
        <v>0</v>
      </c>
      <c r="H31" s="31" t="str">
        <f>IF(SUM($D$9:D31)&gt;=$F$6,"Finished",IF(SUM($D$9:D31)&gt;=$H$6*COUNT($B$9:B31), "Yes", "No"))</f>
        <v>No</v>
      </c>
      <c r="I31" s="32"/>
      <c r="J31" s="32"/>
    </row>
    <row r="32" spans="2:21" ht="16" customHeight="1" x14ac:dyDescent="0.15">
      <c r="B32" s="33">
        <f t="shared" si="2"/>
        <v>44949</v>
      </c>
      <c r="C32" s="31">
        <f>COUNTIFS(ReadingList!$B$2:$B$122,"&lt;="&amp;B32, ReadingList!$B$2:$B$122,"&gt;"&amp;B31, ReadingList!$G$2:$G$122, "Abstract") + COUNTIFS(ReadingList!$B$2:$B$122,"&lt;="&amp;B32, ReadingList!$B$2:$B$122,"&gt;"&amp;B31, ReadingList!$G$2:$G$122, "No access")</f>
        <v>0</v>
      </c>
      <c r="D32" s="31">
        <f>COUNTIFS(ReadingList!$B$2:$B$122,"&lt;="&amp;B32, ReadingList!$B$2:$B$122,"&gt;"&amp;B31, ReadingList!$G$2:$G$122, $C$2) + COUNTIFS(ReadingList!$B$2:$B$122,"&lt;="&amp;B32, ReadingList!$B$2:$B$122,"&gt;"&amp;B31, ReadingList!$G$2:$G$122, $D$2) + COUNTIFS(ReadingList!$B$2:$B$122,"&lt;="&amp;B32, ReadingList!$B$2:$B$122,"&gt;"&amp;B31, ReadingList!$G$2:$G$122, $E$2) + COUNTIFS(ReadingList!$B$2:$B$122,"&lt;="&amp;B32, ReadingList!$B$2:$B$122,"&gt;"&amp;B31, ReadingList!$G$2:$G$122, "Body")</f>
        <v>0</v>
      </c>
      <c r="E32" s="31">
        <f>COUNTIFS(ReadingList!$B$2:$B$122,"&lt;="&amp;B32, ReadingList!$B$2:$B$122,"&gt;"&amp;B31,ReadingList!$G$2:$G$122,$C$2) + COUNTIFS(ReadingList!$B$2:$B$122,"&lt;="&amp;B32, ReadingList!$B$2:$B$122,"&gt;"&amp;B31,ReadingList!$G$2:$G$122,$D$2) + COUNTIFS(ReadingList!$B$2:$B$122,"&lt;="&amp;B32, ReadingList!$B$2:$B$122,"&gt;"&amp;B31,ReadingList!$G$2:$G$122,$E$2)</f>
        <v>0</v>
      </c>
      <c r="F32" s="14">
        <f t="shared" si="0"/>
        <v>0</v>
      </c>
      <c r="G32" s="6">
        <f t="shared" si="1"/>
        <v>0</v>
      </c>
      <c r="H32" s="31" t="str">
        <f>IF(SUM($D$9:D32)&gt;=$F$6,"Finished",IF(SUM($D$9:D32)&gt;=$H$6*COUNT($B$9:B32), "Yes", "No"))</f>
        <v>No</v>
      </c>
      <c r="I32" s="32"/>
      <c r="J32" s="32"/>
    </row>
    <row r="33" spans="2:10" ht="16" customHeight="1" x14ac:dyDescent="0.15">
      <c r="B33" s="33">
        <f t="shared" si="2"/>
        <v>44950</v>
      </c>
      <c r="C33" s="31">
        <f>COUNTIFS(ReadingList!$B$2:$B$122,"&lt;="&amp;B33, ReadingList!$B$2:$B$122,"&gt;"&amp;B32, ReadingList!$G$2:$G$122, "Abstract") + COUNTIFS(ReadingList!$B$2:$B$122,"&lt;="&amp;B33, ReadingList!$B$2:$B$122,"&gt;"&amp;B32, ReadingList!$G$2:$G$122, "No access")</f>
        <v>0</v>
      </c>
      <c r="D33" s="31">
        <f>COUNTIFS(ReadingList!$B$2:$B$122,"&lt;="&amp;B33, ReadingList!$B$2:$B$122,"&gt;"&amp;B32, ReadingList!$G$2:$G$122, $C$2) + COUNTIFS(ReadingList!$B$2:$B$122,"&lt;="&amp;B33, ReadingList!$B$2:$B$122,"&gt;"&amp;B32, ReadingList!$G$2:$G$122, $D$2) + COUNTIFS(ReadingList!$B$2:$B$122,"&lt;="&amp;B33, ReadingList!$B$2:$B$122,"&gt;"&amp;B32, ReadingList!$G$2:$G$122, $E$2) + COUNTIFS(ReadingList!$B$2:$B$122,"&lt;="&amp;B33, ReadingList!$B$2:$B$122,"&gt;"&amp;B32, ReadingList!$G$2:$G$122, "Body")</f>
        <v>0</v>
      </c>
      <c r="E33" s="31">
        <f>COUNTIFS(ReadingList!$B$2:$B$122,"&lt;="&amp;B33, ReadingList!$B$2:$B$122,"&gt;"&amp;B32,ReadingList!$G$2:$G$122,$C$2) + COUNTIFS(ReadingList!$B$2:$B$122,"&lt;="&amp;B33, ReadingList!$B$2:$B$122,"&gt;"&amp;B32,ReadingList!$G$2:$G$122,$D$2) + COUNTIFS(ReadingList!$B$2:$B$122,"&lt;="&amp;B33, ReadingList!$B$2:$B$122,"&gt;"&amp;B32,ReadingList!$G$2:$G$122,$E$2)</f>
        <v>0</v>
      </c>
      <c r="F33" s="14">
        <f t="shared" si="0"/>
        <v>0</v>
      </c>
      <c r="G33" s="6">
        <f t="shared" si="1"/>
        <v>0</v>
      </c>
      <c r="H33" s="31" t="str">
        <f>IF(SUM($D$9:D33)&gt;=$F$6,"Finished",IF(SUM($D$9:D33)&gt;=$H$6*COUNT($B$9:B33), "Yes", "No"))</f>
        <v>No</v>
      </c>
      <c r="I33" s="32"/>
      <c r="J33" s="32"/>
    </row>
    <row r="34" spans="2:10" ht="16" customHeight="1" x14ac:dyDescent="0.15">
      <c r="B34" s="35"/>
    </row>
  </sheetData>
  <mergeCells count="3">
    <mergeCell ref="C5:D5"/>
    <mergeCell ref="C1:E1"/>
    <mergeCell ref="K1:N1"/>
  </mergeCells>
  <conditionalFormatting sqref="H9:H33">
    <cfRule type="containsText" dxfId="1" priority="2" operator="containsText" text="No">
      <formula>NOT(ISERROR(SEARCH("No",H9)))</formula>
    </cfRule>
    <cfRule type="containsText" dxfId="0" priority="3" operator="containsText" text="Yes">
      <formula>NOT(ISERROR(SEARCH("Yes",H9)))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C3C5-7958-B14E-AA23-D9A138ADD30B}">
  <dimension ref="A1:L15"/>
  <sheetViews>
    <sheetView zoomScale="108" workbookViewId="0"/>
  </sheetViews>
  <sheetFormatPr baseColWidth="10" defaultRowHeight="16" x14ac:dyDescent="0.2"/>
  <cols>
    <col min="1" max="1" width="5" customWidth="1"/>
    <col min="2" max="2" width="2.1640625" bestFit="1" customWidth="1"/>
    <col min="3" max="3" width="23.6640625" bestFit="1" customWidth="1"/>
    <col min="4" max="4" width="22.6640625" bestFit="1" customWidth="1"/>
    <col min="5" max="5" width="15.6640625" bestFit="1" customWidth="1"/>
    <col min="6" max="6" width="27.5" bestFit="1" customWidth="1"/>
    <col min="7" max="7" width="12.33203125" bestFit="1" customWidth="1"/>
    <col min="8" max="8" width="13.5" bestFit="1" customWidth="1"/>
    <col min="11" max="11" width="18.6640625" bestFit="1" customWidth="1"/>
  </cols>
  <sheetData>
    <row r="1" spans="1:12" x14ac:dyDescent="0.2">
      <c r="A1" s="19"/>
      <c r="B1" s="19"/>
      <c r="C1" s="19"/>
      <c r="D1" s="19"/>
      <c r="E1" s="19"/>
      <c r="F1" s="19"/>
      <c r="G1" s="19"/>
      <c r="H1" s="19"/>
      <c r="I1" s="19"/>
      <c r="J1" s="19"/>
      <c r="K1" s="19"/>
      <c r="L1" s="19"/>
    </row>
    <row r="2" spans="1:12" x14ac:dyDescent="0.2">
      <c r="A2" s="19"/>
      <c r="B2" s="19"/>
      <c r="C2" s="19"/>
      <c r="D2" s="19"/>
      <c r="E2" s="20"/>
      <c r="F2" s="20"/>
      <c r="G2" s="19"/>
      <c r="H2" s="44" t="s">
        <v>880</v>
      </c>
      <c r="I2" s="44"/>
      <c r="J2" s="44"/>
      <c r="K2" s="44"/>
      <c r="L2" s="19"/>
    </row>
    <row r="3" spans="1:12" x14ac:dyDescent="0.2">
      <c r="A3" s="19"/>
      <c r="B3" s="19"/>
      <c r="C3" s="19"/>
      <c r="D3" s="19"/>
      <c r="E3" s="20"/>
      <c r="F3" s="20"/>
      <c r="G3" s="19"/>
      <c r="H3" s="21" t="s">
        <v>885</v>
      </c>
      <c r="I3" s="21" t="s">
        <v>303</v>
      </c>
      <c r="J3" s="21" t="s">
        <v>376</v>
      </c>
      <c r="K3" s="21" t="s">
        <v>886</v>
      </c>
      <c r="L3" s="19"/>
    </row>
    <row r="4" spans="1:12" x14ac:dyDescent="0.2">
      <c r="A4" s="19"/>
      <c r="B4" s="22">
        <v>1</v>
      </c>
      <c r="C4" s="22" t="s">
        <v>870</v>
      </c>
      <c r="D4" s="23" t="s">
        <v>0</v>
      </c>
      <c r="E4" s="23" t="s">
        <v>36</v>
      </c>
      <c r="F4" s="23" t="s">
        <v>138</v>
      </c>
      <c r="G4" s="23"/>
      <c r="H4" s="24">
        <v>18300</v>
      </c>
      <c r="I4" s="24">
        <v>5607</v>
      </c>
      <c r="J4" s="24">
        <v>88992</v>
      </c>
      <c r="K4" s="24">
        <v>38348</v>
      </c>
      <c r="L4" s="19"/>
    </row>
    <row r="5" spans="1:12" x14ac:dyDescent="0.2">
      <c r="A5" s="19"/>
      <c r="B5" s="19"/>
      <c r="C5" s="19"/>
      <c r="D5" s="19" t="s">
        <v>35</v>
      </c>
      <c r="E5" s="19" t="s">
        <v>887</v>
      </c>
      <c r="F5" s="42" t="s">
        <v>889</v>
      </c>
      <c r="G5" s="42" t="s">
        <v>879</v>
      </c>
      <c r="H5" s="25"/>
      <c r="I5" s="25"/>
      <c r="J5" s="25"/>
      <c r="K5" s="25"/>
      <c r="L5" s="19"/>
    </row>
    <row r="6" spans="1:12" x14ac:dyDescent="0.2">
      <c r="A6" s="19"/>
      <c r="B6" s="26"/>
      <c r="C6" s="26"/>
      <c r="D6" s="26"/>
      <c r="E6" s="26" t="s">
        <v>888</v>
      </c>
      <c r="F6" s="43"/>
      <c r="G6" s="43"/>
      <c r="H6" s="27">
        <v>10400</v>
      </c>
      <c r="I6" s="27">
        <v>27</v>
      </c>
      <c r="J6" s="27">
        <v>53</v>
      </c>
      <c r="K6" s="27">
        <v>59</v>
      </c>
      <c r="L6" s="19"/>
    </row>
    <row r="7" spans="1:12" x14ac:dyDescent="0.2">
      <c r="A7" s="19"/>
      <c r="B7" s="19">
        <v>2</v>
      </c>
      <c r="C7" s="19" t="s">
        <v>873</v>
      </c>
      <c r="D7" s="19" t="s">
        <v>874</v>
      </c>
      <c r="E7" s="19" t="s">
        <v>871</v>
      </c>
      <c r="F7" s="19"/>
      <c r="G7" s="19"/>
      <c r="H7" s="25"/>
      <c r="I7" s="25"/>
      <c r="J7" s="25"/>
      <c r="K7" s="25"/>
      <c r="L7" s="19"/>
    </row>
    <row r="8" spans="1:12" x14ac:dyDescent="0.2">
      <c r="A8" s="19"/>
      <c r="B8" s="19"/>
      <c r="C8" s="19"/>
      <c r="D8" s="26"/>
      <c r="E8" s="26" t="s">
        <v>872</v>
      </c>
      <c r="F8" s="26"/>
      <c r="G8" s="26"/>
      <c r="H8" s="27">
        <v>7780</v>
      </c>
      <c r="I8" s="27">
        <v>27</v>
      </c>
      <c r="J8" s="27">
        <v>53</v>
      </c>
      <c r="K8" s="27">
        <v>58</v>
      </c>
      <c r="L8" s="19"/>
    </row>
    <row r="9" spans="1:12" x14ac:dyDescent="0.2">
      <c r="A9" s="19"/>
      <c r="B9" s="19"/>
      <c r="C9" s="19"/>
      <c r="D9" s="19" t="s">
        <v>931</v>
      </c>
      <c r="E9" s="19" t="s">
        <v>875</v>
      </c>
      <c r="F9" s="19" t="s">
        <v>876</v>
      </c>
      <c r="G9" s="19"/>
      <c r="H9" s="25">
        <v>150</v>
      </c>
      <c r="I9" s="25">
        <v>18</v>
      </c>
      <c r="J9" s="25">
        <v>30</v>
      </c>
      <c r="K9" s="25">
        <v>26</v>
      </c>
      <c r="L9" s="19"/>
    </row>
    <row r="10" spans="1:12" x14ac:dyDescent="0.2">
      <c r="A10" s="19"/>
      <c r="B10" s="22">
        <v>3</v>
      </c>
      <c r="C10" s="22" t="s">
        <v>877</v>
      </c>
      <c r="D10" s="22" t="s">
        <v>878</v>
      </c>
      <c r="E10" s="22"/>
      <c r="F10" s="22"/>
      <c r="G10" s="22"/>
      <c r="H10" s="28"/>
      <c r="I10" s="28"/>
      <c r="J10" s="28"/>
      <c r="K10" s="28"/>
      <c r="L10" s="19"/>
    </row>
    <row r="11" spans="1:12" x14ac:dyDescent="0.2">
      <c r="A11" s="19"/>
      <c r="B11" s="26"/>
      <c r="C11" s="26"/>
      <c r="D11" s="26" t="s">
        <v>127</v>
      </c>
      <c r="E11" s="26"/>
      <c r="F11" s="26"/>
      <c r="G11" s="26"/>
      <c r="H11" s="27">
        <f>SUM(H12:H14)</f>
        <v>1</v>
      </c>
      <c r="I11" s="27">
        <f t="shared" ref="I11:K11" si="0">SUM(I12:I14)</f>
        <v>1</v>
      </c>
      <c r="J11" s="27">
        <f t="shared" si="0"/>
        <v>0</v>
      </c>
      <c r="K11" s="27">
        <f t="shared" si="0"/>
        <v>0</v>
      </c>
      <c r="L11" s="19"/>
    </row>
    <row r="12" spans="1:12" x14ac:dyDescent="0.2">
      <c r="A12" s="19"/>
      <c r="B12" s="19">
        <v>4</v>
      </c>
      <c r="C12" s="19" t="s">
        <v>884</v>
      </c>
      <c r="D12" s="19"/>
      <c r="E12" s="19"/>
      <c r="F12" s="23" t="s">
        <v>881</v>
      </c>
      <c r="G12" s="23"/>
      <c r="H12" s="23">
        <f>COUNTIFS(ReadingList!$G$2:$G$127,"SingleProblem",ReadingList!$N$2:$N$127,"GoogleScholar")</f>
        <v>0</v>
      </c>
      <c r="I12" s="23">
        <f>COUNTIFS(ReadingList!$G$2:$G$127,"SingleProblem",ReadingList!$N$2:$N$127,"WoS")</f>
        <v>0</v>
      </c>
      <c r="J12" s="23">
        <f>COUNTIFS(ReadingList!$G$2:$G$127,"SingleProblem",ReadingList!$N$2:$N$127,"Scopus")</f>
        <v>0</v>
      </c>
      <c r="K12" s="23">
        <f>COUNTIFS(ReadingList!$G$2:$G$127,"SingleProblem",ReadingList!$N$2:$N$127,"Compendex") + COUNTIFS(ReadingList!$G$2:$G$127,"SingleProblem",ReadingList!$N$2:$N$127,"Inspec")</f>
        <v>0</v>
      </c>
      <c r="L12" s="19"/>
    </row>
    <row r="13" spans="1:12" x14ac:dyDescent="0.2">
      <c r="A13" s="19"/>
      <c r="B13" s="19"/>
      <c r="C13" s="19"/>
      <c r="D13" s="19"/>
      <c r="E13" s="19"/>
      <c r="F13" s="23" t="s">
        <v>882</v>
      </c>
      <c r="G13" s="23"/>
      <c r="H13" s="23">
        <f>COUNTIFS(ReadingList!$G$2:$G$127,"MultiProblem",ReadingList!$N$2:$N$127,"GoogleScholar")</f>
        <v>1</v>
      </c>
      <c r="I13" s="23">
        <f>COUNTIFS(ReadingList!$G$2:$G$127,"MultiProblem",ReadingList!$N$2:$N$127,"WoS")</f>
        <v>0</v>
      </c>
      <c r="J13" s="23">
        <f>COUNTIFS(ReadingList!$G$2:$G$127,"MultiProblem",ReadingList!$N$2:$N$127,"Scopus")</f>
        <v>0</v>
      </c>
      <c r="K13" s="23">
        <f>COUNTIFS(ReadingList!$G$2:$G$127,"MultiProblem",ReadingList!$N$2:$N$127,"Compendex") + COUNTIFS(ReadingList!$G$2:$G$127,"MultiProblem",ReadingList!$N$2:$N$127,"Inspec")</f>
        <v>0</v>
      </c>
      <c r="L13" s="19"/>
    </row>
    <row r="14" spans="1:12" x14ac:dyDescent="0.2">
      <c r="A14" s="19"/>
      <c r="B14" s="26"/>
      <c r="C14" s="26"/>
      <c r="D14" s="26"/>
      <c r="E14" s="26"/>
      <c r="F14" s="26" t="s">
        <v>883</v>
      </c>
      <c r="G14" s="26"/>
      <c r="H14" s="23">
        <f>COUNTIFS(ReadingList!$G$2:$G$127,"NetworkProblem",ReadingList!$N$2:$N$127,"GoogleScholar")</f>
        <v>0</v>
      </c>
      <c r="I14" s="23">
        <f>COUNTIFS(ReadingList!$G$2:$G$127,"NetworkProblem",ReadingList!$N$2:$N$127,"WoS")</f>
        <v>1</v>
      </c>
      <c r="J14" s="23">
        <f>COUNTIFS(ReadingList!$G$2:$G$127,"NetworkProblem",ReadingList!$N$2:$N$127,"Scopus")</f>
        <v>0</v>
      </c>
      <c r="K14" s="23">
        <f>COUNTIFS(ReadingList!$G$2:$G$127,"NetworkProblem",ReadingList!$N$2:$N$127,"Compendex") + COUNTIFS(ReadingList!$G$2:$G$127,"NetworkProblem",ReadingList!$N$2:$N$127,"Inspec")</f>
        <v>0</v>
      </c>
      <c r="L14" s="19"/>
    </row>
    <row r="15" spans="1:12" x14ac:dyDescent="0.2">
      <c r="A15" s="19"/>
      <c r="B15" s="45" t="str">
        <f>_xlfn.CONCAT("*There exist ",Dashboard!B6," unique articles. Of those articles, ",COUNTIF(ReadingList!$G$2:$G$127,"Literature review")," correspond to literature reviews.")</f>
        <v>*There exist 126 unique articles. Of those articles, 11 correspond to literature reviews.</v>
      </c>
      <c r="C15" s="45"/>
      <c r="D15" s="45"/>
      <c r="E15" s="45"/>
      <c r="F15" s="45"/>
      <c r="G15" s="45"/>
      <c r="H15" s="45"/>
      <c r="I15" s="45"/>
      <c r="J15" s="45"/>
      <c r="K15" s="45"/>
      <c r="L15" s="19"/>
    </row>
  </sheetData>
  <mergeCells count="4">
    <mergeCell ref="F5:F6"/>
    <mergeCell ref="G5:G6"/>
    <mergeCell ref="H2:K2"/>
    <mergeCell ref="B15:K1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16BFF-F978-3448-AFC7-F090CA25BADE}">
  <dimension ref="A1:BB2"/>
  <sheetViews>
    <sheetView zoomScale="125" workbookViewId="0"/>
  </sheetViews>
  <sheetFormatPr baseColWidth="10" defaultColWidth="10.83203125" defaultRowHeight="16" x14ac:dyDescent="0.2"/>
  <cols>
    <col min="1" max="1" width="3.1640625" style="1" bestFit="1" customWidth="1"/>
    <col min="2" max="2" width="10.83203125" style="1"/>
    <col min="3" max="3" width="8.83203125" style="1" customWidth="1"/>
    <col min="4" max="4" width="13" style="1" bestFit="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2" width="12.1640625" style="1" bestFit="1" customWidth="1"/>
    <col min="13" max="13" width="12.83203125" style="1" bestFit="1" customWidth="1"/>
    <col min="14" max="14" width="12.1640625" style="1" bestFit="1" customWidth="1"/>
    <col min="15" max="15" width="19.6640625" style="1" bestFit="1" customWidth="1"/>
    <col min="16" max="17" width="19.6640625" style="1" customWidth="1"/>
    <col min="18" max="18" width="20.6640625" style="1" bestFit="1" customWidth="1"/>
    <col min="19" max="20" width="20.6640625" style="1" customWidth="1"/>
    <col min="21" max="21" width="11.83203125" style="1" bestFit="1" customWidth="1"/>
    <col min="22" max="22" width="4.6640625" style="1" bestFit="1" customWidth="1"/>
    <col min="23" max="23" width="11.83203125" style="1" bestFit="1" customWidth="1"/>
    <col min="24" max="24" width="17.33203125" style="1" bestFit="1" customWidth="1"/>
    <col min="25" max="25" width="12.5" style="1" bestFit="1" customWidth="1"/>
    <col min="26" max="26" width="38.6640625" style="1" bestFit="1" customWidth="1"/>
    <col min="27" max="27" width="36.33203125" style="1" bestFit="1" customWidth="1"/>
    <col min="28" max="29" width="23.33203125" style="1" bestFit="1" customWidth="1"/>
    <col min="30" max="30" width="13.1640625" style="1" bestFit="1" customWidth="1"/>
    <col min="31" max="31" width="14" style="1" bestFit="1" customWidth="1"/>
    <col min="32" max="32" width="21.83203125" style="1" bestFit="1" customWidth="1"/>
    <col min="33" max="33" width="13" style="1" bestFit="1" customWidth="1"/>
    <col min="34" max="34" width="13" style="1" customWidth="1"/>
    <col min="35" max="35" width="31.5" style="1" bestFit="1" customWidth="1"/>
    <col min="36" max="37" width="31.5" style="1" customWidth="1"/>
    <col min="38" max="38" width="20.83203125" style="1" bestFit="1" customWidth="1"/>
    <col min="39" max="40" width="23.83203125" style="1" bestFit="1" customWidth="1"/>
    <col min="41" max="41" width="24" style="1" bestFit="1" customWidth="1"/>
    <col min="42" max="42" width="11.83203125" style="1" bestFit="1" customWidth="1"/>
    <col min="43" max="43" width="11.83203125" style="1" customWidth="1"/>
    <col min="44" max="44" width="18" style="1" bestFit="1" customWidth="1"/>
    <col min="45" max="45" width="19.83203125" style="1" bestFit="1" customWidth="1"/>
    <col min="46" max="46" width="19.83203125" style="1" customWidth="1"/>
    <col min="47" max="47" width="25.83203125" style="1" bestFit="1" customWidth="1"/>
    <col min="48" max="49" width="25.83203125" style="1" customWidth="1"/>
    <col min="50" max="50" width="35.5" style="1" customWidth="1"/>
    <col min="51" max="51" width="34.5" style="1" customWidth="1"/>
    <col min="52" max="52" width="40" style="1" customWidth="1"/>
    <col min="53" max="53" width="21.1640625" style="1" bestFit="1" customWidth="1"/>
    <col min="54" max="54" width="26" style="1" customWidth="1"/>
    <col min="55" max="16384" width="10.83203125" style="1"/>
  </cols>
  <sheetData>
    <row r="1" spans="1:54" s="9" customFormat="1" ht="17" customHeight="1" x14ac:dyDescent="0.2">
      <c r="A1" s="9" t="s">
        <v>30</v>
      </c>
      <c r="B1" s="9" t="s">
        <v>252</v>
      </c>
      <c r="C1" s="10" t="s">
        <v>31</v>
      </c>
      <c r="D1" s="10" t="s">
        <v>6</v>
      </c>
      <c r="E1" s="10" t="s">
        <v>32</v>
      </c>
      <c r="F1" s="10" t="s">
        <v>0</v>
      </c>
      <c r="G1" s="10" t="s">
        <v>33</v>
      </c>
      <c r="H1" s="10" t="s">
        <v>34</v>
      </c>
      <c r="I1" s="10" t="s">
        <v>5</v>
      </c>
      <c r="J1" s="10" t="s">
        <v>35</v>
      </c>
      <c r="K1" s="10" t="s">
        <v>304</v>
      </c>
      <c r="L1" s="10" t="s">
        <v>314</v>
      </c>
      <c r="M1" s="10" t="s">
        <v>315</v>
      </c>
      <c r="N1" s="10" t="s">
        <v>316</v>
      </c>
      <c r="O1" s="10" t="s">
        <v>317</v>
      </c>
      <c r="P1" s="10" t="s">
        <v>318</v>
      </c>
      <c r="Q1" s="10" t="s">
        <v>319</v>
      </c>
      <c r="R1" s="10" t="s">
        <v>320</v>
      </c>
      <c r="S1" s="10" t="s">
        <v>321</v>
      </c>
      <c r="T1" s="10" t="s">
        <v>322</v>
      </c>
      <c r="U1" s="10" t="s">
        <v>270</v>
      </c>
      <c r="V1" s="10" t="s">
        <v>37</v>
      </c>
      <c r="W1" s="10" t="s">
        <v>38</v>
      </c>
      <c r="X1" s="10" t="s">
        <v>256</v>
      </c>
      <c r="Y1" s="10" t="s">
        <v>255</v>
      </c>
      <c r="Z1" s="10" t="s">
        <v>39</v>
      </c>
      <c r="AA1" s="11" t="s">
        <v>258</v>
      </c>
      <c r="AB1" s="10" t="s">
        <v>257</v>
      </c>
      <c r="AC1" s="11" t="s">
        <v>40</v>
      </c>
      <c r="AD1" s="10" t="s">
        <v>268</v>
      </c>
      <c r="AE1" s="10" t="s">
        <v>41</v>
      </c>
      <c r="AF1" s="10" t="s">
        <v>312</v>
      </c>
      <c r="AG1" s="11" t="s">
        <v>267</v>
      </c>
      <c r="AH1" s="11" t="s">
        <v>266</v>
      </c>
      <c r="AI1" s="11" t="s">
        <v>254</v>
      </c>
      <c r="AJ1" s="11" t="s">
        <v>253</v>
      </c>
      <c r="AK1" s="10" t="s">
        <v>43</v>
      </c>
      <c r="AL1" s="11" t="s">
        <v>44</v>
      </c>
      <c r="AM1" s="10" t="s">
        <v>45</v>
      </c>
      <c r="AN1" s="11" t="s">
        <v>259</v>
      </c>
      <c r="AO1" s="11" t="s">
        <v>260</v>
      </c>
      <c r="AP1" s="11" t="s">
        <v>262</v>
      </c>
      <c r="AQ1" s="11" t="s">
        <v>261</v>
      </c>
      <c r="AR1" s="10" t="s">
        <v>263</v>
      </c>
      <c r="AS1" s="10" t="s">
        <v>264</v>
      </c>
      <c r="AT1" s="10" t="s">
        <v>265</v>
      </c>
      <c r="AU1" s="10" t="s">
        <v>323</v>
      </c>
      <c r="AV1" s="10" t="s">
        <v>324</v>
      </c>
      <c r="AW1" s="10" t="s">
        <v>325</v>
      </c>
      <c r="AX1" s="11" t="s">
        <v>269</v>
      </c>
      <c r="AY1" s="10" t="s">
        <v>47</v>
      </c>
      <c r="AZ1" s="10" t="s">
        <v>48</v>
      </c>
      <c r="BA1" s="10" t="s">
        <v>49</v>
      </c>
      <c r="BB1" s="10" t="s">
        <v>50</v>
      </c>
    </row>
    <row r="2" spans="1:54" s="3" customFormat="1" ht="409" customHeight="1" x14ac:dyDescent="0.2">
      <c r="A2" s="13">
        <v>6</v>
      </c>
      <c r="B2" s="8">
        <f>VLOOKUP($A2,ReadingList!$A:$N,2,FALSE)</f>
        <v>44917</v>
      </c>
      <c r="D2" s="15" t="str">
        <f>VLOOKUP($A2,ReadingList!$A:$N,14,FALSE)</f>
        <v>GoogleScholar</v>
      </c>
      <c r="E2" s="3">
        <f>VLOOKUP($A2,ReadingList!$A:$N,11,FALSE)</f>
        <v>2015</v>
      </c>
      <c r="F2" s="3" t="str">
        <f>VLOOKUP($A2,ReadingList!$A:$N,8,FALSE)</f>
        <v>Deploying Public Charging Stations For Electric Vehicles On Urban Road Networks</v>
      </c>
      <c r="G2" s="3" t="str">
        <f>VLOOKUP($A2,ReadingList!$A:$N,10,FALSE)</f>
        <v>Transportation Research Part C: Emerging Technologies</v>
      </c>
      <c r="H2" s="3" t="str">
        <f>VLOOKUP($A2,ReadingList!$A:$N,9,FALSE)</f>
        <v>F He, Y Yin, J Zhou</v>
      </c>
      <c r="I2" s="3" t="str">
        <f>VLOOKUP($A2,ReadingList!$A:$N,13,FALSE)</f>
        <v>This paper explores how to optimally locate public charging stations for electric vehicles on a road network, considering drivers’ spontaneous adjustments and interactions of travel and recharging decisions. The proposed approach captures the interdependency of different trips conducted by the same driver by examining the complete tour of the driver. Given the limited driving range and recharging needs of battery electric vehicles, drivers of electric vehicles are assumed to simultaneously determine tour paths and recharging plans to minimize their travel and recharging time while guaranteeing not running out of charge before completing their tours. Moreover, different initial states of charge of batteries and risk-taking attitudes of drivers toward the uncertainty of energy consumption are considered. The resulting multi-class network equilibrium flow pattern is described by a mathematical program, which is solved by an iterative procedure. Based on the proposed equilibrium framework, the charging station location problem is then formulated as a bi-level mathematical program and solved by a genetic-algorithm-based procedure. Numerical examples are presented to demonstrate the models and provide insights on public charging infrastructure deployment and behaviors of electric vehicles.</v>
      </c>
      <c r="Y2" s="12"/>
      <c r="AA2" s="4"/>
      <c r="AB2" s="4"/>
      <c r="BB2" s="5"/>
    </row>
  </sheetData>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DD34D-E0D9-C545-B1E5-3E3CE99D9564}">
  <dimension ref="A1:BB2"/>
  <sheetViews>
    <sheetView zoomScale="101" workbookViewId="0"/>
  </sheetViews>
  <sheetFormatPr baseColWidth="10" defaultColWidth="10.83203125" defaultRowHeight="16" x14ac:dyDescent="0.2"/>
  <cols>
    <col min="1" max="1" width="2.83203125" style="1" bestFit="1" customWidth="1"/>
    <col min="2" max="2" width="10.83203125" style="1"/>
    <col min="3" max="4" width="8.83203125" style="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2" width="15.5" style="1" customWidth="1"/>
    <col min="13" max="13" width="16.6640625" style="1" bestFit="1" customWidth="1"/>
    <col min="14" max="14" width="19.5" style="1" bestFit="1" customWidth="1"/>
    <col min="15" max="15" width="15" style="1" bestFit="1" customWidth="1"/>
    <col min="16" max="16" width="11.83203125" style="1" bestFit="1" customWidth="1"/>
    <col min="17" max="17" width="18.6640625" style="1" bestFit="1" customWidth="1"/>
    <col min="18" max="18" width="28.83203125" style="1" bestFit="1" customWidth="1"/>
    <col min="19" max="19" width="24.83203125" style="1" bestFit="1" customWidth="1"/>
    <col min="20" max="20" width="11.83203125" style="1" bestFit="1" customWidth="1"/>
    <col min="21" max="21" width="38.6640625" style="1" bestFit="1" customWidth="1"/>
    <col min="22" max="22" width="36.33203125" style="1" bestFit="1" customWidth="1"/>
    <col min="23" max="24" width="23.33203125" style="1" bestFit="1" customWidth="1"/>
    <col min="25" max="25" width="12.33203125" style="1" bestFit="1" customWidth="1"/>
    <col min="26" max="26" width="14" style="1" bestFit="1" customWidth="1"/>
    <col min="27" max="27" width="11.83203125" style="1" bestFit="1" customWidth="1"/>
    <col min="28" max="28" width="21.83203125" style="1" bestFit="1" customWidth="1"/>
    <col min="29" max="29" width="13" style="1" bestFit="1" customWidth="1"/>
    <col min="30" max="30" width="13" style="1" customWidth="1"/>
    <col min="31" max="31" width="31.5" style="1" bestFit="1" customWidth="1"/>
    <col min="32" max="33" width="31.5" style="1" customWidth="1"/>
    <col min="34" max="34" width="20.83203125" style="1" bestFit="1" customWidth="1"/>
    <col min="35" max="36" width="23.83203125" style="1" bestFit="1" customWidth="1"/>
    <col min="37" max="37" width="13.5" style="1" customWidth="1"/>
    <col min="38" max="38" width="11.83203125" style="1" bestFit="1" customWidth="1"/>
    <col min="39" max="39" width="11.83203125" style="1" customWidth="1"/>
    <col min="40" max="40" width="18" style="1" bestFit="1" customWidth="1"/>
    <col min="41" max="41" width="19.83203125" style="1" bestFit="1" customWidth="1"/>
    <col min="42" max="42" width="19.83203125" style="1" customWidth="1"/>
    <col min="43" max="43" width="25.83203125" style="1" bestFit="1" customWidth="1"/>
    <col min="44" max="44" width="50.33203125" style="1" customWidth="1"/>
    <col min="45" max="45" width="35.5" style="1" customWidth="1"/>
    <col min="46" max="46" width="34.5" style="1" customWidth="1"/>
    <col min="47" max="47" width="40" style="1" customWidth="1"/>
    <col min="48" max="48" width="21.1640625" style="1" bestFit="1" customWidth="1"/>
    <col min="49" max="16384" width="10.83203125" style="1"/>
  </cols>
  <sheetData>
    <row r="1" spans="1:54" s="9" customFormat="1" ht="17" customHeight="1" x14ac:dyDescent="0.2">
      <c r="A1" s="9" t="s">
        <v>30</v>
      </c>
      <c r="B1" s="9" t="s">
        <v>252</v>
      </c>
      <c r="C1" s="10" t="s">
        <v>31</v>
      </c>
      <c r="D1" s="10" t="s">
        <v>6</v>
      </c>
      <c r="E1" s="10" t="s">
        <v>32</v>
      </c>
      <c r="F1" s="10" t="s">
        <v>0</v>
      </c>
      <c r="G1" s="10" t="s">
        <v>33</v>
      </c>
      <c r="H1" s="10" t="s">
        <v>34</v>
      </c>
      <c r="I1" s="10" t="s">
        <v>5</v>
      </c>
      <c r="J1" s="10" t="s">
        <v>35</v>
      </c>
      <c r="K1" s="10" t="s">
        <v>304</v>
      </c>
      <c r="L1" s="10" t="s">
        <v>314</v>
      </c>
      <c r="M1" s="10" t="s">
        <v>315</v>
      </c>
      <c r="N1" s="10" t="s">
        <v>316</v>
      </c>
      <c r="O1" s="10" t="s">
        <v>317</v>
      </c>
      <c r="P1" s="10" t="s">
        <v>318</v>
      </c>
      <c r="Q1" s="10" t="s">
        <v>319</v>
      </c>
      <c r="R1" s="10" t="s">
        <v>320</v>
      </c>
      <c r="S1" s="10" t="s">
        <v>321</v>
      </c>
      <c r="T1" s="10" t="s">
        <v>322</v>
      </c>
      <c r="U1" s="10" t="s">
        <v>270</v>
      </c>
      <c r="V1" s="10" t="s">
        <v>37</v>
      </c>
      <c r="W1" s="10" t="s">
        <v>38</v>
      </c>
      <c r="X1" s="10" t="s">
        <v>256</v>
      </c>
      <c r="Y1" s="10" t="s">
        <v>255</v>
      </c>
      <c r="Z1" s="10" t="s">
        <v>39</v>
      </c>
      <c r="AA1" s="11" t="s">
        <v>258</v>
      </c>
      <c r="AB1" s="10" t="s">
        <v>257</v>
      </c>
      <c r="AC1" s="11" t="s">
        <v>40</v>
      </c>
      <c r="AD1" s="10" t="s">
        <v>268</v>
      </c>
      <c r="AE1" s="10" t="s">
        <v>41</v>
      </c>
      <c r="AF1" s="10" t="s">
        <v>312</v>
      </c>
      <c r="AG1" s="11" t="s">
        <v>267</v>
      </c>
      <c r="AH1" s="11" t="s">
        <v>266</v>
      </c>
      <c r="AI1" s="11" t="s">
        <v>254</v>
      </c>
      <c r="AJ1" s="11" t="s">
        <v>253</v>
      </c>
      <c r="AK1" s="10" t="s">
        <v>43</v>
      </c>
      <c r="AL1" s="11" t="s">
        <v>44</v>
      </c>
      <c r="AM1" s="10" t="s">
        <v>45</v>
      </c>
      <c r="AN1" s="11" t="s">
        <v>259</v>
      </c>
      <c r="AO1" s="11" t="s">
        <v>260</v>
      </c>
      <c r="AP1" s="11" t="s">
        <v>262</v>
      </c>
      <c r="AQ1" s="11" t="s">
        <v>261</v>
      </c>
      <c r="AR1" s="10" t="s">
        <v>263</v>
      </c>
      <c r="AS1" s="10" t="s">
        <v>264</v>
      </c>
      <c r="AT1" s="10" t="s">
        <v>265</v>
      </c>
      <c r="AU1" s="10" t="s">
        <v>323</v>
      </c>
      <c r="AV1" s="10" t="s">
        <v>324</v>
      </c>
      <c r="AW1" s="10" t="s">
        <v>325</v>
      </c>
      <c r="AX1" s="11" t="s">
        <v>269</v>
      </c>
      <c r="AY1" s="10" t="s">
        <v>47</v>
      </c>
      <c r="AZ1" s="10" t="s">
        <v>48</v>
      </c>
      <c r="BA1" s="10" t="s">
        <v>49</v>
      </c>
      <c r="BB1" s="10" t="s">
        <v>50</v>
      </c>
    </row>
    <row r="2" spans="1:54" s="3" customFormat="1" ht="409" customHeight="1" x14ac:dyDescent="0.2">
      <c r="A2" s="13"/>
      <c r="B2" s="8"/>
      <c r="T2" s="12"/>
      <c r="V2" s="4"/>
      <c r="W2" s="4"/>
      <c r="AV2" s="5"/>
    </row>
  </sheetData>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38410-DE0A-2D4F-A8FA-57B8B72B657E}">
  <dimension ref="A1:BB2"/>
  <sheetViews>
    <sheetView zoomScale="101" workbookViewId="0"/>
  </sheetViews>
  <sheetFormatPr baseColWidth="10" defaultColWidth="10.83203125" defaultRowHeight="16" x14ac:dyDescent="0.2"/>
  <cols>
    <col min="1" max="1" width="2.83203125" style="1" bestFit="1" customWidth="1"/>
    <col min="2" max="2" width="10.83203125" style="1"/>
    <col min="3" max="4" width="8.83203125" style="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2" width="15.5" style="1" customWidth="1"/>
    <col min="13" max="13" width="16.6640625" style="1" bestFit="1" customWidth="1"/>
    <col min="14" max="14" width="19.5" style="1" bestFit="1" customWidth="1"/>
    <col min="15" max="15" width="15" style="1" bestFit="1" customWidth="1"/>
    <col min="16" max="16" width="14.33203125" style="1" bestFit="1" customWidth="1"/>
    <col min="17" max="17" width="18.6640625" style="1" bestFit="1" customWidth="1"/>
    <col min="18" max="18" width="28.83203125" style="1" bestFit="1" customWidth="1"/>
    <col min="19" max="19" width="24.83203125" style="1" bestFit="1" customWidth="1"/>
    <col min="20" max="20" width="8.6640625" style="1" bestFit="1" customWidth="1"/>
    <col min="21" max="21" width="38.6640625" style="1" bestFit="1" customWidth="1"/>
    <col min="22" max="22" width="36.33203125" style="1" bestFit="1" customWidth="1"/>
    <col min="23" max="24" width="23.33203125" style="1" bestFit="1" customWidth="1"/>
    <col min="25" max="25" width="12.33203125" style="1" bestFit="1" customWidth="1"/>
    <col min="26" max="26" width="14" style="1" bestFit="1" customWidth="1"/>
    <col min="27" max="27" width="11.83203125" style="1" bestFit="1" customWidth="1"/>
    <col min="28" max="28" width="21.83203125" style="1" bestFit="1" customWidth="1"/>
    <col min="29" max="29" width="13" style="1" bestFit="1" customWidth="1"/>
    <col min="30" max="30" width="13" style="1" customWidth="1"/>
    <col min="31" max="31" width="31.5" style="1" bestFit="1" customWidth="1"/>
    <col min="32" max="33" width="31.5" style="1" customWidth="1"/>
    <col min="34" max="34" width="20.83203125" style="1" bestFit="1" customWidth="1"/>
    <col min="35" max="36" width="23.83203125" style="1" bestFit="1" customWidth="1"/>
    <col min="37" max="37" width="13.5" style="1" customWidth="1"/>
    <col min="38" max="38" width="11.83203125" style="1" bestFit="1" customWidth="1"/>
    <col min="39" max="39" width="11.83203125" style="1" customWidth="1"/>
    <col min="40" max="40" width="18" style="1" bestFit="1" customWidth="1"/>
    <col min="41" max="41" width="19.83203125" style="1" bestFit="1" customWidth="1"/>
    <col min="42" max="42" width="19.83203125" style="1" customWidth="1"/>
    <col min="43" max="43" width="25.83203125" style="1" bestFit="1" customWidth="1"/>
    <col min="44" max="44" width="50.33203125" style="1" customWidth="1"/>
    <col min="45" max="45" width="35.5" style="1" customWidth="1"/>
    <col min="46" max="46" width="34.5" style="1" customWidth="1"/>
    <col min="47" max="47" width="40" style="1" customWidth="1"/>
    <col min="48" max="48" width="21.1640625" style="1" bestFit="1" customWidth="1"/>
    <col min="49" max="50" width="10.83203125" style="1"/>
    <col min="51" max="51" width="27.5" style="1" customWidth="1"/>
    <col min="52" max="52" width="20.5" style="1" customWidth="1"/>
    <col min="53" max="53" width="20.1640625" style="1" customWidth="1"/>
    <col min="54" max="54" width="18.5" style="1" customWidth="1"/>
    <col min="55" max="16384" width="10.83203125" style="1"/>
  </cols>
  <sheetData>
    <row r="1" spans="1:54" s="9" customFormat="1" ht="17" customHeight="1" x14ac:dyDescent="0.2">
      <c r="A1" s="9" t="s">
        <v>30</v>
      </c>
      <c r="B1" s="9" t="s">
        <v>252</v>
      </c>
      <c r="C1" s="10" t="s">
        <v>31</v>
      </c>
      <c r="D1" s="10" t="s">
        <v>6</v>
      </c>
      <c r="E1" s="10" t="s">
        <v>32</v>
      </c>
      <c r="F1" s="10" t="s">
        <v>0</v>
      </c>
      <c r="G1" s="10" t="s">
        <v>33</v>
      </c>
      <c r="H1" s="10" t="s">
        <v>34</v>
      </c>
      <c r="I1" s="10" t="s">
        <v>5</v>
      </c>
      <c r="J1" s="10" t="s">
        <v>35</v>
      </c>
      <c r="K1" s="10" t="s">
        <v>304</v>
      </c>
      <c r="L1" s="10" t="s">
        <v>314</v>
      </c>
      <c r="M1" s="10" t="s">
        <v>315</v>
      </c>
      <c r="N1" s="10" t="s">
        <v>316</v>
      </c>
      <c r="O1" s="10" t="s">
        <v>317</v>
      </c>
      <c r="P1" s="10" t="s">
        <v>318</v>
      </c>
      <c r="Q1" s="10" t="s">
        <v>319</v>
      </c>
      <c r="R1" s="10" t="s">
        <v>320</v>
      </c>
      <c r="S1" s="10" t="s">
        <v>321</v>
      </c>
      <c r="T1" s="10" t="s">
        <v>322</v>
      </c>
      <c r="U1" s="10" t="s">
        <v>270</v>
      </c>
      <c r="V1" s="10" t="s">
        <v>37</v>
      </c>
      <c r="W1" s="10" t="s">
        <v>38</v>
      </c>
      <c r="X1" s="10" t="s">
        <v>256</v>
      </c>
      <c r="Y1" s="10" t="s">
        <v>255</v>
      </c>
      <c r="Z1" s="10" t="s">
        <v>39</v>
      </c>
      <c r="AA1" s="11" t="s">
        <v>258</v>
      </c>
      <c r="AB1" s="10" t="s">
        <v>257</v>
      </c>
      <c r="AC1" s="11" t="s">
        <v>40</v>
      </c>
      <c r="AD1" s="10" t="s">
        <v>268</v>
      </c>
      <c r="AE1" s="10" t="s">
        <v>41</v>
      </c>
      <c r="AF1" s="10" t="s">
        <v>312</v>
      </c>
      <c r="AG1" s="11" t="s">
        <v>267</v>
      </c>
      <c r="AH1" s="11" t="s">
        <v>266</v>
      </c>
      <c r="AI1" s="11" t="s">
        <v>254</v>
      </c>
      <c r="AJ1" s="11" t="s">
        <v>253</v>
      </c>
      <c r="AK1" s="10" t="s">
        <v>43</v>
      </c>
      <c r="AL1" s="11" t="s">
        <v>44</v>
      </c>
      <c r="AM1" s="10" t="s">
        <v>45</v>
      </c>
      <c r="AN1" s="11" t="s">
        <v>259</v>
      </c>
      <c r="AO1" s="11" t="s">
        <v>260</v>
      </c>
      <c r="AP1" s="11" t="s">
        <v>262</v>
      </c>
      <c r="AQ1" s="11" t="s">
        <v>261</v>
      </c>
      <c r="AR1" s="10" t="s">
        <v>263</v>
      </c>
      <c r="AS1" s="10" t="s">
        <v>264</v>
      </c>
      <c r="AT1" s="10" t="s">
        <v>265</v>
      </c>
      <c r="AU1" s="10" t="s">
        <v>323</v>
      </c>
      <c r="AV1" s="10" t="s">
        <v>324</v>
      </c>
      <c r="AW1" s="10" t="s">
        <v>325</v>
      </c>
      <c r="AX1" s="11" t="s">
        <v>269</v>
      </c>
      <c r="AY1" s="10" t="s">
        <v>47</v>
      </c>
      <c r="AZ1" s="10" t="s">
        <v>48</v>
      </c>
      <c r="BA1" s="10" t="s">
        <v>49</v>
      </c>
      <c r="BB1" s="10" t="s">
        <v>50</v>
      </c>
    </row>
    <row r="2" spans="1:54" s="3" customFormat="1" ht="409" customHeight="1" x14ac:dyDescent="0.2">
      <c r="A2" s="13">
        <v>5</v>
      </c>
      <c r="B2" s="8">
        <v>44917</v>
      </c>
      <c r="C2" s="3" t="s">
        <v>844</v>
      </c>
      <c r="D2" s="3" t="s">
        <v>336</v>
      </c>
      <c r="E2" s="3">
        <v>2015</v>
      </c>
      <c r="F2" s="3" t="s">
        <v>430</v>
      </c>
      <c r="G2" s="3" t="s">
        <v>684</v>
      </c>
      <c r="H2" s="3" t="s">
        <v>431</v>
      </c>
      <c r="I2" s="3" t="s">
        <v>669</v>
      </c>
      <c r="J2" s="3" t="s">
        <v>895</v>
      </c>
      <c r="K2" s="3" t="s">
        <v>847</v>
      </c>
      <c r="L2" s="3" t="s">
        <v>271</v>
      </c>
      <c r="M2" s="3" t="s">
        <v>135</v>
      </c>
      <c r="N2" s="3" t="s">
        <v>107</v>
      </c>
      <c r="O2" s="3" t="s">
        <v>271</v>
      </c>
      <c r="P2" s="3">
        <v>1</v>
      </c>
      <c r="Q2" s="3">
        <v>5</v>
      </c>
      <c r="R2" s="3" t="s">
        <v>271</v>
      </c>
      <c r="S2" s="3" t="s">
        <v>896</v>
      </c>
      <c r="T2" s="12" t="s">
        <v>851</v>
      </c>
      <c r="U2" s="3" t="s">
        <v>897</v>
      </c>
      <c r="V2" s="4" t="s">
        <v>845</v>
      </c>
      <c r="W2" s="4" t="s">
        <v>237</v>
      </c>
      <c r="X2" s="3" t="s">
        <v>845</v>
      </c>
      <c r="Y2" s="3" t="s">
        <v>854</v>
      </c>
      <c r="Z2" s="3" t="s">
        <v>902</v>
      </c>
      <c r="AA2" s="3">
        <v>2000</v>
      </c>
      <c r="AB2" s="3" t="s">
        <v>856</v>
      </c>
      <c r="AC2" s="3" t="s">
        <v>901</v>
      </c>
      <c r="AD2" s="3" t="s">
        <v>845</v>
      </c>
      <c r="AE2" s="3" t="s">
        <v>845</v>
      </c>
      <c r="AF2" s="3" t="s">
        <v>903</v>
      </c>
      <c r="AG2" s="3" t="s">
        <v>904</v>
      </c>
      <c r="AH2" s="3" t="s">
        <v>899</v>
      </c>
      <c r="AI2" s="3" t="s">
        <v>207</v>
      </c>
      <c r="AJ2" s="3" t="s">
        <v>844</v>
      </c>
      <c r="AK2" s="3" t="s">
        <v>845</v>
      </c>
      <c r="AL2" s="3" t="s">
        <v>859</v>
      </c>
      <c r="AM2" s="3" t="s">
        <v>905</v>
      </c>
      <c r="AN2" s="3" t="s">
        <v>271</v>
      </c>
      <c r="AO2" s="3" t="s">
        <v>271</v>
      </c>
      <c r="AP2" s="3" t="s">
        <v>271</v>
      </c>
      <c r="AQ2" s="3" t="s">
        <v>271</v>
      </c>
      <c r="AR2" s="3" t="s">
        <v>900</v>
      </c>
      <c r="AS2" s="3" t="s">
        <v>861</v>
      </c>
      <c r="AT2" s="3" t="s">
        <v>845</v>
      </c>
      <c r="AU2" s="3" t="s">
        <v>845</v>
      </c>
      <c r="AV2" s="5" t="s">
        <v>845</v>
      </c>
      <c r="AW2" s="3" t="s">
        <v>863</v>
      </c>
      <c r="AX2" s="3" t="s">
        <v>845</v>
      </c>
      <c r="AY2" s="3" t="s">
        <v>907</v>
      </c>
      <c r="AZ2" s="3" t="s">
        <v>908</v>
      </c>
      <c r="BA2" s="3" t="s">
        <v>906</v>
      </c>
      <c r="BB2" s="3" t="s">
        <v>894</v>
      </c>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E4D8B-4133-484F-ABD6-81FC95802664}">
  <dimension ref="A1:BB5"/>
  <sheetViews>
    <sheetView zoomScale="101" workbookViewId="0"/>
  </sheetViews>
  <sheetFormatPr baseColWidth="10" defaultColWidth="10.83203125" defaultRowHeight="16" x14ac:dyDescent="0.2"/>
  <cols>
    <col min="1" max="1" width="2.83203125" style="1" bestFit="1" customWidth="1"/>
    <col min="2" max="2" width="10.83203125" style="1"/>
    <col min="3" max="3" width="8.83203125" style="1" customWidth="1"/>
    <col min="4" max="4" width="10.6640625" style="1" bestFit="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3" width="15.5" style="1" customWidth="1"/>
    <col min="14" max="14" width="16.6640625" style="1" bestFit="1" customWidth="1"/>
    <col min="15" max="15" width="19.6640625" style="1" bestFit="1" customWidth="1"/>
    <col min="16" max="16" width="20.33203125" style="1" bestFit="1" customWidth="1"/>
    <col min="17" max="17" width="19.5" style="1" bestFit="1" customWidth="1"/>
    <col min="18" max="18" width="20.6640625" style="1" bestFit="1" customWidth="1"/>
    <col min="19" max="19" width="21.5" style="1" bestFit="1" customWidth="1"/>
    <col min="20" max="20" width="20.6640625" style="1" bestFit="1" customWidth="1"/>
    <col min="21" max="21" width="18.6640625" style="1" bestFit="1" customWidth="1"/>
    <col min="22" max="22" width="28.83203125" style="1" bestFit="1" customWidth="1"/>
    <col min="23" max="23" width="24.83203125" style="1" bestFit="1" customWidth="1"/>
    <col min="24" max="24" width="17.33203125" style="1" bestFit="1" customWidth="1"/>
    <col min="25" max="25" width="38.6640625" style="1" bestFit="1" customWidth="1"/>
    <col min="26" max="26" width="36.33203125" style="1" bestFit="1" customWidth="1"/>
    <col min="27" max="28" width="23.33203125" style="1" bestFit="1" customWidth="1"/>
    <col min="29" max="29" width="13.1640625" style="1" bestFit="1" customWidth="1"/>
    <col min="30" max="30" width="14" style="1" bestFit="1" customWidth="1"/>
    <col min="31" max="31" width="22" style="1" bestFit="1" customWidth="1"/>
    <col min="32" max="32" width="31.5" style="1" bestFit="1" customWidth="1"/>
    <col min="33" max="34" width="31.5" style="1" customWidth="1"/>
    <col min="35" max="35" width="20.83203125" style="1" bestFit="1" customWidth="1"/>
    <col min="36" max="37" width="23.83203125" style="1" bestFit="1" customWidth="1"/>
    <col min="38" max="38" width="13.5" style="1" customWidth="1"/>
    <col min="39" max="39" width="11.83203125" style="1" bestFit="1" customWidth="1"/>
    <col min="40" max="40" width="11.83203125" style="1" customWidth="1"/>
    <col min="41" max="41" width="18" style="1" bestFit="1" customWidth="1"/>
    <col min="42" max="42" width="19.83203125" style="1" bestFit="1" customWidth="1"/>
    <col min="43" max="43" width="19.83203125" style="1" customWidth="1"/>
    <col min="44" max="44" width="25.83203125" style="1" bestFit="1" customWidth="1"/>
    <col min="45" max="45" width="50.33203125" style="1" customWidth="1"/>
    <col min="46" max="46" width="35.5" style="1" customWidth="1"/>
    <col min="47" max="47" width="34.5" style="1" customWidth="1"/>
    <col min="48" max="48" width="40" style="1" customWidth="1"/>
    <col min="49" max="49" width="21.1640625" style="1" bestFit="1" customWidth="1"/>
    <col min="50" max="50" width="19.5" style="1" bestFit="1" customWidth="1"/>
    <col min="51" max="51" width="46.5" style="1" customWidth="1"/>
    <col min="52" max="52" width="31.5" style="1" customWidth="1"/>
    <col min="53" max="53" width="22.33203125" style="1" bestFit="1" customWidth="1"/>
    <col min="54" max="54" width="29" style="1" customWidth="1"/>
    <col min="55" max="16384" width="10.83203125" style="1"/>
  </cols>
  <sheetData>
    <row r="1" spans="1:54" s="9" customFormat="1" ht="17" customHeight="1" x14ac:dyDescent="0.2">
      <c r="A1" s="9" t="s">
        <v>30</v>
      </c>
      <c r="B1" s="9" t="s">
        <v>252</v>
      </c>
      <c r="C1" s="10" t="s">
        <v>31</v>
      </c>
      <c r="D1" s="10" t="s">
        <v>6</v>
      </c>
      <c r="E1" s="10" t="s">
        <v>32</v>
      </c>
      <c r="F1" s="10" t="s">
        <v>0</v>
      </c>
      <c r="G1" s="10" t="s">
        <v>33</v>
      </c>
      <c r="H1" s="10" t="s">
        <v>34</v>
      </c>
      <c r="I1" s="10" t="s">
        <v>5</v>
      </c>
      <c r="J1" s="10" t="s">
        <v>35</v>
      </c>
      <c r="K1" s="10" t="s">
        <v>304</v>
      </c>
      <c r="L1" s="10" t="s">
        <v>314</v>
      </c>
      <c r="M1" s="10" t="s">
        <v>315</v>
      </c>
      <c r="N1" s="10" t="s">
        <v>316</v>
      </c>
      <c r="O1" s="10" t="s">
        <v>317</v>
      </c>
      <c r="P1" s="10" t="s">
        <v>318</v>
      </c>
      <c r="Q1" s="10" t="s">
        <v>319</v>
      </c>
      <c r="R1" s="10" t="s">
        <v>320</v>
      </c>
      <c r="S1" s="10" t="s">
        <v>321</v>
      </c>
      <c r="T1" s="10" t="s">
        <v>322</v>
      </c>
      <c r="U1" s="10" t="s">
        <v>270</v>
      </c>
      <c r="V1" s="10" t="s">
        <v>37</v>
      </c>
      <c r="W1" s="10" t="s">
        <v>38</v>
      </c>
      <c r="X1" s="10" t="s">
        <v>256</v>
      </c>
      <c r="Y1" s="10" t="s">
        <v>255</v>
      </c>
      <c r="Z1" s="10" t="s">
        <v>39</v>
      </c>
      <c r="AA1" s="11" t="s">
        <v>258</v>
      </c>
      <c r="AB1" s="10" t="s">
        <v>257</v>
      </c>
      <c r="AC1" s="11" t="s">
        <v>40</v>
      </c>
      <c r="AD1" s="10" t="s">
        <v>268</v>
      </c>
      <c r="AE1" s="10" t="s">
        <v>41</v>
      </c>
      <c r="AF1" s="10" t="s">
        <v>312</v>
      </c>
      <c r="AG1" s="11" t="s">
        <v>267</v>
      </c>
      <c r="AH1" s="11" t="s">
        <v>266</v>
      </c>
      <c r="AI1" s="11" t="s">
        <v>254</v>
      </c>
      <c r="AJ1" s="11" t="s">
        <v>253</v>
      </c>
      <c r="AK1" s="10" t="s">
        <v>43</v>
      </c>
      <c r="AL1" s="11" t="s">
        <v>44</v>
      </c>
      <c r="AM1" s="10" t="s">
        <v>45</v>
      </c>
      <c r="AN1" s="11" t="s">
        <v>259</v>
      </c>
      <c r="AO1" s="11" t="s">
        <v>260</v>
      </c>
      <c r="AP1" s="11" t="s">
        <v>262</v>
      </c>
      <c r="AQ1" s="11" t="s">
        <v>261</v>
      </c>
      <c r="AR1" s="10" t="s">
        <v>263</v>
      </c>
      <c r="AS1" s="10" t="s">
        <v>264</v>
      </c>
      <c r="AT1" s="10" t="s">
        <v>265</v>
      </c>
      <c r="AU1" s="10" t="s">
        <v>323</v>
      </c>
      <c r="AV1" s="10" t="s">
        <v>324</v>
      </c>
      <c r="AW1" s="10" t="s">
        <v>325</v>
      </c>
      <c r="AX1" s="11" t="s">
        <v>269</v>
      </c>
      <c r="AY1" s="10" t="s">
        <v>47</v>
      </c>
      <c r="AZ1" s="10" t="s">
        <v>48</v>
      </c>
      <c r="BA1" s="10" t="s">
        <v>49</v>
      </c>
      <c r="BB1" s="10" t="s">
        <v>50</v>
      </c>
    </row>
    <row r="2" spans="1:54" s="3" customFormat="1" ht="409" customHeight="1" x14ac:dyDescent="0.2">
      <c r="A2" s="13">
        <v>73</v>
      </c>
      <c r="B2" s="8">
        <v>44916</v>
      </c>
      <c r="C2" s="3" t="s">
        <v>844</v>
      </c>
      <c r="D2" s="15" t="s">
        <v>303</v>
      </c>
      <c r="E2" s="3">
        <v>2021</v>
      </c>
      <c r="F2" s="3" t="s">
        <v>562</v>
      </c>
      <c r="G2" s="3" t="s">
        <v>25</v>
      </c>
      <c r="H2" s="3" t="s">
        <v>563</v>
      </c>
      <c r="I2" s="3" t="s">
        <v>565</v>
      </c>
      <c r="J2" s="3" t="s">
        <v>846</v>
      </c>
      <c r="K2" s="3" t="s">
        <v>847</v>
      </c>
      <c r="L2" s="3" t="s">
        <v>135</v>
      </c>
      <c r="M2" s="3" t="s">
        <v>848</v>
      </c>
      <c r="N2" s="3" t="s">
        <v>849</v>
      </c>
      <c r="O2" s="3">
        <v>1</v>
      </c>
      <c r="P2" s="3">
        <v>4</v>
      </c>
      <c r="Q2" s="3">
        <v>3000</v>
      </c>
      <c r="R2" s="3" t="s">
        <v>850</v>
      </c>
      <c r="S2" s="3" t="s">
        <v>850</v>
      </c>
      <c r="T2" s="3" t="s">
        <v>851</v>
      </c>
      <c r="U2" s="3" t="s">
        <v>852</v>
      </c>
      <c r="V2" s="3" t="s">
        <v>845</v>
      </c>
      <c r="W2" s="3" t="s">
        <v>233</v>
      </c>
      <c r="X2" s="3" t="s">
        <v>853</v>
      </c>
      <c r="Y2" s="12" t="s">
        <v>854</v>
      </c>
      <c r="Z2" s="3" t="s">
        <v>855</v>
      </c>
      <c r="AA2" s="4">
        <v>3000</v>
      </c>
      <c r="AB2" s="4" t="s">
        <v>856</v>
      </c>
      <c r="AC2" s="3" t="s">
        <v>855</v>
      </c>
      <c r="AD2" s="3" t="s">
        <v>857</v>
      </c>
      <c r="AE2" s="3" t="s">
        <v>845</v>
      </c>
      <c r="AF2" s="3" t="s">
        <v>858</v>
      </c>
      <c r="AG2" s="3" t="s">
        <v>135</v>
      </c>
      <c r="AH2" s="3" t="s">
        <v>845</v>
      </c>
      <c r="AI2" s="3" t="s">
        <v>207</v>
      </c>
      <c r="AJ2" s="3" t="s">
        <v>844</v>
      </c>
      <c r="AK2" s="3" t="s">
        <v>845</v>
      </c>
      <c r="AL2" s="3" t="s">
        <v>859</v>
      </c>
      <c r="AM2" s="3" t="s">
        <v>845</v>
      </c>
      <c r="AN2" s="3" t="s">
        <v>845</v>
      </c>
      <c r="AO2" s="3" t="s">
        <v>845</v>
      </c>
      <c r="AP2" s="3" t="s">
        <v>845</v>
      </c>
      <c r="AQ2" s="3" t="s">
        <v>845</v>
      </c>
      <c r="AR2" s="3" t="s">
        <v>860</v>
      </c>
      <c r="AS2" s="3" t="s">
        <v>861</v>
      </c>
      <c r="AT2" s="3" t="s">
        <v>845</v>
      </c>
      <c r="AU2" s="3" t="s">
        <v>845</v>
      </c>
      <c r="AV2" s="3" t="s">
        <v>862</v>
      </c>
      <c r="AW2" s="3" t="s">
        <v>863</v>
      </c>
      <c r="AX2" s="3" t="s">
        <v>845</v>
      </c>
      <c r="AY2" s="5" t="s">
        <v>864</v>
      </c>
      <c r="AZ2" s="3" t="s">
        <v>865</v>
      </c>
      <c r="BA2" s="3" t="s">
        <v>866</v>
      </c>
      <c r="BB2" s="3" t="s">
        <v>867</v>
      </c>
    </row>
    <row r="3" spans="1:54" x14ac:dyDescent="0.2">
      <c r="A3" s="13"/>
      <c r="B3" s="8"/>
      <c r="C3" s="3"/>
      <c r="D3" s="15"/>
      <c r="E3" s="3"/>
      <c r="F3" s="3"/>
      <c r="G3" s="3"/>
      <c r="H3" s="3"/>
      <c r="I3" s="3"/>
      <c r="J3" s="3"/>
      <c r="K3" s="3"/>
      <c r="L3" s="3"/>
      <c r="M3" s="3"/>
      <c r="N3" s="3"/>
      <c r="O3" s="3"/>
      <c r="P3" s="3"/>
      <c r="Q3" s="3"/>
      <c r="R3" s="3"/>
      <c r="S3" s="3"/>
      <c r="T3" s="3"/>
      <c r="U3" s="3"/>
      <c r="V3" s="3"/>
      <c r="W3" s="3"/>
      <c r="X3" s="3"/>
      <c r="Y3" s="12"/>
      <c r="Z3" s="3"/>
      <c r="AA3" s="4"/>
      <c r="AB3" s="4"/>
      <c r="AC3" s="3"/>
      <c r="AD3" s="3"/>
      <c r="AE3" s="3"/>
      <c r="AF3" s="3"/>
      <c r="AG3" s="3"/>
      <c r="AH3" s="3"/>
      <c r="AI3" s="3"/>
      <c r="AJ3" s="3"/>
      <c r="AK3" s="3"/>
      <c r="AL3" s="3"/>
      <c r="AM3" s="3"/>
      <c r="AN3" s="3"/>
      <c r="AO3" s="3"/>
      <c r="AP3" s="3"/>
      <c r="AQ3" s="3"/>
      <c r="AR3" s="3"/>
      <c r="AS3" s="3"/>
      <c r="AT3" s="3"/>
      <c r="AU3" s="3"/>
      <c r="AV3" s="3"/>
      <c r="AW3" s="3"/>
      <c r="AX3" s="3"/>
      <c r="AY3" s="3"/>
      <c r="AZ3" s="3"/>
      <c r="BA3" s="3"/>
      <c r="BB3" s="5"/>
    </row>
    <row r="4" spans="1:54" x14ac:dyDescent="0.2">
      <c r="A4" s="3"/>
      <c r="B4" s="8"/>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row>
    <row r="5" spans="1:54" x14ac:dyDescent="0.2">
      <c r="A5" s="3"/>
      <c r="B5" s="8"/>
      <c r="C5" s="3"/>
      <c r="D5" s="3"/>
      <c r="E5" s="3"/>
      <c r="F5" s="3"/>
      <c r="G5" s="3"/>
      <c r="H5" s="3"/>
      <c r="I5" s="3"/>
      <c r="J5" s="3"/>
      <c r="K5" s="3"/>
      <c r="L5" s="3"/>
      <c r="M5" s="3"/>
      <c r="N5" s="3"/>
      <c r="O5" s="3"/>
      <c r="P5" s="3"/>
      <c r="Q5" s="3"/>
      <c r="R5" s="3"/>
      <c r="S5" s="3"/>
      <c r="T5" s="3"/>
      <c r="U5" s="3"/>
      <c r="V5" s="3"/>
      <c r="W5" s="3"/>
      <c r="X5" s="3"/>
      <c r="Y5" s="18"/>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row>
  </sheetData>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AF589-8DD5-CA4E-83FA-C9D3C63259AF}">
  <dimension ref="A1:H63"/>
  <sheetViews>
    <sheetView topLeftCell="A36" zoomScale="136" workbookViewId="0">
      <selection activeCell="B55" sqref="B55"/>
    </sheetView>
  </sheetViews>
  <sheetFormatPr baseColWidth="10" defaultColWidth="10.83203125" defaultRowHeight="16" x14ac:dyDescent="0.2"/>
  <cols>
    <col min="1" max="1" width="15.33203125" bestFit="1" customWidth="1"/>
    <col min="2" max="2" width="21.6640625" bestFit="1" customWidth="1"/>
    <col min="3" max="3" width="37.1640625" bestFit="1" customWidth="1"/>
    <col min="4" max="4" width="12.33203125" bestFit="1" customWidth="1"/>
    <col min="5" max="5" width="148.83203125" bestFit="1" customWidth="1"/>
    <col min="6" max="6" width="123.83203125" bestFit="1" customWidth="1"/>
  </cols>
  <sheetData>
    <row r="1" spans="1:8" x14ac:dyDescent="0.2">
      <c r="A1" t="s">
        <v>51</v>
      </c>
      <c r="B1" t="s">
        <v>52</v>
      </c>
      <c r="C1" t="s">
        <v>53</v>
      </c>
      <c r="D1" t="s">
        <v>54</v>
      </c>
      <c r="E1" t="s">
        <v>55</v>
      </c>
      <c r="F1" t="s">
        <v>56</v>
      </c>
      <c r="H1" t="s">
        <v>57</v>
      </c>
    </row>
    <row r="2" spans="1:8" x14ac:dyDescent="0.2">
      <c r="A2" t="s">
        <v>104</v>
      </c>
      <c r="B2" t="s">
        <v>105</v>
      </c>
      <c r="C2" t="s">
        <v>106</v>
      </c>
      <c r="D2" t="s">
        <v>107</v>
      </c>
      <c r="E2" t="s">
        <v>108</v>
      </c>
      <c r="F2" t="s">
        <v>109</v>
      </c>
      <c r="H2" t="str">
        <f>_xlfn.CONCAT(C2," &amp; ",D2," &amp; ",E2," &amp; ",F2," \\ ")</f>
        <v xml:space="preserve">Aggregator unit &amp; AU &amp; Is a central entity acting as an interface between EV users and the system operator or electricity market [4] \cite{han2017optimal}. &amp; 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 \\ </v>
      </c>
    </row>
    <row r="3" spans="1:8" x14ac:dyDescent="0.2">
      <c r="A3" t="s">
        <v>187</v>
      </c>
      <c r="B3" t="s">
        <v>110</v>
      </c>
      <c r="C3" t="s">
        <v>188</v>
      </c>
      <c r="D3" t="s">
        <v>189</v>
      </c>
      <c r="E3" t="s">
        <v>190</v>
      </c>
      <c r="H3" t="str">
        <f t="shared" ref="H3:H59" si="0">_xlfn.CONCAT(C3," &amp; ",D3," &amp; ",E3," &amp; ",F3," \\ ")</f>
        <v xml:space="preserve">Aging acceleration factor &amp; AAF &amp; Is a metric for determining how much a charging load impacts transformer life &amp;  \\ </v>
      </c>
    </row>
    <row r="4" spans="1:8" x14ac:dyDescent="0.2">
      <c r="A4" t="s">
        <v>217</v>
      </c>
      <c r="B4" t="s">
        <v>126</v>
      </c>
      <c r="C4" t="s">
        <v>218</v>
      </c>
      <c r="D4" t="s">
        <v>219</v>
      </c>
      <c r="E4" t="s">
        <v>220</v>
      </c>
      <c r="H4" t="str">
        <f t="shared" si="0"/>
        <v xml:space="preserve">Alternating direction method of multipliers &amp; ADMM &amp; This approach solves the cooperative charging problem decomposing the original problem into smaller subproblems that are assigned to each PEV and an aggregator &amp;  \\ </v>
      </c>
    </row>
    <row r="5" spans="1:8" x14ac:dyDescent="0.2">
      <c r="A5" t="s">
        <v>58</v>
      </c>
      <c r="B5" t="s">
        <v>59</v>
      </c>
      <c r="C5" t="s">
        <v>60</v>
      </c>
      <c r="D5" t="s">
        <v>61</v>
      </c>
      <c r="E5" t="s">
        <v>62</v>
      </c>
      <c r="H5" t="str">
        <f t="shared" si="0"/>
        <v xml:space="preserve">Average rate &amp; AR &amp; Scheduling algorithm that supply the minimum power of the EVSE capacity. &amp;  \\ </v>
      </c>
    </row>
    <row r="6" spans="1:8" x14ac:dyDescent="0.2">
      <c r="A6" t="s">
        <v>58</v>
      </c>
      <c r="B6" t="s">
        <v>63</v>
      </c>
      <c r="C6" s="2" t="s">
        <v>64</v>
      </c>
      <c r="D6" t="s">
        <v>65</v>
      </c>
      <c r="E6" t="s">
        <v>66</v>
      </c>
      <c r="H6" t="str">
        <f t="shared" si="0"/>
        <v xml:space="preserve">Backward-forward sweep &amp; BFS &amp; Algorithm to compute the power flow in a network &amp;  \\ </v>
      </c>
    </row>
    <row r="7" spans="1:8" x14ac:dyDescent="0.2">
      <c r="A7" t="s">
        <v>104</v>
      </c>
      <c r="B7" t="s">
        <v>110</v>
      </c>
      <c r="C7" t="s">
        <v>111</v>
      </c>
      <c r="E7" t="s">
        <v>112</v>
      </c>
      <c r="F7" t="s">
        <v>113</v>
      </c>
      <c r="H7" t="str">
        <f t="shared" si="0"/>
        <v xml:space="preserve">Battery capacity (kWh) &amp;  &amp; It is the maximum energy the battery can save &amp; Battery health, state of the battery. \\ </v>
      </c>
    </row>
    <row r="8" spans="1:8" x14ac:dyDescent="0.2">
      <c r="A8" t="s">
        <v>104</v>
      </c>
      <c r="B8" t="s">
        <v>110</v>
      </c>
      <c r="C8" t="s">
        <v>114</v>
      </c>
      <c r="E8" t="s">
        <v>115</v>
      </c>
      <c r="H8" t="str">
        <f t="shared" si="0"/>
        <v xml:space="preserve">Blackout &amp;  &amp; It is the loss of the electrical power network supply to an end user (a.k.a. power outage, powercut, a power out, a power blackout, a power failure or a power loss). &amp;  \\ </v>
      </c>
    </row>
    <row r="9" spans="1:8" x14ac:dyDescent="0.2">
      <c r="A9" t="s">
        <v>187</v>
      </c>
      <c r="B9" t="s">
        <v>110</v>
      </c>
      <c r="C9" t="s">
        <v>191</v>
      </c>
      <c r="E9" t="s">
        <v>192</v>
      </c>
      <c r="H9" t="str">
        <f t="shared" si="0"/>
        <v xml:space="preserve">Bottleneck &amp;  &amp; Line limits and transformer capacities across different voltage levels. &amp;  \\ </v>
      </c>
    </row>
    <row r="10" spans="1:8" x14ac:dyDescent="0.2">
      <c r="A10" t="s">
        <v>104</v>
      </c>
      <c r="B10" t="s">
        <v>110</v>
      </c>
      <c r="C10" t="s">
        <v>116</v>
      </c>
      <c r="E10" t="s">
        <v>117</v>
      </c>
      <c r="H10" t="str">
        <f t="shared" si="0"/>
        <v xml:space="preserve">Brownout &amp;  &amp; Phemonenon when there is an intentional or unintentional drop in the voltage. &amp;  \\ </v>
      </c>
    </row>
    <row r="11" spans="1:8" x14ac:dyDescent="0.2">
      <c r="A11" t="s">
        <v>217</v>
      </c>
      <c r="B11" t="s">
        <v>126</v>
      </c>
      <c r="C11" t="s">
        <v>221</v>
      </c>
      <c r="E11" t="s">
        <v>222</v>
      </c>
      <c r="F11" t="s">
        <v>223</v>
      </c>
      <c r="H11" t="str">
        <f t="shared" si="0"/>
        <v xml:space="preserve">Centralized charging &amp;  &amp; The AU decides when and how much to charge each EV by gathering the information of all EVs that demand energy. &amp; Centralized control, Direct control. \\ </v>
      </c>
    </row>
    <row r="12" spans="1:8" x14ac:dyDescent="0.2">
      <c r="A12" t="s">
        <v>104</v>
      </c>
      <c r="B12" t="s">
        <v>110</v>
      </c>
      <c r="C12" t="s">
        <v>118</v>
      </c>
      <c r="E12" t="s">
        <v>119</v>
      </c>
      <c r="H12" t="str">
        <f t="shared" si="0"/>
        <v xml:space="preserve">Charging capacity (kW) &amp;  &amp; It is the maximum power the battery stands &amp;  \\ </v>
      </c>
    </row>
    <row r="13" spans="1:8" x14ac:dyDescent="0.2">
      <c r="A13" t="s">
        <v>104</v>
      </c>
      <c r="B13" t="s">
        <v>110</v>
      </c>
      <c r="C13" t="s">
        <v>120</v>
      </c>
      <c r="H13" t="str">
        <f t="shared" si="0"/>
        <v xml:space="preserve">Charging efficiency &amp;  &amp;  &amp;  \\ </v>
      </c>
    </row>
    <row r="14" spans="1:8" x14ac:dyDescent="0.2">
      <c r="A14" t="s">
        <v>104</v>
      </c>
      <c r="B14" t="s">
        <v>105</v>
      </c>
      <c r="C14" t="s">
        <v>46</v>
      </c>
      <c r="E14" t="s">
        <v>121</v>
      </c>
      <c r="H14" t="str">
        <f t="shared" si="0"/>
        <v xml:space="preserve">Charging facility &amp;  &amp; Place where there is an EVSE. It can be either a station, a home, a parking and a workplace. &amp;  \\ </v>
      </c>
    </row>
    <row r="15" spans="1:8" x14ac:dyDescent="0.2">
      <c r="A15" t="s">
        <v>104</v>
      </c>
      <c r="B15" t="s">
        <v>105</v>
      </c>
      <c r="C15" t="s">
        <v>122</v>
      </c>
      <c r="E15" t="s">
        <v>123</v>
      </c>
      <c r="F15" t="s">
        <v>898</v>
      </c>
      <c r="H15" t="str">
        <f t="shared" si="0"/>
        <v xml:space="preserve">Charging pile &amp;  &amp; It is the box where the vehicle is connected through the cable. &amp; Charging spot, Charging post, Charging point, Charging outlet, Customer point of charge (CPOC), Charging socket, Charging hub, Charging machine, EV charger, Smart charger, Charging machine, EVSE port, Charger pilot \\ </v>
      </c>
    </row>
    <row r="16" spans="1:8" x14ac:dyDescent="0.2">
      <c r="A16" t="s">
        <v>104</v>
      </c>
      <c r="B16" t="s">
        <v>110</v>
      </c>
      <c r="C16" t="s">
        <v>124</v>
      </c>
      <c r="E16" t="s">
        <v>125</v>
      </c>
      <c r="H16" t="str">
        <f t="shared" si="0"/>
        <v xml:space="preserve">Charging power modulation &amp;  &amp; It is the capability of the AU to control the power supplied. &amp;  \\ </v>
      </c>
    </row>
    <row r="17" spans="1:8" x14ac:dyDescent="0.2">
      <c r="A17" t="s">
        <v>104</v>
      </c>
      <c r="B17" t="s">
        <v>126</v>
      </c>
      <c r="C17" t="s">
        <v>127</v>
      </c>
      <c r="E17" t="s">
        <v>128</v>
      </c>
      <c r="F17" t="s">
        <v>313</v>
      </c>
      <c r="H17" t="str">
        <f t="shared" si="0"/>
        <v xml:space="preserve">Coordinated charging &amp;  &amp; Energy supplied is controled under power availability and/or power grid constraints. &amp; Controlled charging, smart charging, charge management (CM), Optimized charging (OC), EV charging scheduling (EVCS), EV charging charging coordination (EVCC) \\ </v>
      </c>
    </row>
    <row r="18" spans="1:8" x14ac:dyDescent="0.2">
      <c r="A18" t="s">
        <v>217</v>
      </c>
      <c r="B18" t="s">
        <v>126</v>
      </c>
      <c r="C18" t="s">
        <v>224</v>
      </c>
      <c r="E18" t="s">
        <v>225</v>
      </c>
      <c r="F18" t="s">
        <v>226</v>
      </c>
      <c r="H18" t="str">
        <f t="shared" si="0"/>
        <v xml:space="preserve">Decentralized charging &amp;  &amp; Coordination methods in which the decision is taken by the EV under a negotiation process, e.g. a game, without information provided by the other EVs. &amp; Distributed charging, self-scheduling, transactive control, Indirect control. \\ </v>
      </c>
    </row>
    <row r="19" spans="1:8" x14ac:dyDescent="0.2">
      <c r="A19" t="s">
        <v>217</v>
      </c>
      <c r="B19" t="s">
        <v>126</v>
      </c>
      <c r="C19" t="s">
        <v>227</v>
      </c>
      <c r="E19" t="s">
        <v>228</v>
      </c>
      <c r="F19" t="s">
        <v>229</v>
      </c>
      <c r="H19" t="str">
        <f t="shared" si="0"/>
        <v xml:space="preserve">Distributed charging &amp;  &amp; EVs schedule their charging by themselves based on information provided by the AU about other EVs. &amp; Hierarchical charging, Aggregator-assisted charging. \\ </v>
      </c>
    </row>
    <row r="20" spans="1:8" x14ac:dyDescent="0.2">
      <c r="A20" t="s">
        <v>104</v>
      </c>
      <c r="B20" t="s">
        <v>129</v>
      </c>
      <c r="C20" t="s">
        <v>130</v>
      </c>
      <c r="D20" t="s">
        <v>131</v>
      </c>
      <c r="E20" t="s">
        <v>132</v>
      </c>
      <c r="F20" t="s">
        <v>133</v>
      </c>
      <c r="H20" t="str">
        <f t="shared" si="0"/>
        <v xml:space="preserve">Distributed energy resource &amp; DER &amp; It refers to those energies that are not generated and distributed by the distribution network, e.g. renewable energy resources. &amp; Intermittent energy resource (IER) \\ </v>
      </c>
    </row>
    <row r="21" spans="1:8" x14ac:dyDescent="0.2">
      <c r="A21" t="s">
        <v>104</v>
      </c>
      <c r="B21" t="s">
        <v>105</v>
      </c>
      <c r="C21" t="s">
        <v>134</v>
      </c>
      <c r="D21" t="s">
        <v>135</v>
      </c>
      <c r="E21" t="s">
        <v>136</v>
      </c>
      <c r="F21" t="s">
        <v>939</v>
      </c>
      <c r="H21" t="str">
        <f t="shared" si="0"/>
        <v xml:space="preserve">Distribution system operator &amp; DSO &amp; The AUs are connected to them. They manage the energy demand of the connected AUs. They are located between the transmission and distribution networks. &amp; Distribution operator (DO), Service operator (SO), Market operator, Distribution system, Centralized controller (CC), Electrical/Electricity Network Operator (ENO), Charging network operator (CNO), Distribution company (DISCO) \\ </v>
      </c>
    </row>
    <row r="22" spans="1:8" x14ac:dyDescent="0.2">
      <c r="A22" t="s">
        <v>104</v>
      </c>
      <c r="B22" t="s">
        <v>126</v>
      </c>
      <c r="C22" t="s">
        <v>307</v>
      </c>
      <c r="E22" t="s">
        <v>308</v>
      </c>
      <c r="H22" t="str">
        <f t="shared" si="0"/>
        <v xml:space="preserve">Dynamic charging infrastructure &amp;  &amp; The problem of electrified roads &amp;  \\ </v>
      </c>
    </row>
    <row r="23" spans="1:8" x14ac:dyDescent="0.2">
      <c r="A23" t="s">
        <v>58</v>
      </c>
      <c r="B23" t="s">
        <v>59</v>
      </c>
      <c r="C23" t="s">
        <v>67</v>
      </c>
      <c r="D23" t="s">
        <v>68</v>
      </c>
      <c r="E23" t="s">
        <v>69</v>
      </c>
      <c r="H23" t="str">
        <f t="shared" si="0"/>
        <v xml:space="preserve">Earliest deadline first &amp; EDF &amp; Scheduling algorithm that schedules the charge of the vehicle with earliest departure time first. &amp;  \\ </v>
      </c>
    </row>
    <row r="24" spans="1:8" x14ac:dyDescent="0.2">
      <c r="A24" t="s">
        <v>58</v>
      </c>
      <c r="B24" t="s">
        <v>59</v>
      </c>
      <c r="C24" t="s">
        <v>70</v>
      </c>
      <c r="D24" t="s">
        <v>71</v>
      </c>
      <c r="E24" t="s">
        <v>72</v>
      </c>
      <c r="H24" t="str">
        <f t="shared" si="0"/>
        <v xml:space="preserve">Earliest start time &amp; EST &amp; Scheduling algorithm that dispatches the EVSE firsly available with no spatial consideration. &amp;  \\ </v>
      </c>
    </row>
    <row r="25" spans="1:8" x14ac:dyDescent="0.2">
      <c r="A25" t="s">
        <v>104</v>
      </c>
      <c r="B25" t="s">
        <v>137</v>
      </c>
      <c r="C25" t="s">
        <v>138</v>
      </c>
      <c r="D25" t="s">
        <v>139</v>
      </c>
      <c r="E25" t="s">
        <v>140</v>
      </c>
      <c r="F25" t="s">
        <v>141</v>
      </c>
      <c r="H25" t="str">
        <f t="shared" si="0"/>
        <v xml:space="preserve">Electric vehicle &amp; EV &amp; Light-weight vehicles that require a rechargeable battery. &amp; Plug-in electric vehicle (PEV), Battery electric vehicle (BEV), Full electric vehicle (FEV), Pure electric cars (PEC). \\ </v>
      </c>
    </row>
    <row r="26" spans="1:8" x14ac:dyDescent="0.2">
      <c r="A26" t="s">
        <v>104</v>
      </c>
      <c r="B26" t="s">
        <v>105</v>
      </c>
      <c r="C26" t="s">
        <v>142</v>
      </c>
      <c r="D26" t="s">
        <v>40</v>
      </c>
      <c r="E26" t="s">
        <v>143</v>
      </c>
      <c r="F26" t="s">
        <v>144</v>
      </c>
      <c r="H26" t="str">
        <f t="shared" si="0"/>
        <v xml:space="preserve">Electric vehicle supply equiment &amp; EVSE &amp; It is the cable to connect the EV to the charging pile where the power energy flows through. &amp; Charging equipment, Connector \\ </v>
      </c>
    </row>
    <row r="27" spans="1:8" x14ac:dyDescent="0.2">
      <c r="A27" t="s">
        <v>104</v>
      </c>
      <c r="B27" t="s">
        <v>105</v>
      </c>
      <c r="C27" t="s">
        <v>145</v>
      </c>
      <c r="D27" t="s">
        <v>146</v>
      </c>
      <c r="E27" t="s">
        <v>147</v>
      </c>
      <c r="F27" t="s">
        <v>148</v>
      </c>
      <c r="H27" t="str">
        <f t="shared" si="0"/>
        <v xml:space="preserve">Electric vehicle supply equipement port &amp; EVSE port &amp; It the plug where the EVSE is plugged-in. &amp; Charging port \\ </v>
      </c>
    </row>
    <row r="28" spans="1:8" x14ac:dyDescent="0.2">
      <c r="A28" t="s">
        <v>187</v>
      </c>
      <c r="B28" t="s">
        <v>110</v>
      </c>
      <c r="C28" t="s">
        <v>193</v>
      </c>
      <c r="E28" t="s">
        <v>194</v>
      </c>
      <c r="H28" t="str">
        <f t="shared" si="0"/>
        <v xml:space="preserve">Equivalent aging factor &amp;  &amp; It is the aggregation of the AAF product of computing it at each time interval. &amp;  \\ </v>
      </c>
    </row>
    <row r="29" spans="1:8" x14ac:dyDescent="0.2">
      <c r="A29" t="s">
        <v>104</v>
      </c>
      <c r="B29" t="s">
        <v>110</v>
      </c>
      <c r="C29" t="s">
        <v>149</v>
      </c>
      <c r="E29" t="s">
        <v>150</v>
      </c>
      <c r="H29" t="str">
        <f t="shared" si="0"/>
        <v xml:space="preserve">EV load &amp;  &amp; It is the power or energy consumed at EVSEs over time. &amp;  \\ </v>
      </c>
    </row>
    <row r="30" spans="1:8" x14ac:dyDescent="0.2">
      <c r="A30" t="s">
        <v>58</v>
      </c>
      <c r="B30" t="s">
        <v>59</v>
      </c>
      <c r="C30" t="s">
        <v>73</v>
      </c>
      <c r="D30" t="s">
        <v>74</v>
      </c>
      <c r="E30" t="s">
        <v>75</v>
      </c>
      <c r="F30" t="s">
        <v>76</v>
      </c>
      <c r="H30" t="str">
        <f t="shared" si="0"/>
        <v xml:space="preserve">First-in First-served &amp; FIFS &amp; Scheduling algorithm that dispatches EVs according to their arrival times. &amp; First-come first-served (FCFS) \\ </v>
      </c>
    </row>
    <row r="31" spans="1:8" x14ac:dyDescent="0.2">
      <c r="A31" t="s">
        <v>104</v>
      </c>
      <c r="B31" t="s">
        <v>137</v>
      </c>
      <c r="C31" t="s">
        <v>151</v>
      </c>
      <c r="D31" t="s">
        <v>152</v>
      </c>
      <c r="E31" t="s">
        <v>153</v>
      </c>
      <c r="H31" t="str">
        <f t="shared" si="0"/>
        <v xml:space="preserve">Fuel cell electric vehicle &amp; FCEV &amp; Vehicles that work with hydrogen fuel. &amp;  \\ </v>
      </c>
    </row>
    <row r="32" spans="1:8" x14ac:dyDescent="0.2">
      <c r="A32" t="s">
        <v>104</v>
      </c>
      <c r="B32" t="s">
        <v>36</v>
      </c>
      <c r="C32" t="s">
        <v>154</v>
      </c>
      <c r="D32" t="s">
        <v>155</v>
      </c>
      <c r="E32" t="s">
        <v>156</v>
      </c>
      <c r="F32" t="s">
        <v>157</v>
      </c>
      <c r="H32" t="str">
        <f t="shared" si="0"/>
        <v xml:space="preserve">Grid-to-vehicle &amp; G2V &amp; The power grid supplies energy to EVs. &amp; Unidirectional, Unidirectional V2G, V1G. \\ </v>
      </c>
    </row>
    <row r="33" spans="1:8" x14ac:dyDescent="0.2">
      <c r="A33" t="s">
        <v>104</v>
      </c>
      <c r="B33" t="s">
        <v>137</v>
      </c>
      <c r="C33" t="s">
        <v>158</v>
      </c>
      <c r="D33" t="s">
        <v>159</v>
      </c>
      <c r="E33" t="s">
        <v>160</v>
      </c>
      <c r="F33" t="s">
        <v>161</v>
      </c>
      <c r="H33" t="str">
        <f t="shared" si="0"/>
        <v xml:space="preserve">Hybrid electric vehicle &amp; HEV &amp; Vehicles that use gasoline and electricity. &amp; Plug-in hybrid electric vehicle (PHEV), Hybrid electric cars (HEC). \\ </v>
      </c>
    </row>
    <row r="34" spans="1:8" x14ac:dyDescent="0.2">
      <c r="A34" t="s">
        <v>104</v>
      </c>
      <c r="B34" t="s">
        <v>137</v>
      </c>
      <c r="C34" t="s">
        <v>162</v>
      </c>
      <c r="D34" t="s">
        <v>163</v>
      </c>
      <c r="E34" t="s">
        <v>164</v>
      </c>
      <c r="F34" t="s">
        <v>165</v>
      </c>
      <c r="H34" t="str">
        <f t="shared" si="0"/>
        <v xml:space="preserve">Internal combustion engine vehicle &amp; ICEV &amp; Vehicles that use gasoline only. &amp; Internal combustion vehicles (ICVs), Conventional vehicle (CV). \\ </v>
      </c>
    </row>
    <row r="35" spans="1:8" x14ac:dyDescent="0.2">
      <c r="A35" t="s">
        <v>58</v>
      </c>
      <c r="B35" t="s">
        <v>59</v>
      </c>
      <c r="C35" t="s">
        <v>77</v>
      </c>
      <c r="D35" t="s">
        <v>78</v>
      </c>
      <c r="E35" t="s">
        <v>79</v>
      </c>
      <c r="F35" t="s">
        <v>80</v>
      </c>
      <c r="H35" t="str">
        <f t="shared" si="0"/>
        <v xml:space="preserve">Least slack time &amp; LST &amp; Scheduling algorithm that prioritizes those vehicle with shortest remaining time to achieve the desired SoC. &amp; Least laxity first (LLF) \\ </v>
      </c>
    </row>
    <row r="36" spans="1:8" x14ac:dyDescent="0.2">
      <c r="A36" t="s">
        <v>168</v>
      </c>
      <c r="B36" t="s">
        <v>168</v>
      </c>
      <c r="C36" t="s">
        <v>230</v>
      </c>
      <c r="D36" t="s">
        <v>231</v>
      </c>
      <c r="H36" t="str">
        <f t="shared" si="0"/>
        <v xml:space="preserve">Locational marginal pricing &amp; LMP &amp;  &amp;  \\ </v>
      </c>
    </row>
    <row r="37" spans="1:8" x14ac:dyDescent="0.2">
      <c r="A37" t="s">
        <v>187</v>
      </c>
      <c r="B37" t="s">
        <v>110</v>
      </c>
      <c r="C37" t="s">
        <v>195</v>
      </c>
      <c r="D37" t="s">
        <v>196</v>
      </c>
      <c r="E37" t="s">
        <v>197</v>
      </c>
      <c r="H37" t="str">
        <f t="shared" si="0"/>
        <v xml:space="preserve">Loss of life percentage &amp; LOL &amp; It is the wear of the transformer throughout time. It is computed by mutiplying the EAF by the total operation time dived by 180,000. &amp;  \\ </v>
      </c>
    </row>
    <row r="38" spans="1:8" x14ac:dyDescent="0.2">
      <c r="A38" t="s">
        <v>58</v>
      </c>
      <c r="B38" t="s">
        <v>59</v>
      </c>
      <c r="C38" t="s">
        <v>81</v>
      </c>
      <c r="D38" t="s">
        <v>82</v>
      </c>
      <c r="E38" t="s">
        <v>83</v>
      </c>
      <c r="H38" t="str">
        <f t="shared" si="0"/>
        <v xml:space="preserve">Lowest state-of-charge first &amp; LSF &amp; Scheduling algorithm that charges the vehicle with the lowest SoC first &amp;  \\ </v>
      </c>
    </row>
    <row r="39" spans="1:8" x14ac:dyDescent="0.2">
      <c r="A39" t="s">
        <v>104</v>
      </c>
      <c r="B39" t="s">
        <v>126</v>
      </c>
      <c r="C39" t="s">
        <v>309</v>
      </c>
      <c r="E39" t="s">
        <v>310</v>
      </c>
      <c r="H39" t="str">
        <f t="shared" si="0"/>
        <v xml:space="preserve">Market clearing &amp;  &amp; Process in which the demand is equal to the offer &amp;  \\ </v>
      </c>
    </row>
    <row r="40" spans="1:8" x14ac:dyDescent="0.2">
      <c r="A40" t="s">
        <v>104</v>
      </c>
      <c r="B40" t="s">
        <v>129</v>
      </c>
      <c r="C40" t="s">
        <v>22</v>
      </c>
      <c r="D40" t="s">
        <v>43</v>
      </c>
      <c r="E40" t="s">
        <v>166</v>
      </c>
      <c r="F40" t="s">
        <v>167</v>
      </c>
      <c r="H40" t="str">
        <f t="shared" si="0"/>
        <v xml:space="preserve">Model predictive control &amp; MPC &amp; It aims to repeatedly solve an optimization problem using forecast of costs and demand, among others. &amp; Receding horizon control (RHC) \\ </v>
      </c>
    </row>
    <row r="41" spans="1:8" x14ac:dyDescent="0.2">
      <c r="A41" t="s">
        <v>58</v>
      </c>
      <c r="B41" t="s">
        <v>59</v>
      </c>
      <c r="C41" t="s">
        <v>84</v>
      </c>
      <c r="D41" t="s">
        <v>85</v>
      </c>
      <c r="E41" t="s">
        <v>86</v>
      </c>
      <c r="H41" t="str">
        <f t="shared" si="0"/>
        <v xml:space="preserve">Nearest Neighbor Charging Routing &amp; NNCR &amp; Scheduling algorithm that dispatches the EV to the nearest charging station and the corresponding EVSE that is firstly available. &amp;  \\ </v>
      </c>
    </row>
    <row r="42" spans="1:8" x14ac:dyDescent="0.2">
      <c r="A42" t="s">
        <v>58</v>
      </c>
      <c r="B42" t="s">
        <v>63</v>
      </c>
      <c r="C42" t="s">
        <v>87</v>
      </c>
      <c r="E42" t="s">
        <v>66</v>
      </c>
      <c r="H42" t="str">
        <f t="shared" si="0"/>
        <v xml:space="preserve">Newton-Raphson &amp;  &amp; Algorithm to compute the power flow in a network &amp;  \\ </v>
      </c>
    </row>
    <row r="43" spans="1:8" x14ac:dyDescent="0.2">
      <c r="A43" t="s">
        <v>42</v>
      </c>
      <c r="B43" t="s">
        <v>110</v>
      </c>
      <c r="C43" t="s">
        <v>203</v>
      </c>
      <c r="E43" t="s">
        <v>204</v>
      </c>
      <c r="F43" t="s">
        <v>205</v>
      </c>
      <c r="H43" t="str">
        <f t="shared" si="0"/>
        <v xml:space="preserve">Non-preemptive charging &amp;  &amp; Once charging starts, it is not allowed to stop supplying energy. &amp; Non-stop charging \\ </v>
      </c>
    </row>
    <row r="44" spans="1:8" x14ac:dyDescent="0.2">
      <c r="A44" t="s">
        <v>42</v>
      </c>
      <c r="B44" t="s">
        <v>110</v>
      </c>
      <c r="C44" t="s">
        <v>206</v>
      </c>
      <c r="D44" t="s">
        <v>207</v>
      </c>
      <c r="E44" t="s">
        <v>208</v>
      </c>
      <c r="F44" t="s">
        <v>209</v>
      </c>
      <c r="H44" t="str">
        <f t="shared" si="0"/>
        <v xml:space="preserve">Power coordinated charging &amp; PCC &amp; The power consumer by each EV is controlled such that the total load demand does not exceed the total power availability. &amp; Variable charge-rate coordination (VCC). \\ </v>
      </c>
    </row>
    <row r="45" spans="1:8" x14ac:dyDescent="0.2">
      <c r="A45" t="s">
        <v>187</v>
      </c>
      <c r="B45" t="s">
        <v>126</v>
      </c>
      <c r="C45" t="s">
        <v>198</v>
      </c>
      <c r="E45" t="s">
        <v>199</v>
      </c>
      <c r="H45" t="str">
        <f t="shared" si="0"/>
        <v xml:space="preserve">Power generation system &amp;  &amp; Encompasses the production of electricity and the allocation of required demand between producers. &amp;  \\ </v>
      </c>
    </row>
    <row r="46" spans="1:8" x14ac:dyDescent="0.2">
      <c r="A46" t="s">
        <v>42</v>
      </c>
      <c r="B46" t="s">
        <v>110</v>
      </c>
      <c r="C46" t="s">
        <v>210</v>
      </c>
      <c r="E46" t="s">
        <v>211</v>
      </c>
      <c r="F46" t="s">
        <v>212</v>
      </c>
      <c r="H46" t="str">
        <f t="shared" si="0"/>
        <v xml:space="preserve">Preemptive charging &amp;  &amp; Once charging starts, it is allowed to stop supplying energy. &amp; Free charging \\ </v>
      </c>
    </row>
    <row r="47" spans="1:8" x14ac:dyDescent="0.2">
      <c r="A47" t="s">
        <v>104</v>
      </c>
      <c r="B47" t="s">
        <v>168</v>
      </c>
      <c r="C47" t="s">
        <v>169</v>
      </c>
      <c r="E47" t="s">
        <v>170</v>
      </c>
      <c r="H47" t="str">
        <f t="shared" si="0"/>
        <v xml:space="preserve">Price control &amp;  &amp; Coordination method in which the AU sets the price over the day as an incentive or disincentive mechanism to plug-in EV when needed. &amp;  \\ </v>
      </c>
    </row>
    <row r="48" spans="1:8" x14ac:dyDescent="0.2">
      <c r="A48" t="s">
        <v>58</v>
      </c>
      <c r="B48" t="s">
        <v>59</v>
      </c>
      <c r="C48" t="s">
        <v>88</v>
      </c>
      <c r="D48" t="s">
        <v>89</v>
      </c>
      <c r="E48" t="s">
        <v>90</v>
      </c>
      <c r="F48" t="s">
        <v>91</v>
      </c>
      <c r="H48" t="str">
        <f t="shared" si="0"/>
        <v xml:space="preserve">Price oriented scheduling &amp; POS &amp; Scheduling algorithm that supplies more energy during cheaper windows &amp; ToU scheduling \\ </v>
      </c>
    </row>
    <row r="49" spans="1:8" x14ac:dyDescent="0.2">
      <c r="A49" t="s">
        <v>58</v>
      </c>
      <c r="B49" t="s">
        <v>59</v>
      </c>
      <c r="C49" t="s">
        <v>92</v>
      </c>
      <c r="D49" t="s">
        <v>93</v>
      </c>
      <c r="E49" t="s">
        <v>94</v>
      </c>
      <c r="H49" t="str">
        <f t="shared" si="0"/>
        <v xml:space="preserve">Randomly delayed charging &amp; RND &amp; Scheduling algorithm that starts to supplying power after a random amount of time. &amp;  \\ </v>
      </c>
    </row>
    <row r="50" spans="1:8" x14ac:dyDescent="0.2">
      <c r="A50" t="s">
        <v>168</v>
      </c>
      <c r="B50" t="s">
        <v>168</v>
      </c>
      <c r="C50" t="s">
        <v>232</v>
      </c>
      <c r="D50" t="s">
        <v>233</v>
      </c>
      <c r="E50" t="s">
        <v>234</v>
      </c>
      <c r="F50" t="s">
        <v>235</v>
      </c>
      <c r="H50" t="str">
        <f t="shared" si="0"/>
        <v xml:space="preserve">Real-time pricing &amp; RTP &amp; Pricing scheme that is adjusted according to a function that varies over the time. &amp; Dynamic pricing, time-varying price/tariff. \\ </v>
      </c>
    </row>
    <row r="51" spans="1:8" x14ac:dyDescent="0.2">
      <c r="A51" t="s">
        <v>58</v>
      </c>
      <c r="B51" t="s">
        <v>59</v>
      </c>
      <c r="C51" t="s">
        <v>95</v>
      </c>
      <c r="D51" t="s">
        <v>96</v>
      </c>
      <c r="E51" t="s">
        <v>97</v>
      </c>
      <c r="H51" t="str">
        <f t="shared" si="0"/>
        <v xml:space="preserve">Shortest job first &amp; SJF &amp; Scheduling algorithm that charges the vehicle with less required energy first. &amp;  \\ </v>
      </c>
    </row>
    <row r="52" spans="1:8" x14ac:dyDescent="0.2">
      <c r="A52" t="s">
        <v>104</v>
      </c>
      <c r="B52" t="s">
        <v>110</v>
      </c>
      <c r="C52" t="s">
        <v>171</v>
      </c>
      <c r="E52" t="s">
        <v>172</v>
      </c>
      <c r="F52" t="s">
        <v>173</v>
      </c>
      <c r="H52" t="str">
        <f t="shared" si="0"/>
        <v xml:space="preserve">Sliding windows &amp;  &amp; It is the time between the arrival of the EV and the lattest charging time before departure (to get the desired SoC) &amp; Sojourn time, dwell time. \\ </v>
      </c>
    </row>
    <row r="53" spans="1:8" x14ac:dyDescent="0.2">
      <c r="A53" t="s">
        <v>58</v>
      </c>
      <c r="B53" t="s">
        <v>59</v>
      </c>
      <c r="C53" t="s">
        <v>98</v>
      </c>
      <c r="D53" t="s">
        <v>99</v>
      </c>
      <c r="E53" t="s">
        <v>100</v>
      </c>
      <c r="H53" t="str">
        <f t="shared" si="0"/>
        <v xml:space="preserve">Smart charging system with cooperation &amp; SCSC &amp; Scheduling algorithm that supplies energy according to maximizing the utilization of the available power. &amp;  \\ </v>
      </c>
    </row>
    <row r="54" spans="1:8" x14ac:dyDescent="0.2">
      <c r="A54" t="s">
        <v>104</v>
      </c>
      <c r="B54" t="s">
        <v>174</v>
      </c>
      <c r="C54" t="s">
        <v>175</v>
      </c>
      <c r="D54" t="s">
        <v>176</v>
      </c>
      <c r="E54" t="s">
        <v>177</v>
      </c>
      <c r="F54" t="s">
        <v>178</v>
      </c>
      <c r="H54" t="str">
        <f t="shared" si="0"/>
        <v xml:space="preserve">State-of-chage &amp; SoC &amp; Almacenated energy in the battery, commonly represented as a fraction of the total capacity. &amp; State-of-energy (SoE), Depth-of-Dischard (DoD) if 1 - SoC, Battery state of charging (BSOC). \\ </v>
      </c>
    </row>
    <row r="55" spans="1:8" x14ac:dyDescent="0.2">
      <c r="A55" t="s">
        <v>104</v>
      </c>
      <c r="B55" t="s">
        <v>126</v>
      </c>
      <c r="C55" t="s">
        <v>305</v>
      </c>
      <c r="E55" t="s">
        <v>306</v>
      </c>
      <c r="H55" t="str">
        <f t="shared" si="0"/>
        <v xml:space="preserve">Static charging infrastructure &amp;  &amp; The problem of charging facilities placement &amp;  \\ </v>
      </c>
    </row>
    <row r="56" spans="1:8" x14ac:dyDescent="0.2">
      <c r="A56" t="s">
        <v>42</v>
      </c>
      <c r="B56" t="s">
        <v>110</v>
      </c>
      <c r="C56" t="s">
        <v>213</v>
      </c>
      <c r="D56" t="s">
        <v>214</v>
      </c>
      <c r="E56" t="s">
        <v>215</v>
      </c>
      <c r="F56" t="s">
        <v>216</v>
      </c>
      <c r="H56" t="str">
        <f t="shared" si="0"/>
        <v xml:space="preserve">Time coordinated charging &amp; TCC &amp; There is a maximum number of Evs each time such that the total load demand does not exceed the total power availability. &amp; Fixed charge-rate coordination (FCC), on-off based charging. \\ </v>
      </c>
    </row>
    <row r="57" spans="1:8" x14ac:dyDescent="0.2">
      <c r="A57" t="s">
        <v>168</v>
      </c>
      <c r="B57" t="s">
        <v>168</v>
      </c>
      <c r="C57" t="s">
        <v>236</v>
      </c>
      <c r="D57" t="s">
        <v>237</v>
      </c>
      <c r="E57" t="s">
        <v>238</v>
      </c>
      <c r="F57" t="s">
        <v>239</v>
      </c>
      <c r="H57" t="str">
        <f t="shared" si="0"/>
        <v xml:space="preserve">Time-of-use &amp; ToU &amp; Pricing scheme that is constant by time frame (static price), commonly three frame: off-peak, shoulder and peak. &amp; Piece-wise constant, White tariff. \\ </v>
      </c>
    </row>
    <row r="58" spans="1:8" x14ac:dyDescent="0.2">
      <c r="A58" t="s">
        <v>104</v>
      </c>
      <c r="B58" t="s">
        <v>105</v>
      </c>
      <c r="C58" t="s">
        <v>179</v>
      </c>
      <c r="D58" t="s">
        <v>180</v>
      </c>
      <c r="E58" t="s">
        <v>181</v>
      </c>
      <c r="F58" t="s">
        <v>182</v>
      </c>
      <c r="H58" t="str">
        <f t="shared" si="0"/>
        <v xml:space="preserve">Transmission system operator &amp; TSO &amp; The network that transports the enery at high voltage from the generation source to cities. &amp; Transmission system \\ </v>
      </c>
    </row>
    <row r="59" spans="1:8" x14ac:dyDescent="0.2">
      <c r="A59" t="s">
        <v>104</v>
      </c>
      <c r="B59" t="s">
        <v>126</v>
      </c>
      <c r="C59" t="s">
        <v>183</v>
      </c>
      <c r="E59" t="s">
        <v>184</v>
      </c>
      <c r="F59" t="s">
        <v>272</v>
      </c>
      <c r="H59" t="str">
        <f t="shared" si="0"/>
        <v xml:space="preserve">Uncoordinated charging &amp;  &amp; When energy is supplied with no control nor constraint until desired SoC is reached. In other words, charge whenever possible (obviously). &amp; Uncontrolled charging, unregulated charging, direct charging, simple charging, dumb charging, immediate charging (IMM), Expedient charging, Naïve charging, As fast as possible (AFAP) \\ </v>
      </c>
    </row>
    <row r="60" spans="1:8" x14ac:dyDescent="0.2">
      <c r="A60" t="s">
        <v>187</v>
      </c>
      <c r="B60" t="s">
        <v>126</v>
      </c>
      <c r="C60" t="s">
        <v>200</v>
      </c>
      <c r="D60" t="s">
        <v>201</v>
      </c>
      <c r="E60" t="s">
        <v>202</v>
      </c>
    </row>
    <row r="61" spans="1:8" x14ac:dyDescent="0.2">
      <c r="A61" t="s">
        <v>104</v>
      </c>
      <c r="B61" t="s">
        <v>36</v>
      </c>
      <c r="C61" t="s">
        <v>23</v>
      </c>
      <c r="D61" t="s">
        <v>37</v>
      </c>
      <c r="E61" t="s">
        <v>185</v>
      </c>
      <c r="F61" t="s">
        <v>186</v>
      </c>
    </row>
    <row r="62" spans="1:8" x14ac:dyDescent="0.2">
      <c r="A62" t="s">
        <v>104</v>
      </c>
      <c r="B62" t="s">
        <v>110</v>
      </c>
      <c r="C62" t="s">
        <v>240</v>
      </c>
      <c r="D62" t="s">
        <v>241</v>
      </c>
      <c r="E62" t="s">
        <v>242</v>
      </c>
    </row>
    <row r="63" spans="1:8" x14ac:dyDescent="0.2">
      <c r="A63" t="s">
        <v>58</v>
      </c>
      <c r="B63" t="s">
        <v>59</v>
      </c>
      <c r="C63" t="s">
        <v>101</v>
      </c>
      <c r="D63" t="s">
        <v>102</v>
      </c>
      <c r="E63" t="s">
        <v>103</v>
      </c>
    </row>
  </sheetData>
  <autoFilter ref="A1:F60" xr:uid="{48786160-6E15-D24A-841D-EBF23EC78DAB}">
    <sortState xmlns:xlrd2="http://schemas.microsoft.com/office/spreadsheetml/2017/richdata2" ref="A2:F63">
      <sortCondition ref="C1:C63"/>
    </sortState>
  </autoFilter>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ReadingList</vt:lpstr>
      <vt:lpstr>Dashboard</vt:lpstr>
      <vt:lpstr>WorkFlow</vt:lpstr>
      <vt:lpstr>Draft</vt:lpstr>
      <vt:lpstr>Single_Facility</vt:lpstr>
      <vt:lpstr>Multi_Facility</vt:lpstr>
      <vt:lpstr>Distribution_Network</vt:lpstr>
      <vt:lpstr>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Luis Rojo González</cp:lastModifiedBy>
  <dcterms:created xsi:type="dcterms:W3CDTF">2022-12-16T06:39:18Z</dcterms:created>
  <dcterms:modified xsi:type="dcterms:W3CDTF">2022-12-26T07:10:20Z</dcterms:modified>
</cp:coreProperties>
</file>