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4057" documentId="8_{11581BE0-299A-8F49-932A-90BA12D1B0CB}" xr6:coauthVersionLast="47" xr6:coauthVersionMax="47" xr10:uidLastSave="{DA67CEA2-C476-8943-BB87-41D749E69898}"/>
  <bookViews>
    <workbookView xWindow="0" yWindow="760" windowWidth="30240" windowHeight="17600" xr2:uid="{00000000-000D-0000-FFFF-FFFF00000000}"/>
  </bookViews>
  <sheets>
    <sheet name="ReadingList" sheetId="11" r:id="rId1"/>
    <sheet name="Dashboard" sheetId="7" r:id="rId2"/>
    <sheet name="WorkFlow" sheetId="12" r:id="rId3"/>
    <sheet name="Draft" sheetId="2" r:id="rId4"/>
    <sheet name="Single_Facility" sheetId="8" r:id="rId5"/>
    <sheet name="Multi_Facility" sheetId="9" r:id="rId6"/>
    <sheet name="Distribution_Network" sheetId="10" r:id="rId7"/>
    <sheet name="Dictionary" sheetId="3" r:id="rId8"/>
  </sheets>
  <definedNames>
    <definedName name="_xlnm._FilterDatabase" localSheetId="7" hidden="1">Dictionary!$A$1:$F$60</definedName>
    <definedName name="_xlnm._FilterDatabase" localSheetId="0" hidden="1">ReadingList!$A$1:$N$138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11" l="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N7" i="7"/>
  <c r="N6" i="7"/>
  <c r="N5" i="7"/>
  <c r="N4" i="7"/>
  <c r="N3" i="7"/>
  <c r="L7" i="7"/>
  <c r="L6" i="7"/>
  <c r="L5" i="7"/>
  <c r="L4" i="7"/>
  <c r="L3" i="7"/>
  <c r="M7" i="7"/>
  <c r="M6" i="7"/>
  <c r="M5" i="7"/>
  <c r="M4" i="7"/>
  <c r="M3" i="7"/>
  <c r="F3" i="7"/>
  <c r="J12" i="12" l="1"/>
  <c r="J14" i="12"/>
  <c r="K14" i="12"/>
  <c r="K13" i="12"/>
  <c r="K12" i="12"/>
  <c r="J13" i="12"/>
  <c r="I14" i="12"/>
  <c r="I13" i="12"/>
  <c r="I12" i="12"/>
  <c r="H14" i="12"/>
  <c r="H13" i="12"/>
  <c r="H12" i="12"/>
  <c r="K11" i="12" l="1"/>
  <c r="J11" i="12"/>
  <c r="I11" i="12"/>
  <c r="H11" i="12"/>
  <c r="A3" i="11" l="1"/>
  <c r="C6" i="7"/>
  <c r="D9" i="7"/>
  <c r="E9" i="7"/>
  <c r="D3" i="7"/>
  <c r="E3" i="7"/>
  <c r="C3" i="7"/>
  <c r="B10" i="7"/>
  <c r="B11" i="7" s="1"/>
  <c r="F2" i="2" l="1"/>
  <c r="H2" i="2"/>
  <c r="E2" i="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B12" i="7"/>
  <c r="E12" i="7" s="1"/>
  <c r="D11" i="7"/>
  <c r="D10" i="7"/>
  <c r="E10" i="7"/>
  <c r="E11" i="7"/>
  <c r="B2" i="2"/>
  <c r="G9" i="7"/>
  <c r="C9" i="7"/>
  <c r="I3" i="7"/>
  <c r="H3" i="7"/>
  <c r="G3" i="7"/>
  <c r="D2" i="2" l="1"/>
  <c r="G2" i="2"/>
  <c r="I2" i="2"/>
  <c r="B13" i="7"/>
  <c r="D12" i="7"/>
  <c r="C10" i="7"/>
  <c r="B14" i="7" l="1"/>
  <c r="D13" i="7"/>
  <c r="E13" i="7"/>
  <c r="G10" i="7"/>
  <c r="C11" i="7"/>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B15" i="7" l="1"/>
  <c r="E14" i="7"/>
  <c r="D14" i="7"/>
  <c r="G11" i="7"/>
  <c r="C12" i="7"/>
  <c r="B16" i="7" l="1"/>
  <c r="D15" i="7"/>
  <c r="E15" i="7"/>
  <c r="G12" i="7"/>
  <c r="C13" i="7"/>
  <c r="B17" i="7" l="1"/>
  <c r="E16" i="7"/>
  <c r="D16" i="7"/>
  <c r="G13" i="7"/>
  <c r="C14" i="7"/>
  <c r="B18" i="7" l="1"/>
  <c r="D17" i="7"/>
  <c r="E17" i="7"/>
  <c r="G14" i="7"/>
  <c r="C15" i="7"/>
  <c r="B19" i="7" l="1"/>
  <c r="D18" i="7"/>
  <c r="E18" i="7"/>
  <c r="G15" i="7"/>
  <c r="C16" i="7"/>
  <c r="B20" i="7" l="1"/>
  <c r="D19" i="7"/>
  <c r="E19" i="7"/>
  <c r="G16" i="7"/>
  <c r="C17" i="7"/>
  <c r="B21" i="7" l="1"/>
  <c r="E20" i="7"/>
  <c r="D20" i="7"/>
  <c r="G17" i="7"/>
  <c r="C18" i="7"/>
  <c r="B22" i="7" l="1"/>
  <c r="E21" i="7"/>
  <c r="D21" i="7"/>
  <c r="G18" i="7"/>
  <c r="C19" i="7"/>
  <c r="B23" i="7" l="1"/>
  <c r="D22" i="7"/>
  <c r="E22" i="7"/>
  <c r="G19" i="7"/>
  <c r="C20" i="7"/>
  <c r="B24" i="7" l="1"/>
  <c r="E23" i="7"/>
  <c r="D23" i="7"/>
  <c r="G20" i="7"/>
  <c r="C21" i="7"/>
  <c r="B25" i="7" l="1"/>
  <c r="E24" i="7"/>
  <c r="D24" i="7"/>
  <c r="G21" i="7"/>
  <c r="C22" i="7"/>
  <c r="B26" i="7" l="1"/>
  <c r="D25" i="7"/>
  <c r="E25" i="7"/>
  <c r="G22" i="7"/>
  <c r="C23" i="7"/>
  <c r="B27" i="7" l="1"/>
  <c r="D26" i="7"/>
  <c r="E26" i="7"/>
  <c r="G23" i="7"/>
  <c r="C24" i="7"/>
  <c r="B28" i="7" l="1"/>
  <c r="E27" i="7"/>
  <c r="D27" i="7"/>
  <c r="G24" i="7"/>
  <c r="C25" i="7"/>
  <c r="B29" i="7" l="1"/>
  <c r="D28" i="7"/>
  <c r="E28" i="7"/>
  <c r="G25" i="7"/>
  <c r="C26" i="7"/>
  <c r="B30" i="7" l="1"/>
  <c r="E29" i="7"/>
  <c r="D29" i="7"/>
  <c r="G26" i="7"/>
  <c r="C27" i="7"/>
  <c r="B31" i="7" l="1"/>
  <c r="E30" i="7"/>
  <c r="D30" i="7"/>
  <c r="G27" i="7"/>
  <c r="C28" i="7"/>
  <c r="B32" i="7" l="1"/>
  <c r="E31" i="7"/>
  <c r="D31" i="7"/>
  <c r="G28" i="7"/>
  <c r="C29" i="7"/>
  <c r="B33" i="7" l="1"/>
  <c r="D32" i="7"/>
  <c r="E32" i="7"/>
  <c r="G29" i="7"/>
  <c r="C30" i="7"/>
  <c r="E33" i="7" l="1"/>
  <c r="D33" i="7"/>
  <c r="G30" i="7"/>
  <c r="C31" i="7"/>
  <c r="G31" i="7" l="1"/>
  <c r="C32" i="7"/>
  <c r="G32" i="7" l="1"/>
  <c r="C33" i="7"/>
  <c r="G33" i="7" l="1"/>
  <c r="B6" i="7"/>
  <c r="F18" i="7"/>
  <c r="F11" i="7"/>
  <c r="F33" i="7"/>
  <c r="F14" i="7"/>
  <c r="F20" i="7"/>
  <c r="F24" i="7"/>
  <c r="F22" i="7" l="1"/>
  <c r="B15" i="12"/>
  <c r="F13" i="7"/>
  <c r="F16" i="7"/>
  <c r="F15" i="7"/>
  <c r="F31" i="7"/>
  <c r="F12" i="7"/>
  <c r="F21" i="7"/>
  <c r="F29" i="7"/>
  <c r="F9" i="7"/>
  <c r="F28" i="7"/>
  <c r="F10" i="7"/>
  <c r="F30" i="7"/>
  <c r="F27" i="7"/>
  <c r="F32" i="7"/>
  <c r="F6" i="7"/>
  <c r="I6" i="7" s="1"/>
  <c r="F26" i="7"/>
  <c r="F19" i="7"/>
  <c r="F23" i="7"/>
  <c r="F17" i="7"/>
  <c r="F25" i="7"/>
  <c r="H27" i="7" l="1"/>
  <c r="H31" i="7"/>
  <c r="H28" i="7"/>
  <c r="H22" i="7"/>
  <c r="H17" i="7"/>
  <c r="H15" i="7"/>
  <c r="E6" i="7"/>
  <c r="G6" i="7" s="1"/>
  <c r="H21" i="7"/>
  <c r="H11" i="7"/>
  <c r="H18" i="7"/>
  <c r="H30" i="7"/>
  <c r="H12" i="7"/>
  <c r="H20" i="7"/>
  <c r="H23" i="7"/>
  <c r="H19" i="7"/>
  <c r="H14" i="7"/>
  <c r="H10" i="7"/>
  <c r="H24" i="7"/>
  <c r="H33" i="7"/>
  <c r="H32" i="7"/>
  <c r="D6" i="7"/>
  <c r="H25" i="7"/>
  <c r="H26" i="7"/>
  <c r="H16" i="7"/>
  <c r="H29" i="7"/>
  <c r="H1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tc={5C9B66DC-A084-EA40-9D0D-F12CD7BC3F18}</author>
  </authors>
  <commentList>
    <comment ref="C1" authorId="0" shapeId="0" xr:uid="{5C9B66DC-A084-EA40-9D0D-F12CD7BC3F18}">
      <text>
        <t>[Threaded comment]
Your version of Excel allows you to read this threaded comment; however, any edits to it will get removed if the file is opened in a newer version of Excel. Learn more: https://go.microsoft.com/fwlink/?linkid=870924
Comment:
    Bi-level or Tri-level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tc={FE7DA266-AB3A-8349-B93F-9EFB1295B463}</author>
    <author>tc={2A71CAF8-43A4-2C44-A6CD-1A2B2211FA7C}</author>
    <author>tc={6F48C977-2914-AF4A-810B-15CD5B4B420A}</author>
    <author>tc={C99DF3AF-B081-4442-9645-5C097978A752}</author>
    <author>tc={916B3C1C-4214-4442-819B-7E36A3CC4811}</author>
    <author>tc={4B5B5414-9736-B24E-9CA1-17CF3F383AF4}</author>
    <author>tc={E78FA254-9617-3A44-B9F1-F51E95A99119}</author>
    <author>tc={8D018A93-79B3-5C4E-BFD4-BDAAFECD31C6}</author>
    <author>tc={EAA2FECB-250D-EF47-A4F4-0CC84FA2FFCA}</author>
    <author>tc={E7431414-F00F-FE40-B809-AFE49C3E07F1}</author>
    <author>tc={4225326F-0146-2A4C-85D6-8D74584CC1AF}</author>
    <author>tc={8EDE8A1C-B627-DC47-A65E-EB7CFCFFD25F}</author>
    <author>tc={FA3C56C8-4F2C-3541-A7D2-33962BEB4B76}</author>
    <author>tc={BB5CA701-04EE-8C46-8CC7-316610DF4A95}</author>
    <author>tc={E384A8E7-8603-634D-A01F-927D4A609E53}</author>
    <author>tc={4B06012C-67C7-2D4A-AD78-5562589D1783}</author>
  </authors>
  <commentList>
    <comment ref="K1" authorId="0" shapeId="0" xr:uid="{FE7DA266-AB3A-8349-B93F-9EFB1295B46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2A71CAF8-43A4-2C44-A6CD-1A2B2211FA7C}">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F48C977-2914-AF4A-810B-15CD5B4B420A}">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C99DF3AF-B081-4442-9645-5C097978A752}">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916B3C1C-4214-4442-819B-7E36A3CC4811}">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4B5B5414-9736-B24E-9CA1-17CF3F383AF4}">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E78FA254-9617-3A44-B9F1-F51E95A9911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D018A93-79B3-5C4E-BFD4-BDAAFECD31C6}">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EAA2FECB-250D-EF47-A4F4-0CC84FA2FFC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E7431414-F00F-FE40-B809-AFE49C3E07F1}">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225326F-0146-2A4C-85D6-8D74584CC1AF}">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8EDE8A1C-B627-DC47-A65E-EB7CFCFFD25F}">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FA3C56C8-4F2C-3541-A7D2-33962BEB4B7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BB5CA701-04EE-8C46-8CC7-316610DF4A95}">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E384A8E7-8603-634D-A01F-927D4A609E53}">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4B06012C-67C7-2D4A-AD78-5562589D1783}">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tc={84186AF0-2AC4-2E4F-B7C6-A2E8E72C6D71}</author>
    <author>tc={454CBBDA-180A-E442-A561-BF0E7B32D169}</author>
    <author>tc={69235D67-C89C-5D44-ACBC-DF9F1C25B8F3}</author>
    <author>tc={172307A8-2091-E24B-8B67-F72BFC070594}</author>
    <author>tc={03CA9BFA-FBDC-1A4B-8275-83434A437FA0}</author>
    <author>tc={FCBBFAF9-BCC3-EC49-87C0-03D07CFC80BD}</author>
    <author>tc={6516372B-E32F-8A40-86A9-14A3DD0B1648}</author>
    <author>tc={76D821DD-38FD-5F4A-ADE7-1B65ED5B58E7}</author>
    <author>tc={02FC83B9-1B8C-5F41-A5AF-1548CE35FA8C}</author>
    <author>tc={25FDDE67-95BE-4C4E-9754-D2C0FCFDC344}</author>
    <author>tc={DE22572C-B00B-A744-A8D5-4AE25CE1D1A7}</author>
    <author>tc={F515E987-2653-A54C-AA8A-F26552D3E3B9}</author>
    <author>tc={3D35DA33-9FC7-0946-BF6C-A7E867B7D6DB}</author>
    <author>tc={3AC4122C-DE23-274F-A1E2-774DB4037B44}</author>
    <author>tc={88D8A2A8-9010-BA4B-A4C2-23B45037BE3B}</author>
    <author>tc={9F4FC70B-381E-2445-8BE6-E86E6FD6E97E}</author>
  </authors>
  <commentList>
    <comment ref="K1" authorId="0" shapeId="0" xr:uid="{84186AF0-2AC4-2E4F-B7C6-A2E8E72C6D71}">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454CBBDA-180A-E442-A561-BF0E7B32D169}">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9235D67-C89C-5D44-ACBC-DF9F1C25B8F3}">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172307A8-2091-E24B-8B67-F72BFC07059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03CA9BFA-FBDC-1A4B-8275-83434A437FA0}">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FCBBFAF9-BCC3-EC49-87C0-03D07CFC80BD}">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6516372B-E32F-8A40-86A9-14A3DD0B1648}">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76D821DD-38FD-5F4A-ADE7-1B65ED5B58E7}">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02FC83B9-1B8C-5F41-A5AF-1548CE35FA8C}">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25FDDE67-95BE-4C4E-9754-D2C0FCFDC344}">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DE22572C-B00B-A744-A8D5-4AE25CE1D1A7}">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F515E987-2653-A54C-AA8A-F26552D3E3B9}">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3D35DA33-9FC7-0946-BF6C-A7E867B7D6DB}">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3AC4122C-DE23-274F-A1E2-774DB4037B44}">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88D8A2A8-9010-BA4B-A4C2-23B45037BE3B}">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9F4FC70B-381E-2445-8BE6-E86E6FD6E97E}">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tc={E8376D4E-B0E5-AE4A-A21C-8984F994671B}</author>
    <author>tc={DA9F2890-84F3-314E-AE90-C927B7781A02}</author>
    <author>tc={0872E4F6-C66D-D34B-AA27-7AD4C6ED4348}</author>
    <author>tc={8173354D-7929-6A40-9851-4F21AEEFF2D0}</author>
    <author>tc={7E95135D-F8EB-6344-BFB3-BE7653A9D232}</author>
    <author>tc={2F529146-E08D-BC45-B4CB-40AA28259BA5}</author>
    <author>tc={18E6514D-D499-9240-95A9-B46585154A74}</author>
    <author>tc={8E60E95C-7125-0045-84E3-6D90E649E58F}</author>
    <author>tc={7455E39F-4B31-E647-9091-EECE8362A344}</author>
    <author>tc={323F6741-F84D-D44E-9600-D7409DD00CBE}</author>
    <author>tc={E5AEC698-668E-E84A-82D2-69719EBE527C}</author>
    <author>tc={264D743B-BBB6-1348-A2A2-52AAA08B43BA}</author>
    <author>tc={DE0D6D61-AC01-0D4D-A0C0-97C9097B6382}</author>
    <author>tc={AC56668E-C1ED-3B49-9E4B-F337DC6033A6}</author>
    <author>tc={4CF83453-782F-DB4A-B648-7BD36F6FBED8}</author>
    <author>tc={0477CEEF-C007-584B-9237-E1FF7EE34E55}</author>
  </authors>
  <commentList>
    <comment ref="K1" authorId="0" shapeId="0" xr:uid="{E8376D4E-B0E5-AE4A-A21C-8984F994671B}">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DA9F2890-84F3-314E-AE90-C927B7781A02}">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0872E4F6-C66D-D34B-AA27-7AD4C6ED4348}">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8173354D-7929-6A40-9851-4F21AEEFF2D0}">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7E95135D-F8EB-6344-BFB3-BE7653A9D232}">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2F529146-E08D-BC45-B4CB-40AA28259BA5}">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18E6514D-D499-9240-95A9-B46585154A74}">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E60E95C-7125-0045-84E3-6D90E649E58F}">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7455E39F-4B31-E647-9091-EECE8362A344}">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323F6741-F84D-D44E-9600-D7409DD00CBE}">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E5AEC698-668E-E84A-82D2-69719EBE527C}">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264D743B-BBB6-1348-A2A2-52AAA08B43BA}">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DE0D6D61-AC01-0D4D-A0C0-97C9097B6382}">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C56668E-C1ED-3B49-9E4B-F337DC6033A6}">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CF83453-782F-DB4A-B648-7BD36F6FBED8}">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0477CEEF-C007-584B-9237-E1FF7EE34E55}">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tc={2FA04038-811E-174E-87EA-8BAE7BE14073}</author>
    <author>tc={8FB575E1-B383-1245-B618-5664B51FC2C1}</author>
    <author>tc={4FAFD6FA-B050-6046-B9CB-18D1BF0457D9}</author>
    <author>tc={3A73B33F-68FC-C449-AF01-DE7D6C6F8CC4}</author>
    <author>tc={F90D5230-8740-FD45-94E1-AFB8DD263516}</author>
    <author>tc={6015DFF4-E078-E34F-BD20-6AE32E2E5AAC}</author>
    <author>tc={47495CB6-FEA1-754A-B43D-778431FD8E36}</author>
    <author>tc={1A2B0595-74B3-7047-8A6B-BD8A6DA6B213}</author>
    <author>tc={1DB1114C-0663-6047-9E35-6046FA9036DE}</author>
    <author>tc={7ED4C9A9-B597-B048-84D1-D426F2A5A72F}</author>
    <author>tc={453CF51A-94F9-264C-B621-FBA688D973D6}</author>
    <author>tc={DE9DCCC8-38CA-984B-BB4C-442816BF40D4}</author>
    <author>tc={24ED855D-8092-B04C-9C17-5A95F13FFAB6}</author>
    <author>tc={A2932C5C-7CB3-F34F-84B7-6F844216F6F7}</author>
    <author>tc={4081080E-B0C8-B849-B6DA-25ACD886D260}</author>
    <author>tc={A96806C7-F5C9-3A4A-ADEB-E99DCEDD9E9C}</author>
  </authors>
  <commentList>
    <comment ref="K1" authorId="0" shapeId="0" xr:uid="{2FA04038-811E-174E-87EA-8BAE7BE1407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8FB575E1-B383-1245-B618-5664B51FC2C1}">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4FAFD6FA-B050-6046-B9CB-18D1BF0457D9}">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3A73B33F-68FC-C449-AF01-DE7D6C6F8CC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F90D5230-8740-FD45-94E1-AFB8DD263516}">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6015DFF4-E078-E34F-BD20-6AE32E2E5AA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47495CB6-FEA1-754A-B43D-778431FD8E36}">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1A2B0595-74B3-7047-8A6B-BD8A6DA6B21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1DB1114C-0663-6047-9E35-6046FA9036DE}">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7ED4C9A9-B597-B048-84D1-D426F2A5A72F}">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53CF51A-94F9-264C-B621-FBA688D973D6}">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DE9DCCC8-38CA-984B-BB4C-442816BF40D4}">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24ED855D-8092-B04C-9C17-5A95F13FFAB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2932C5C-7CB3-F34F-84B7-6F844216F6F7}">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081080E-B0C8-B849-B6DA-25ACD886D260}">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A96806C7-F5C9-3A4A-ADEB-E99DCEDD9E9C}">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sharedStrings.xml><?xml version="1.0" encoding="utf-8"?>
<sst xmlns="http://schemas.openxmlformats.org/spreadsheetml/2006/main" count="2262" uniqueCount="987">
  <si>
    <t>Title</t>
  </si>
  <si>
    <t>Author</t>
  </si>
  <si>
    <t>Source</t>
  </si>
  <si>
    <t>Publication year</t>
  </si>
  <si>
    <t>DOI</t>
  </si>
  <si>
    <t>Abstract</t>
  </si>
  <si>
    <t>Database</t>
  </si>
  <si>
    <t>Compendex</t>
  </si>
  <si>
    <t>IEEE Transactions on Intelligent Transportation Systems</t>
  </si>
  <si>
    <t>Inspec</t>
  </si>
  <si>
    <t>Transportation Research Part C: Emerging Technologies</t>
  </si>
  <si>
    <t>10.1016/j.trc.2017.11.026</t>
  </si>
  <si>
    <t>Energy</t>
  </si>
  <si>
    <t>Energies</t>
  </si>
  <si>
    <t>IEEE Access</t>
  </si>
  <si>
    <t>10.1109/TITS.2017.2754382</t>
  </si>
  <si>
    <t>Journal of Advanced Transportation</t>
  </si>
  <si>
    <t>Transportation Research Part B: Methodological</t>
  </si>
  <si>
    <t>10.1016/j.trb.2017.01.005</t>
  </si>
  <si>
    <t>Electric Power Systems Research</t>
  </si>
  <si>
    <t>Applied Energy</t>
  </si>
  <si>
    <t>Journal of Cleaner Production</t>
  </si>
  <si>
    <t>Model predictive control</t>
  </si>
  <si>
    <t>Vehicle-to-grid</t>
  </si>
  <si>
    <t>IEEE Transactions on Vehicular Technology</t>
  </si>
  <si>
    <t>IEEE Transactions on Smart Grid</t>
  </si>
  <si>
    <t>10.1109/TSG.2017.2687522</t>
  </si>
  <si>
    <t>10.3390/en11010229</t>
  </si>
  <si>
    <t>10.1016/j.apenergy.2016.03.091</t>
  </si>
  <si>
    <t>IEEE Transactions on Power Systems</t>
  </si>
  <si>
    <t>ID</t>
  </si>
  <si>
    <t>Selected</t>
  </si>
  <si>
    <t>Year</t>
  </si>
  <si>
    <t>Journal</t>
  </si>
  <si>
    <t>Authors</t>
  </si>
  <si>
    <t>Keywords</t>
  </si>
  <si>
    <t>Charging</t>
  </si>
  <si>
    <t>V2G</t>
  </si>
  <si>
    <t>Price</t>
  </si>
  <si>
    <t>EVs</t>
  </si>
  <si>
    <t>EVSE</t>
  </si>
  <si>
    <t>RESs</t>
  </si>
  <si>
    <t>Formulation</t>
  </si>
  <si>
    <t>MPC</t>
  </si>
  <si>
    <t>Dispatching</t>
  </si>
  <si>
    <t>Dataset</t>
  </si>
  <si>
    <t>Charging facility</t>
  </si>
  <si>
    <t>Analysis</t>
  </si>
  <si>
    <t>Cristicism</t>
  </si>
  <si>
    <t>Why this classification?</t>
  </si>
  <si>
    <t>Bibtex</t>
  </si>
  <si>
    <t>Section</t>
  </si>
  <si>
    <t>Class</t>
  </si>
  <si>
    <t>Name</t>
  </si>
  <si>
    <t>Acronym</t>
  </si>
  <si>
    <t>Description</t>
  </si>
  <si>
    <t>Synonyms</t>
  </si>
  <si>
    <t>Latex</t>
  </si>
  <si>
    <t>Algorithms</t>
  </si>
  <si>
    <t>Scheduling algorithm</t>
  </si>
  <si>
    <t>Average rate</t>
  </si>
  <si>
    <t>AR</t>
  </si>
  <si>
    <t>Scheduling algorithm that supply the minimum power of the EVSE capacity.</t>
  </si>
  <si>
    <t>Algorithm</t>
  </si>
  <si>
    <t>Backward-forward sweep</t>
  </si>
  <si>
    <t>BFS</t>
  </si>
  <si>
    <t>Algorithm to compute the power flow in a network</t>
  </si>
  <si>
    <t>Earliest deadline first</t>
  </si>
  <si>
    <t>EDF</t>
  </si>
  <si>
    <t>Scheduling algorithm that schedules the charge of the vehicle with earliest departure time first.</t>
  </si>
  <si>
    <t>Earliest start time</t>
  </si>
  <si>
    <t>EST</t>
  </si>
  <si>
    <t>Scheduling algorithm that dispatches the EVSE firsly available with no spatial consideration.</t>
  </si>
  <si>
    <t>First-in First-served</t>
  </si>
  <si>
    <t>FIFS</t>
  </si>
  <si>
    <t>Scheduling algorithm that dispatches EVs according to their arrival times.</t>
  </si>
  <si>
    <t>First-come first-served (FCFS)</t>
  </si>
  <si>
    <t>Least slack time</t>
  </si>
  <si>
    <t>LST</t>
  </si>
  <si>
    <t>Scheduling algorithm that prioritizes those vehicle with shortest remaining time to achieve the desired SoC.</t>
  </si>
  <si>
    <t>Least laxity first (LLF)</t>
  </si>
  <si>
    <t>Lowest state-of-charge first</t>
  </si>
  <si>
    <t>LSF</t>
  </si>
  <si>
    <t>Scheduling algorithm that charges the vehicle with the lowest SoC first</t>
  </si>
  <si>
    <t>Nearest Neighbor Charging Routing</t>
  </si>
  <si>
    <t>NNCR</t>
  </si>
  <si>
    <t>Scheduling algorithm that dispatches the EV to the nearest charging station and the corresponding EVSE that is firstly available.</t>
  </si>
  <si>
    <t>Newton-Raphson</t>
  </si>
  <si>
    <t>Price oriented scheduling</t>
  </si>
  <si>
    <t>POS</t>
  </si>
  <si>
    <t>Scheduling algorithm that supplies more energy during cheaper windows</t>
  </si>
  <si>
    <t>ToU scheduling</t>
  </si>
  <si>
    <t>Randomly delayed charging</t>
  </si>
  <si>
    <t>RND</t>
  </si>
  <si>
    <t>Scheduling algorithm that starts to supplying power after a random amount of time.</t>
  </si>
  <si>
    <t>Shortest job first</t>
  </si>
  <si>
    <t>SJF</t>
  </si>
  <si>
    <t>Scheduling algorithm that charges the vehicle with less required energy first.</t>
  </si>
  <si>
    <t>Smart charging system with cooperation</t>
  </si>
  <si>
    <t>SCSC</t>
  </si>
  <si>
    <t>Scheduling algorithm that supplies energy according to maximizing the utilization of the available power.</t>
  </si>
  <si>
    <t>Without chargers assignment scheduling</t>
  </si>
  <si>
    <t>WCAS</t>
  </si>
  <si>
    <t>Scheduling algorithm that dispatches EV to charging stations but not to EVSE.</t>
  </si>
  <si>
    <t>Dictionary</t>
  </si>
  <si>
    <t>Infrastructure</t>
  </si>
  <si>
    <t>Aggregator unit</t>
  </si>
  <si>
    <t>AU</t>
  </si>
  <si>
    <t>Is a central entity acting as an interface between EV users and the system operator or electricity market [4] \cite{han2017optimal}.</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</si>
  <si>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</si>
  <si>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Concept</t>
  </si>
  <si>
    <t>Battery capacity (kWh)</t>
  </si>
  <si>
    <t>It is the maximum energy the battery can save</t>
  </si>
  <si>
    <t>Battery health, state of the battery.</t>
  </si>
  <si>
    <t>Blackout</t>
  </si>
  <si>
    <t>It is the loss of the electrical power network supply to an end user (a.k.a. power outage, powercut, a power out, a power blackout, a power failure or a power loss).</t>
  </si>
  <si>
    <t>Brownout</t>
  </si>
  <si>
    <t>Phemonenon when there is an intentional or unintentional drop in the voltage.</t>
  </si>
  <si>
    <t>Charging capacity (kW)</t>
  </si>
  <si>
    <t>It is the maximum power the battery stands</t>
  </si>
  <si>
    <t>Charging efficiency</t>
  </si>
  <si>
    <t>Place where there is an EVSE. It can be either a station, a home, a parking and a workplace.</t>
  </si>
  <si>
    <t>Charging pile</t>
  </si>
  <si>
    <t>It is the box where the vehicle is connected through the cable.</t>
  </si>
  <si>
    <t>Charging power modulation</t>
  </si>
  <si>
    <t>It is the capability of the AU to control the power supplied.</t>
  </si>
  <si>
    <t>Problem</t>
  </si>
  <si>
    <t>Coordinated charging</t>
  </si>
  <si>
    <t>Energy supplied is controled under power availability and/or power grid constraints.</t>
  </si>
  <si>
    <t>Other</t>
  </si>
  <si>
    <t>Distributed energy resource</t>
  </si>
  <si>
    <t>DER</t>
  </si>
  <si>
    <t>It refers to those energies that are not generated and distributed by the distribution network, e.g. renewable energy resources.</t>
  </si>
  <si>
    <t>Intermittent energy resource (IER)</t>
  </si>
  <si>
    <t>Distribution system operator</t>
  </si>
  <si>
    <t>DSO</t>
  </si>
  <si>
    <t>The AUs are connected to them. They manage the energy demand of the connected AUs. They are located between the transmission and distribution networks.</t>
  </si>
  <si>
    <t>Vehicle</t>
  </si>
  <si>
    <t>Electric vehicle</t>
  </si>
  <si>
    <t>EV</t>
  </si>
  <si>
    <t>Light-weight vehicles that require a rechargeable battery.</t>
  </si>
  <si>
    <t>Plug-in electric vehicle (PEV), Battery electric vehicle (BEV), Full electric vehicle (FEV), Pure electric cars (PEC).</t>
  </si>
  <si>
    <t>Electric vehicle supply equiment</t>
  </si>
  <si>
    <t>It is the cable to connect the EV to the charging pile where the power energy flows through.</t>
  </si>
  <si>
    <t>Charging equipment, Connector</t>
  </si>
  <si>
    <t>Electric vehicle supply equipement port</t>
  </si>
  <si>
    <t>EVSE port</t>
  </si>
  <si>
    <t>It the plug where the EVSE is plugged-in.</t>
  </si>
  <si>
    <t>Charging port</t>
  </si>
  <si>
    <t>EV load</t>
  </si>
  <si>
    <t>It is the power or energy consumed at EVSEs over time.</t>
  </si>
  <si>
    <t>Fuel cell electric vehicle</t>
  </si>
  <si>
    <t>FCEV</t>
  </si>
  <si>
    <t>Vehicles that work with hydrogen fuel.</t>
  </si>
  <si>
    <t>Grid-to-vehicle</t>
  </si>
  <si>
    <t>G2V</t>
  </si>
  <si>
    <t>The power grid supplies energy to EVs.</t>
  </si>
  <si>
    <t>Unidirectional, Unidirectional V2G, V1G.</t>
  </si>
  <si>
    <t>Hybrid electric vehicle</t>
  </si>
  <si>
    <t>HEV</t>
  </si>
  <si>
    <t>Vehicles that use gasoline and electricity.</t>
  </si>
  <si>
    <t>Plug-in hybrid electric vehicle (PHEV), Hybrid electric cars (HEC).</t>
  </si>
  <si>
    <t>Internal combustion engine vehicle</t>
  </si>
  <si>
    <t>ICEV</t>
  </si>
  <si>
    <t>Vehicles that use gasoline only.</t>
  </si>
  <si>
    <t>Internal combustion vehicles (ICVs), Conventional vehicle (CV).</t>
  </si>
  <si>
    <t>It aims to repeatedly solve an optimization problem using forecast of costs and demand, among others.</t>
  </si>
  <si>
    <t>Receding horizon control (RHC)</t>
  </si>
  <si>
    <t>Pricing</t>
  </si>
  <si>
    <t>Price control</t>
  </si>
  <si>
    <t>Coordination method in which the AU sets the price over the day as an incentive or disincentive mechanism to plug-in EV when needed.</t>
  </si>
  <si>
    <t>Sliding windows</t>
  </si>
  <si>
    <t>It is the time between the arrival of the EV and the lattest charging time before departure (to get the desired SoC)</t>
  </si>
  <si>
    <t>Sojourn time, dwell time.</t>
  </si>
  <si>
    <t>Battery</t>
  </si>
  <si>
    <t>State-of-chage</t>
  </si>
  <si>
    <t>SoC</t>
  </si>
  <si>
    <t>Almacenated energy in the battery, commonly represented as a fraction of the total capacity.</t>
  </si>
  <si>
    <t>State-of-energy (SoE), Depth-of-Dischard (DoD) if 1 - SoC, Battery state of charging (BSOC).</t>
  </si>
  <si>
    <t>Transmission system operator</t>
  </si>
  <si>
    <t>TSO</t>
  </si>
  <si>
    <t>The network that transports the enery at high voltage from the generation source to cities.</t>
  </si>
  <si>
    <t>Transmission system</t>
  </si>
  <si>
    <t>Uncoordinated charging</t>
  </si>
  <si>
    <t>When energy is supplied with no control nor constraint until desired SoC is reached. In other words, charge whenever possible (obviously).</t>
  </si>
  <si>
    <t>EVs are also energy sources since they can provide energy to the grid by discharging their batteries.</t>
  </si>
  <si>
    <t>Bi-directional V2G, Bi-directional charging.</t>
  </si>
  <si>
    <t>Energy supply</t>
  </si>
  <si>
    <t>Aging acceleration factor</t>
  </si>
  <si>
    <t>AAF</t>
  </si>
  <si>
    <t>Is a metric for determining how much a charging load impacts transformer life</t>
  </si>
  <si>
    <t>Bottleneck</t>
  </si>
  <si>
    <t>Line limits and transformer capacities across different voltage levels.</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</si>
  <si>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</si>
  <si>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</si>
  <si>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</si>
  <si>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</si>
  <si>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</si>
  <si>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Power generation system</t>
  </si>
  <si>
    <t>Encompasses the production of electricity and the allocation of required demand between producers.</t>
  </si>
  <si>
    <t>Unit commitment</t>
  </si>
  <si>
    <t>UC</t>
  </si>
  <si>
    <t>It is the problem that schedules the energy production at minimum cost.</t>
  </si>
  <si>
    <t>Non-preemptive charging</t>
  </si>
  <si>
    <t>Once charging starts, it is not allowed to stop supplying energy.</t>
  </si>
  <si>
    <t>Non-stop charging</t>
  </si>
  <si>
    <t>Power coordinated charging</t>
  </si>
  <si>
    <t>PCC</t>
  </si>
  <si>
    <t>The power consumer by each EV is controlled such that the total load demand does not exceed the total power availability.</t>
  </si>
  <si>
    <t>Variable charge-rate coordination (VCC).</t>
  </si>
  <si>
    <t>Preemptive charging</t>
  </si>
  <si>
    <t>Once charging starts, it is allowed to stop supplying energy.</t>
  </si>
  <si>
    <t>Free charging</t>
  </si>
  <si>
    <t>Time coordinated charging</t>
  </si>
  <si>
    <t>TCC</t>
  </si>
  <si>
    <t>There is a maximum number of Evs each time such that the total load demand does not exceed the total power availability.</t>
  </si>
  <si>
    <t>Fixed charge-rate coordination (FCC), on-off based charging.</t>
  </si>
  <si>
    <t>Modelling</t>
  </si>
  <si>
    <t>Alternating direction method of multipliers</t>
  </si>
  <si>
    <t>ADMM</t>
  </si>
  <si>
    <t>This approach solves the cooperative charging problem decomposing the original problem into smaller subproblems that are assigned to each PEV and an aggregator</t>
  </si>
  <si>
    <t>Centralized charging</t>
  </si>
  <si>
    <t>The AU decides when and how much to charge each EV by gathering the information of all EVs that demand energy.</t>
  </si>
  <si>
    <t>Centralized control, Direct control.</t>
  </si>
  <si>
    <t>Decentralized charging</t>
  </si>
  <si>
    <t>Coordination methods in which the decision is taken by the EV under a negotiation process, e.g. a game, without information provided by the other EVs.</t>
  </si>
  <si>
    <t>Distributed charging, self-scheduling, transactive control, Indirect control.</t>
  </si>
  <si>
    <t>Distributed charging</t>
  </si>
  <si>
    <t>EVs schedule their charging by themselves based on information provided by the AU about other EVs.</t>
  </si>
  <si>
    <t>Hierarchical charging, Aggregator-assisted charging.</t>
  </si>
  <si>
    <t>Locational marginal pricing</t>
  </si>
  <si>
    <t>LMP</t>
  </si>
  <si>
    <t>Real-time pricing</t>
  </si>
  <si>
    <t>RTP</t>
  </si>
  <si>
    <t>Pricing scheme that is adjusted according to a function that varies over the time.</t>
  </si>
  <si>
    <t>Dynamic pricing, time-varying price/tariff.</t>
  </si>
  <si>
    <t>Time-of-use</t>
  </si>
  <si>
    <t>ToU</t>
  </si>
  <si>
    <t>Pricing scheme that is constant by time frame (static price), commonly three frame: off-peak, shoulder and peak.</t>
  </si>
  <si>
    <t>Piece-wise constant, White tariff.</t>
  </si>
  <si>
    <t>Wardrop equilibrium</t>
  </si>
  <si>
    <t>WE</t>
  </si>
  <si>
    <t>In the context of interaction among drivers with congestion effects, it is an equilibrium where there is no incentive to change the decision unilaterally.</t>
  </si>
  <si>
    <t>Included</t>
  </si>
  <si>
    <t>Deleted</t>
  </si>
  <si>
    <t>Stand-by</t>
  </si>
  <si>
    <t>Literature reviews</t>
  </si>
  <si>
    <t>No access</t>
  </si>
  <si>
    <t>Articles</t>
  </si>
  <si>
    <t>Read</t>
  </si>
  <si>
    <t>Total</t>
  </si>
  <si>
    <t>Acceptation</t>
  </si>
  <si>
    <t>Date</t>
  </si>
  <si>
    <t>Preemptive</t>
  </si>
  <si>
    <t>PowerSupply</t>
  </si>
  <si>
    <t>ChargingTime</t>
  </si>
  <si>
    <t>BatteryDegradation</t>
  </si>
  <si>
    <t>VehicleType</t>
  </si>
  <si>
    <t>FleetSize</t>
  </si>
  <si>
    <t>ArrivalTime</t>
  </si>
  <si>
    <t>DepartureTime</t>
  </si>
  <si>
    <t>DesiredSoC</t>
  </si>
  <si>
    <t>StartingSoC</t>
  </si>
  <si>
    <t>TimeHorizon</t>
  </si>
  <si>
    <t>TimeInterval</t>
  </si>
  <si>
    <t>RealTimeAlgorithm</t>
  </si>
  <si>
    <t>EnergyMarket</t>
  </si>
  <si>
    <t>AU_Location</t>
  </si>
  <si>
    <t>PowerCapacity</t>
  </si>
  <si>
    <t>BenchmarkAlgorithms</t>
  </si>
  <si>
    <t>ObjectiveSoC</t>
  </si>
  <si>
    <t>-</t>
  </si>
  <si>
    <t>Uncontrolled charging, unregulated charging, direct charging, simple charging, dumb charging, immediate charging (IMM), Expedient charging, Naïve charging, As fast as possible (AFAP)</t>
  </si>
  <si>
    <t>Energy Technology</t>
  </si>
  <si>
    <t>10.1002/ente.201800705</t>
  </si>
  <si>
    <t>IEEE Transactions on Industry Applications</t>
  </si>
  <si>
    <t>10.1109/TIA.2020.2984614</t>
  </si>
  <si>
    <t>Transportation Research Part D: Transport and Environment</t>
  </si>
  <si>
    <t>IET Renewable Power Generation</t>
  </si>
  <si>
    <t>10.1049/iet-rpg.2020.0837</t>
  </si>
  <si>
    <t>10.1109/TIA.2020.2984741</t>
  </si>
  <si>
    <t>Journal of Energy Storage</t>
  </si>
  <si>
    <t>10.1109/ACCESS.2020.2964391</t>
  </si>
  <si>
    <t>10.1109/TSG.2020.2991232</t>
  </si>
  <si>
    <t>10.1002/2050-7038.12366</t>
  </si>
  <si>
    <t>10.1016/j.jclepro.2021.129313</t>
  </si>
  <si>
    <t>10.1016/j.trd.2020.102682</t>
  </si>
  <si>
    <t>10.1109/TSG.2021.3053026</t>
  </si>
  <si>
    <t>IEEE Transactions on Sustainable Energy</t>
  </si>
  <si>
    <t>10.1109/TSTE.2021.3090463</t>
  </si>
  <si>
    <t>Sustainable Cities and Society</t>
  </si>
  <si>
    <t>10.1109/ACCESS.2022.3177842</t>
  </si>
  <si>
    <t>10.1016/j.est.2022.105633</t>
  </si>
  <si>
    <t>10.1109/TSG.2022.3181359</t>
  </si>
  <si>
    <t>10.1016/j.est.2022.104012</t>
  </si>
  <si>
    <t>10.1016/j.epsr.2022.108889</t>
  </si>
  <si>
    <t>10.1109/TITS.2021.3076008</t>
  </si>
  <si>
    <t>Tran, Cong Quoc; Keyvan-Ekbatani, Mehdi; Ngoduy, Dong; Watling, David</t>
  </si>
  <si>
    <t>Zhang, Bo; Zhao, Meng; Hu, Xiangpei</t>
  </si>
  <si>
    <t>10.1016/j.tre.2021.102460</t>
  </si>
  <si>
    <t>10.1080/00207543.2021.2023832</t>
  </si>
  <si>
    <t>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</si>
  <si>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t>
  </si>
  <si>
    <t>WoS</t>
  </si>
  <si>
    <t>ChargingFacilityDesign</t>
  </si>
  <si>
    <t>Static charging infrastructure</t>
  </si>
  <si>
    <t>The problem of charging facilities placement</t>
  </si>
  <si>
    <t>Dynamic charging infrastructure</t>
  </si>
  <si>
    <t>The problem of electrified roads</t>
  </si>
  <si>
    <t>Market clearing</t>
  </si>
  <si>
    <t>Process in which the demand is equal to the offer</t>
  </si>
  <si>
    <t>To read</t>
  </si>
  <si>
    <t>PrimaryControlTechnique</t>
  </si>
  <si>
    <t>Controlled charging, smart charging, charge management (CM), Optimized charging (OC), EV charging scheduling (EVCS), EV charging charging coordination (EVCC)</t>
  </si>
  <si>
    <t>Upper_player</t>
  </si>
  <si>
    <t>Middle_player</t>
  </si>
  <si>
    <t>Lower_player</t>
  </si>
  <si>
    <t>Upper_player_number</t>
  </si>
  <si>
    <t>Middle_player_number</t>
  </si>
  <si>
    <t>Lower_player_number</t>
  </si>
  <si>
    <t>Upper_player_objective</t>
  </si>
  <si>
    <t>Middle_player_objective</t>
  </si>
  <si>
    <t>Lower_player_objective</t>
  </si>
  <si>
    <t>PublicFacility</t>
  </si>
  <si>
    <t>WorkplaceFacility</t>
  </si>
  <si>
    <t>HomeFacility</t>
  </si>
  <si>
    <t>Goal</t>
  </si>
  <si>
    <t>Comment</t>
  </si>
  <si>
    <t>E (Included)</t>
  </si>
  <si>
    <t>NetworkProblem</t>
  </si>
  <si>
    <t>Category</t>
  </si>
  <si>
    <t>SingleProblem</t>
  </si>
  <si>
    <t>MultiProblem</t>
  </si>
  <si>
    <t>A Bi-Level Optimisation Framework For Electric Vehicle Fleet Charging Management</t>
  </si>
  <si>
    <t>Škugor, Branimir(1); Deur, Joko(1)</t>
  </si>
  <si>
    <t>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t>
  </si>
  <si>
    <t>GoogleScholar</t>
  </si>
  <si>
    <t>Locating Multiple Types Of Charging Facilities For Battery Electric Vehicles</t>
  </si>
  <si>
    <t>Liu, Haoxiang; Wang, David Z. W.</t>
  </si>
  <si>
    <t>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 ownership choice among multiple types BEV and BEV drivers'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(C) 2017 Elsevier Ltd. All rights reserved.</t>
  </si>
  <si>
    <t>Real-Time Optimal Energy And Reserve Management Of Electric Vehicle Fast Charging Station: Hierarchical Game Approach</t>
  </si>
  <si>
    <t>Zhao, Tianyang; Li, Yuanzheng; Pan, Xuewei; Wang, Peng; Zhang, Jianhua</t>
  </si>
  <si>
    <t>In this paper, the aggregation of electric vehicles (EVs) and fast charging station (FCS) is modeled as a leader 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t>
  </si>
  <si>
    <t>A Bi-Level Optimization Approach To Charging Load Regulation Of Electric Vehicle Fast Charging Stations Based On A Battery Energy Storage System</t>
  </si>
  <si>
    <t>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t>
  </si>
  <si>
    <t>Optimal Electric Vehicle Fast Charging Station Placement Based On Game Theoretical Framework</t>
  </si>
  <si>
    <t>Xiong, Yanhai(1); Gan, Jiarui(2); An, Bo(3); Miao, Chunyan(3); Bazzan, Ana L.C.(4)</t>
  </si>
  <si>
    <t>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t>
  </si>
  <si>
    <t>An Optimal Charging Station Location Model With The Consideration Of Electric Vehicle's Driving Range</t>
  </si>
  <si>
    <t>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t>
  </si>
  <si>
    <t>A Real-Time Multilevel Energy Management Strategy For Electric Vehicle Charging In A Smart Electric Energy Distribution System</t>
  </si>
  <si>
    <t>Hu, Yong; Su, Su; He, Luobin; Wu, Xuezhi; Ma, Tao; Liu, Ziqi; Wei, Xiangxiang</t>
  </si>
  <si>
    <t>The randomness of electric vehicle (EV) charging has negative impacts on three-phase imbalance and peak-valley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peak-valley differences of active power consumption on each phase are all mitigated.</t>
  </si>
  <si>
    <t>Collaborative Optimization Of Vehicle And Charging Scheduling For A Bus Fleet Mixed With Electric And Traditional Buses</t>
  </si>
  <si>
    <t>Zhou, Guang-Jing; Xie, Dong-Fan; Zhao, Xiao-Mei; Lu, Chaoru</t>
  </si>
  <si>
    <t>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t>
  </si>
  <si>
    <t>Optimal Allocation Of Distributed Generation And Electric Vehicle Charging Stations Based On Intelligent Algorithm And Bi-Level Programming</t>
  </si>
  <si>
    <t>Liu, Lijun; Zhang, Yan; Da, Chao; Huang, Zonglong; Wang, Mengqi</t>
  </si>
  <si>
    <t>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t>
  </si>
  <si>
    <t>A Deep Reinforcement Learning Method For Pricing Electric Vehicles With Discrete Charging Levels</t>
  </si>
  <si>
    <t>Qiu, Dawei; Ye, Yujian; Papadaskalopoulos, Dimitrios; Strbac, Goran</t>
  </si>
  <si>
    <t>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t>
  </si>
  <si>
    <t>Enhancing Hosting Capacity Of Intermittent Wind Turbine Systems Using Bi-Level Optimisation Considering Oltc And Electric Vehicle Charging Stations</t>
  </si>
  <si>
    <t>Deployment Of The Electric Vehicle Charging Station Considering Existing Competitors</t>
  </si>
  <si>
    <t>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t>
  </si>
  <si>
    <t>Bilevel Robust Optimization Of Electric Vehicle Charging Stations With Distributed Energy Resources</t>
  </si>
  <si>
    <t>Stochasticity And Environmental Cost Inclusion For Electric Vehicles Fast-Charging Facility Deployment</t>
  </si>
  <si>
    <t>Optimal Pricing Of Public Electric Vehicle Charging Stations Considering Operations Of Coupled Transportation And Power Systems</t>
  </si>
  <si>
    <t>Cui, Yan; Hu, Zechun; Duan, Xiaoyu</t>
  </si>
  <si>
    <t>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t>
  </si>
  <si>
    <t>Coordinating Flexible Demand Response And Renewable Uncertainties For Scheduling Of Community Integrated Energy Systems With An Electric Vehicle Charging Station: A Bi-Level Approach</t>
  </si>
  <si>
    <t>Li, Yang; Han, Meng; Yang, Zhen; Li, Guoqing</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</si>
  <si>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t>
  </si>
  <si>
    <t>Optimal Fast Charging Station Locations For Electric Ridesharing With Vehicle-Charging Station Assignment</t>
  </si>
  <si>
    <t>Ma T.-Y., Xie S.</t>
  </si>
  <si>
    <t>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t>
  </si>
  <si>
    <t>Scopus</t>
  </si>
  <si>
    <t>A Bi-Level Optimization Model For Electric Vehicle Charging Strategy Based On Regional Grid Load Following</t>
  </si>
  <si>
    <t>Yang, Xiaolong(1,2); Niu, Dongxiao(1,3); Sun, Lijie(1,3); Ji, Zhengsen(1,3); Zhou, Jiancheng(4); Wang, Keke(1,3); Siqin, Zhuoya(1,3)</t>
  </si>
  <si>
    <t>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t>
  </si>
  <si>
    <t>Electronics</t>
  </si>
  <si>
    <t>M Bilal, M Rizwan</t>
  </si>
  <si>
    <t>Applied Sciences</t>
  </si>
  <si>
    <t>Electric Vehicle User Data-Induced Cyber Attack On Electric Vehicle Charging Station</t>
  </si>
  <si>
    <t>Jeong, Seong Ile; Choi, Dae-Hyun</t>
  </si>
  <si>
    <t>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t>
  </si>
  <si>
    <t>Bi-Level Planning Method Of Urban Electric Vehicle Charging Station Considering Multiple Demand Scenarios And Multi-Type Charging Piles</t>
  </si>
  <si>
    <t>Liu X.</t>
  </si>
  <si>
    <t>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t>
  </si>
  <si>
    <t>Location Planning Of Electric Vehicle Charging Station With Users’ Preferences And Waiting Time: Multi-Objective Bi-Level Programming Model And Hnsga-Ii Algorithm</t>
  </si>
  <si>
    <t>Zhang B., Zhao M., Hu X.</t>
  </si>
  <si>
    <t>International Journal of Production Research</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</si>
  <si>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 © 2022 Informa UK Limited, trading as Taylor &amp; Francis Group.</t>
  </si>
  <si>
    <t>Trilevel Optimization Model For Competitive Pricing Of Electric Vehicle Charging Station Considering Distribution Locational Marginal Price</t>
  </si>
  <si>
    <t>Sustainable Energy Supply Of Electric Vehicle Charging Parks And Hydrogen Refueling Stations Integrated In Local Energy Systems Under A Risk-Averse Optimization Strategy</t>
  </si>
  <si>
    <t>Shoja, Zahra Moshaver(1); Mirzaei, Mohammad Amin(1); Seyedi, Heresh(1); Zare, Kazem(1)</t>
  </si>
  <si>
    <t>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t>
  </si>
  <si>
    <t>Strategic Pricing Of Electric Vehicle Charging Service Providers In Coupled Power-Transportation Networks</t>
  </si>
  <si>
    <t>Sustainability</t>
  </si>
  <si>
    <t>Bi-Level Programming Model Approach For Electric Vehicle Charging Stations Considering User Charging Costs</t>
  </si>
  <si>
    <t>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t>
  </si>
  <si>
    <t>Location Planning Of Electric Vehicle Charging Station With Users' Preferences And Waiting Time: Multi-Objective Bi-Level Programming Model And Hnsga-Ii Algorithm</t>
  </si>
  <si>
    <t>Matching Uncertain Renewable Supply With Electric Vehicle Charging Demand—A Bi-Level Event-Based Optimization Method</t>
  </si>
  <si>
    <t>Teng Long(1); Qing-Shan Jia(1)</t>
  </si>
  <si>
    <t>Complex System Modeling and Simulation</t>
  </si>
  <si>
    <t>10.23919/CSMS.2021.0001</t>
  </si>
  <si>
    <t>The matching between dynamic supply of renewable power generation and flexible charging demand of the Electric Vehicles (EVs) can not only increase the penetration of renewables but also reduce the load to the state electric power grid. The challenges herein are the curse of dimensionality, the multiple decision making stages involved, and the uncertainty of both the supply and demand sides. Event-Based Optimization (EBO) provides a new way to solve large-scale Markov decision process. Considering different spatial scales, we develop a bi-level EBO model in this paper which can both catch the changes on the macro and micro levels. By proper definition, the size of event space stays fixed with the scale of the problem, which shows good scalability in online optimization. Then a bi-level Q-learning method is developed to solve the problem iteratively. We demonstrate the performance of the method by numerical examples. Our method outperforms other methods both in performance and scalability.</t>
  </si>
  <si>
    <t>System Of Systems Model For Planning Electric Vehicle Charging Infrastructure In Intercity Transportation Networks Under Emission Consideration</t>
  </si>
  <si>
    <t>Chao Lei(1,2); Liqun Lu(3); Yanfeng Ouyang(1)</t>
  </si>
  <si>
    <t>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t>
  </si>
  <si>
    <t>International Journal of Electrical Power &amp; Energy Systems</t>
  </si>
  <si>
    <t>Transportation Research Part E: Logistics and Transportation Review</t>
  </si>
  <si>
    <t>Sustainable Energy, Grids and Networks</t>
  </si>
  <si>
    <t>10.1109/TSG.2022.3219109</t>
  </si>
  <si>
    <t>Journal of Operation and Automation in Power Engineering</t>
  </si>
  <si>
    <t>Coordination</t>
  </si>
  <si>
    <t>Hierarchical</t>
  </si>
  <si>
    <t>Optimal Placement And Sizing Of Plug In Electric Vehicles Charging Stations Within Distribution Networks With High Penetration Of Photovoltaic Panels</t>
  </si>
  <si>
    <t>E Pashajavid, MA Golkar</t>
  </si>
  <si>
    <t>10.1063/1.4822257</t>
  </si>
  <si>
    <t>An Improved Pso-Based Charging Strategy Of Electric Vehicles In Electrical Distribution Grid</t>
  </si>
  <si>
    <t>J Yang, L He, S Fu</t>
  </si>
  <si>
    <t>User Equilibrium–Based Location Model Of Rapid Charging Stations For Electric Vehicles With Batteries That Have Different States Of Charge</t>
  </si>
  <si>
    <t>YG Lee, HS Kim, SY Kho, C Lee</t>
  </si>
  <si>
    <t>10.3141/2454-13</t>
  </si>
  <si>
    <t>Research On Charging And Discharging Dispatching Strategy For Electric Vehicles</t>
  </si>
  <si>
    <t>Yong W., Haihong B., Chunning W.</t>
  </si>
  <si>
    <t>Open Fuels and Energy Science Journal</t>
  </si>
  <si>
    <t>10.2174/1876973X01508010176</t>
  </si>
  <si>
    <t>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t>
  </si>
  <si>
    <t>Centralized Bi-Level Spatial-Temporal Coordination Charging Strategy For Area Electric Vehicles</t>
  </si>
  <si>
    <t>L Yu, T Zhao, Q Chen, J Zhang</t>
  </si>
  <si>
    <t>Deploying Public Charging Stations For Electric Vehicles On Urban Road Networks</t>
  </si>
  <si>
    <t>F He, Y Yin, J Zhou</t>
  </si>
  <si>
    <t>Stochastic Multiperiod Decision Making Framework Of An Electricity Retailer Considering Aggregated Optimal Charging And Discharging Of Electric Vehicles</t>
  </si>
  <si>
    <t>A Badri, K Hoseinpour Lonbar</t>
  </si>
  <si>
    <t>Decentralized Optimal Scheduling For Charging And Discharging Of Plug-In Electric Vehicles In Smart Grids</t>
  </si>
  <si>
    <t>H Xing, M Fu, Z Lin, Y Mou</t>
  </si>
  <si>
    <t>Sustainability Si: Optimal Prices Of Electricity At Public Charging Stations For Plug-In Electric Vehicles</t>
  </si>
  <si>
    <t>F He, Y Yin, J Wang, Y Yang</t>
  </si>
  <si>
    <t>Networks and Spatial Economics</t>
  </si>
  <si>
    <t>10.1007/s11067-013-9212-8</t>
  </si>
  <si>
    <t>Optimal Deployment Of Charging Lanes For Electric Vehicles In Transportation Networks</t>
  </si>
  <si>
    <t>Z Chen, F He, Y Yin</t>
  </si>
  <si>
    <t>Location Design Of Electric Vehicle Charging Facilities: A Path-Distance Constrained Stochastic User Equilibrium Approach</t>
  </si>
  <si>
    <t>Jing, Wentao(1); An, Kun(1); Ramezani, Mohsen(2); Kim, Inhi(1)</t>
  </si>
  <si>
    <t>10.1155/2017/4252946</t>
  </si>
  <si>
    <t>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t>
  </si>
  <si>
    <t>Traffic Equilibrium And Charging Facility Locations For Electric Vehicles</t>
  </si>
  <si>
    <t>H Zheng, X He, Y Li, S Peeta</t>
  </si>
  <si>
    <t>10.1007/s11067-016-9332-z</t>
  </si>
  <si>
    <t>Electric Vehicles Charging Infrastructure Location: A Genetic Algorithm Approach</t>
  </si>
  <si>
    <t>D Efthymiou, K Chrysostomou…</t>
  </si>
  <si>
    <t>10.1007/s12544-017-0239-7</t>
  </si>
  <si>
    <t>Admm-Based Multiperiod Optimal Power Flow Considering Plug-In Electric Vehicles Charging</t>
  </si>
  <si>
    <t>H Fan, C Duan, CK Zhang, L Jiang…</t>
  </si>
  <si>
    <t>High Efficient Valley-Filling Strategy For Centralized Coordinated Charging Of Large-Scale Electric Vehicles</t>
  </si>
  <si>
    <t>L Jian, Y Zheng, Z Shao</t>
  </si>
  <si>
    <t>A Hierarchical Game Theoretical Approach For Energy Management Of Electric Vehicles And Charging Stations In Smart Grids</t>
  </si>
  <si>
    <t>Shakerighadi B., Anvari-Moghaddam A., Ebrahimzadeh E., Blaabjerg F., Bak C.L.</t>
  </si>
  <si>
    <t>10.1109/ACCESS.2018.2878903</t>
  </si>
  <si>
    <t>By the proliferation of electric vehicles (EVs) in power systems, it is needed to manage their demand energy within a regulated market framework. From the market perspective, integration of different market players, such as the energy producers, aggregators, and loads, could complicate the system operation and management. Therefore, an appropriate model of the market that shows the exact behavior of the system components is needed. In this paper, a new tri-level game theoretical approach for energy management of EVs and EV charging stations (EVCSs) as independent decision makers for their energy scenarios is proposed. To make it practical for a real power system, the system operator is also included in the proposed method as a master decision maker. Therefore, EVs' and EVCSs' objectives are to maximize their financial profits, while the system operator indirectly controls their energy scenarios in order to fulfill the system's technical constraints. To do so, at the highest level of the proposed method, technical goals of the system, which are related to the system operational condition, will be followed as the objective criteria. At the second level of the designed model, the EVCSs financial objectives are optimized. In the third level of the proposed method, it is tried to minimize the EVs' cost function. The method is tested on an IEEE 9-bus standard system, and the results show a superior performance of the proposed energy management system (EMS) compared with the conventional EMS methods in terms of technical and financial objectives. In this way, it is shown that in the case of considering only one aspect of the system, either financial or technical, the other aspects of the system may not be satisfied. Hence, it is essential to consider both the financial and technical aspects of the system simultaneously, in order to operate the system optimally and securely. © 2013 IEEE.</t>
  </si>
  <si>
    <t>Bao Y., Luo Y., Zhang W., Huang M., Wang L.Y., Jiang J.</t>
  </si>
  <si>
    <t>He J., Yang H., Tang T.-Q., Huang H.-J.</t>
  </si>
  <si>
    <t>Network Security-Aware Charging Of Electric Vehicles</t>
  </si>
  <si>
    <t>A Tian, W Li, Z Li, Y Sun</t>
  </si>
  <si>
    <t>A Hierarchical Dispatch Model For Optimizing Real‐Time Charging And Discharging Strategy Of Electric Vehicles</t>
  </si>
  <si>
    <t>Q Zhang, H Liu, C Li</t>
  </si>
  <si>
    <t>10.1002/tee.22599</t>
  </si>
  <si>
    <t>Optimising Route Choices For The Travelling And Charging Of Battery Electric Vehicles By Considering Multiple Objectives</t>
  </si>
  <si>
    <t>Y Wang, J Bi, W Guan, X Zhao</t>
  </si>
  <si>
    <t>A Two-Layer Model For Dynamic Pricing Of Electricity And Optimal Charging Of Electric Vehicles Under Price Spikes</t>
  </si>
  <si>
    <t>V Subramanian, TK Das</t>
  </si>
  <si>
    <t>An Integrated Planning Strategy For A Power Network And The Charging Infrastructure Of Electric Vehicles For Power System Resilience Enhancement</t>
  </si>
  <si>
    <t>F Yao, J Wang, F Wen, CL Tseng, X Zhao, Q Wang</t>
  </si>
  <si>
    <t>Determining Optimal Deployment Of Electric Vehicles Charging Stations: Case Of Tunis City, Tunisia</t>
  </si>
  <si>
    <t>S Bouguerra, SB Layeb</t>
  </si>
  <si>
    <t>Case Studies on Transport Policy</t>
  </si>
  <si>
    <t>Optimal Locations Of Us Fast Charging Stations For Long-Distance Trip Completion By Battery Electric Vehicles</t>
  </si>
  <si>
    <t>Y He, KM Kockelman, KA Perrine</t>
  </si>
  <si>
    <t>Designing Locations And Capacities For Charging Stations To Support Intercity Travel Of Electric Vehicles: An Expanded Network Approach</t>
  </si>
  <si>
    <t>C Wang, F He, X Lin, ZJM Shen, M Li</t>
  </si>
  <si>
    <t>Coordinated Charging Scheduling Of Electric Vehicles: A Mixed-Variable Differential Evolution Approach</t>
  </si>
  <si>
    <t>WL Liu, YJ Gong, WN Chen, Z Liu…</t>
  </si>
  <si>
    <t>Application Of Lagrange Relaxation To Decentralized Optimization Of Dispatching A Charging Station For Electric Vehicles</t>
  </si>
  <si>
    <t>S Cheng, Y Feng, X Wang</t>
  </si>
  <si>
    <t>Optimal Charging Management And Infrastructure Planning For Free-Floating Shared Electric Vehicles</t>
  </si>
  <si>
    <t>MS Roni, Z Yi, JG Smart</t>
  </si>
  <si>
    <t>Stochastic-Based Optimal Charging Strategy For Plug-In Electric Vehicles Aggregator Under Incentive And Regulatory Policies Of Dso</t>
  </si>
  <si>
    <t>B Hashemi, M Shahabi…</t>
  </si>
  <si>
    <t>Distributed Electric Vehicles Charging Management With Social Contribution Concept</t>
  </si>
  <si>
    <t>A Alsabbagh, H Yin, C Ma</t>
  </si>
  <si>
    <t>Optimal Placement Of Freight Electric Vehicles Charging Stations And Their Impact On The Power Distribution Network</t>
  </si>
  <si>
    <t>Charging Demand Of Plug-In Electric Vehicles: Forecasting Travel Behavior Based On A Novel Rough Artificial Neural Network Approach</t>
  </si>
  <si>
    <t>H Jahangir, H Tayarani, A Ahmadian, MA Golkar…</t>
  </si>
  <si>
    <t>Zeng, Bo; Dong, Houqi; Sioshansi, Ramteen; Xu, Fuqiang; Zeng, Ming</t>
  </si>
  <si>
    <t>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t>
  </si>
  <si>
    <t>Optimal Service Pricing And Charging Scheduling Of An Electric Vehicle Sharing System</t>
  </si>
  <si>
    <t>Xie, Rui; Wei, Wei; Wui, Qiuwei; Ding, Tao; Mei, Shengwei</t>
  </si>
  <si>
    <t>10.1109/TVT.2019.2950402</t>
  </si>
  <si>
    <t>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t>
  </si>
  <si>
    <t>Optimal Day-Ahead Charging And Frequency Reserve Scheduling Of Electric Vehicles Considering The Regulation Signal Uncertainty</t>
  </si>
  <si>
    <t>Cui, Yan; Hu, Zechun; Luo, Haocheng</t>
  </si>
  <si>
    <t>10.1109/TIA.2020.2976839</t>
  </si>
  <si>
    <t>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t>
  </si>
  <si>
    <t>Ali, Abdelfatah; Mahmoud, Karar; Lehtonen, Matti</t>
  </si>
  <si>
    <t>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t>
  </si>
  <si>
    <t>Resiliency-Oriented Islanding Of Distribution Network In The Presence Of Charging Stations For Electric Vehicles</t>
  </si>
  <si>
    <t>Alizadeh M., Jafari-Nokandi M., Shahabi M.</t>
  </si>
  <si>
    <t>International Transactions on Electrical Energy Systems</t>
  </si>
  <si>
    <t>10.1002/2050-7038.12670</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</si>
  <si>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t>
  </si>
  <si>
    <t>Zhao Y., Guo Y., Guo Q., Zhang H., Sun H.</t>
  </si>
  <si>
    <t>Optimal Location Of Fast Charging Stations For Mixed Traffic Of Electric Vehicles And Gasoline Vehicles Subject To Elastic Demands</t>
  </si>
  <si>
    <t>Gao H., Liu K., Peng X., Li C.</t>
  </si>
  <si>
    <t>10.3390/en13081964</t>
  </si>
  <si>
    <t>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t>
  </si>
  <si>
    <t>Optimal Charging Facility Location And Capacity For Electric Vehicles Considering Route Choice And Charging Time Equilibrium</t>
  </si>
  <si>
    <t>R Chen, X Qian, L Miao, SV Ukkusuri</t>
  </si>
  <si>
    <t>Computers &amp;Operations Research</t>
  </si>
  <si>
    <t>Integrated Planning Of Static And Dynamic Charging Infrastructure For Electric Vehicles</t>
  </si>
  <si>
    <t>X Sun, Z Chen, Y Yin</t>
  </si>
  <si>
    <t>Electric Vehicles In A Smart Grid: A Comprehensive Survey On Optimal Location Of Charging Station</t>
  </si>
  <si>
    <t>IET Smart Grid</t>
  </si>
  <si>
    <t>10.1049/iet-stg.2019.0220</t>
  </si>
  <si>
    <t>Optimal Positioning Of Dynamic Wireless Charging Infrastructure In A Road Network For Battery Electric Vehicles</t>
  </si>
  <si>
    <t>H Ngo, A Kumar, S Mishra</t>
  </si>
  <si>
    <t>Admm-Based Coordination Of Electric Vehicles In Constrained Distribution Networks Considering Fast Charging And Degradation</t>
  </si>
  <si>
    <t>X Zhou, S Zou, P Wang, Z Ma</t>
  </si>
  <si>
    <t>A Review Of Strategic Charging–Discharging Control Of Grid-Connected Electric Vehicles</t>
  </si>
  <si>
    <t>TU Solanke, VK Ramachandaramurthy, JY Yong…</t>
  </si>
  <si>
    <t>Mobile Charging: A Novel Charging System For Electric Vehicles In Urban Areas</t>
  </si>
  <si>
    <t>Y Zhang, X Liu, W Wei, T Peng, G Hong, C Meng</t>
  </si>
  <si>
    <t>Joint Deployment Of Charging Stations And Photovoltaic Power Plants For Electric Vehicles</t>
  </si>
  <si>
    <t>Z Luo, F He, X Lin, J Wu, M Li</t>
  </si>
  <si>
    <t>Machine Learning-Based Management Of Electric Vehicles Charging: Towards Highly-Dispersed Fast Chargers</t>
  </si>
  <si>
    <t>M Shibl, L Ismail, A Massoud</t>
  </si>
  <si>
    <t>Fuzzy Logic Weight Based Charging Scheme For Optimal Distribution Of Charging Power Among Electric Vehicles In A Parking Lot</t>
  </si>
  <si>
    <t>S Hussain, MA Ahmed, KB Lee, YC Kim</t>
  </si>
  <si>
    <t>Review Of Positive And Negative Impacts Of Electric Vehicles Charging On Electric Power Systems</t>
  </si>
  <si>
    <t>M Nour, JP Chaves-Ávila, G Magdy…</t>
  </si>
  <si>
    <t>Optimal Charging Strategy For Electric Vehicles In Residential Charging Station Under Dynamic Spike Pricing Policy</t>
  </si>
  <si>
    <t>L Gong, W Cao, K Liu, J Zhao</t>
  </si>
  <si>
    <t>Comparison Between Inflexible And Flexible Charging Of Electric Vehicles—A Study From The Perspective Of An Aggregator</t>
  </si>
  <si>
    <t>I Gomes, R Melicio, V Mendes</t>
  </si>
  <si>
    <t>Distributed Electric Vehicles Charging Management Considering Time Anxiety And Customer Behaviors</t>
  </si>
  <si>
    <t>A Alsabbagh, B Wu, C Ma</t>
  </si>
  <si>
    <t>Charging Cost Minimisation By Centralised Controlled Charging Of Electric Vehicles</t>
  </si>
  <si>
    <t>H Patil, VN Kalkhambkar</t>
  </si>
  <si>
    <t>10.1002/2050-7038.12226</t>
  </si>
  <si>
    <t>Coupled Charging-And-Driving Incentives Design For Electric Vehicles In Urban Networks</t>
  </si>
  <si>
    <t>B Sohet, Y Hayel, O Beaude…</t>
  </si>
  <si>
    <t>Optimal Charging And Routing Of Electric Vehicles With Power Constraints And Time-Of-Use Energy Prices</t>
  </si>
  <si>
    <t>G Ferro, M Paolucci, M Robba</t>
  </si>
  <si>
    <t>Internet Of Smart Charging Points With Photovoltaic Integration: A High-Efficiency Scheme Enabling Optimal Dispatching Between Electric Vehicles And Power Grids</t>
  </si>
  <si>
    <t>Y Shang, M Liu, Z Shao, L Jian</t>
  </si>
  <si>
    <t>A Review On Charging Behavior Of Electric Vehicles: Data, Model, And Control</t>
  </si>
  <si>
    <t>QS Jia, T Long</t>
  </si>
  <si>
    <t>Control Theory and Technology</t>
  </si>
  <si>
    <t>10.1007/s11768-020-0048-8</t>
  </si>
  <si>
    <t>Intelligent Charging Management Of Electric Vehicles Considering Dynamic User Behavior And Renewable Energy: A Stochastic Game Approach</t>
  </si>
  <si>
    <t>HM Chung, S Maharjan, Y Zhang…</t>
  </si>
  <si>
    <t>Hierarchical Coupled Driving-And-Charging Model Of Electric Vehicles, Stations And Grid Operators</t>
  </si>
  <si>
    <t>Sohet, Benoit; Hayel, Yezekael; Beaude, Olivier; Jeandin, Alban</t>
  </si>
  <si>
    <t>10.1109/TSG.2021.3107896</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</si>
  <si>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t>
  </si>
  <si>
    <t>Optimal Locations And Electricity Prices For Dynamic Wireless Charging Links Of Electric Vehicles For Sustainable Transportation</t>
  </si>
  <si>
    <t>H Liu, Y Zou, Y Chen, J Long</t>
  </si>
  <si>
    <t>Joint Optimization For Coordinated Charging Control Of Commercial Electric Vehicles Under Distributed Hydrogen Energy Supply</t>
  </si>
  <si>
    <t>T Long, QS Jia</t>
  </si>
  <si>
    <t>Joint Planning Of A Distribution System And A Charging Network For Electric Vehicles</t>
  </si>
  <si>
    <t>H Ren, Q Deng, F Wen, J Du, P Yu…</t>
  </si>
  <si>
    <t>10.1061/%28ASCE%29EY.1943-7897.0000734</t>
  </si>
  <si>
    <t>Hierarchical Voltage Control Strategy In Distribution Networks Considering Customized Charging Navigation Of Electric Vehicles</t>
  </si>
  <si>
    <t>X Sun, J Qiu</t>
  </si>
  <si>
    <t>Optimal Station Locations For En-Route Charging Of Electric Vehicles In Congested Intercity Networks: A New Problem Formulation And Exact And Approximate Partitioning …</t>
  </si>
  <si>
    <t>Z Bao, C Xie</t>
  </si>
  <si>
    <t>Optimal Allocation Of Electric Vehicles Charging Infrastructure, Policies And Future Trends</t>
  </si>
  <si>
    <t>RS Gupta, A Tyagi, S Anand</t>
  </si>
  <si>
    <t>A Coordinated Charging Scheduling Of Electric Vehicles Considering Optimal Charging Time For Network Power Loss Minimization</t>
  </si>
  <si>
    <t>M Usman, WUK Tareen, A Amin, H Ali, I Bari, M Sajid…</t>
  </si>
  <si>
    <t>An Optimal Management For Charging And Discharging Of Electric Vehicles In An Intelligent Parking Lot Considering Vehicle Owner's Random Behaviors</t>
  </si>
  <si>
    <t>M Alinejad, O Rezaei, A Kazemi, S Bagheri</t>
  </si>
  <si>
    <t>Optimal Coordinated Charging And Routing Scheme Of Electric Vehicles In Distribution Grids: Real Grid Cases</t>
  </si>
  <si>
    <t>VS Kasani, D Tiwari, MR Khalghani, SK Solanki…</t>
  </si>
  <si>
    <t>Nonparametric Preventive/Corrective Voltage Stability Enhancement Of Active Distribution Systems With Integrated Electric Vehicles Charging Facilities</t>
  </si>
  <si>
    <t>S Nejadfard-jahromi, M Mohammadi…</t>
  </si>
  <si>
    <t>Blockchain-Based Peer-To-Peer Energy Trading And Charging Payment System For Electric Vehicles</t>
  </si>
  <si>
    <t>PW Khan, YC Byun</t>
  </si>
  <si>
    <t>Bidirectional Smart Charging Of Electric Vehicles Considering User Preferences, Peer To Peer Energy Trade, And Provision Of Grid Ancillary Services</t>
  </si>
  <si>
    <t>A Al-Obaidi, H Khani, HEZ Farag…</t>
  </si>
  <si>
    <t>Review Of Renewable Energy-Based Charging Infrastructure For Electric Vehicles</t>
  </si>
  <si>
    <t>G Alkawsi, Y Baashar, D Abbas U, AA Alkahtani…</t>
  </si>
  <si>
    <t>10.3390/app11093847</t>
  </si>
  <si>
    <t>Routing Optimization Of Electric Vehicles For Charging With Event-Driven Pricing Strategy</t>
  </si>
  <si>
    <t>Y Xiang, J Yang, X Li, C Gu…</t>
  </si>
  <si>
    <t>Intelligent Charging Control Of Power Aggregator For Electric Vehicles Using Optimal Control</t>
  </si>
  <si>
    <t>Integration Of Virtual Resistor In Charging Control System Of Electric Vehicles To Mitigate The Harmonic Issues At Power Grid Side</t>
  </si>
  <si>
    <t>AS Alghamdi</t>
  </si>
  <si>
    <t>S2na‐Geo Method–Based Charging Strategy Of Electric Vehicles To Mitigate The Volatility Of Renewable Energy Sources</t>
  </si>
  <si>
    <t>R Ilango, P Rajesh, FH Shajin</t>
  </si>
  <si>
    <t>10.1002/2050-7038.13125</t>
  </si>
  <si>
    <t>A Novel Underfill-Soc Based Charging Pricing For Electric Vehicles In Smart Grid</t>
  </si>
  <si>
    <t>J Lin, B Xiao, H Zhang, X Yang, P Zhao</t>
  </si>
  <si>
    <t>A Systematic Review Of Charging Infrastructure Location Problem For Electric Vehicles</t>
  </si>
  <si>
    <t>RC Majhi, P Ranjitkar, M Sheng, GA Covic…</t>
  </si>
  <si>
    <t>10.1080/01441647.2020.1854365</t>
  </si>
  <si>
    <t>Public Charging Station Location Determination For Electric Ride-Hailing Vehicles Based On An Improved Genetic Algorithm</t>
  </si>
  <si>
    <t>J Li, Z Liu, X Wang</t>
  </si>
  <si>
    <t>Chen, Shibo; Feng, Shanshan; Guo, Zhenwei; Yang, Zaiyue</t>
  </si>
  <si>
    <t>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t>
  </si>
  <si>
    <t>Deploying Public Charging Stations For Battery Electric Vehicles On The Expressway Network Based On Dynamic Charging Demand</t>
  </si>
  <si>
    <t>Zhang, Tian-Yu; Yang, Yang; Zhu, Yu-Ting; Yao, En-Jian; Wu, Ke-Qi</t>
  </si>
  <si>
    <t>10.1109/TTE.2022.3141208</t>
  </si>
  <si>
    <t>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t>
  </si>
  <si>
    <t>Li K., Shao C., Zhang H., Wang X.</t>
  </si>
  <si>
    <t>Electric vehicles (EVs) are developing at a rapid pace. The EV charging station (EVCS) plays an indispensable role in supplying EV charging demand and promoting the transportation electrification. This work proposes a pricing method to maximize the profit of EVCS owners, charging service providers. First, the tri-level pricing framework is established where EVCSs set charging prices at the upper level, EVs make route and charging options at the middle level, and the electricity price is cleared in power distribution network at the lower level. Second, the singlelevel optimal pricing model is established with traffic flow assigned, power generation scheduled and electricity price explicitly contained via KKT conditions. The proposed model considers the impact of EVCS configuration on traffic assignment and pricing strategy. The operation risk brought by uncertainties is managed via Conditional value at risk. Third, a decomposition solution algorithm is proposed, which tackles the computational burdens and overcomes the infeasibility of existing algorithms. Finally, the real-world urban network-based case studies verify the effectiveness and merits of the proposed method. IEEE</t>
  </si>
  <si>
    <t>Operation Management Of Electric Vehicle Battery Swapping And Charging Systems: A Bilevel Optimization Approach</t>
  </si>
  <si>
    <t>Li B., Xie K., Zhong W., Huang X., Wu Y., Xie S.</t>
  </si>
  <si>
    <t>10.1109/TITS.2022.3211883</t>
  </si>
  <si>
    <t>This paper studies optimal day-ahead scheduling of a battery swapping and charging system (BSCS) for electric vehicles (EVs) from a new perspective of multiple decision makers. It is considered that the BSCS locally incorporates the battery swapping and charging processes, and the two processes are managed by two operators, called a battery swapping operator (BSO) and a battery charging operator (BCO), respectively. Our main contribution is to propose a bilevel model where the BSO acts as the leader to receive and serve the battery swapping requests from EV users, and the BCO acts as the follower to interact with the grid and control battery charging and discharging power. We reformulate the bilevel optimization problem into an equivalent single-level problem that is a nonconvex mixed-integer nonlinear program (MINLP), and its size can easily become very large. To solve the problem efficiently, we develop a new heuristic composed of two parts, i.e., an estimation of the integer solution and an algorithm based on the alternating direction method (ADM). The results show that the proposed heuristic performs well in solving large-scale problems, providing close-to-optimal solutions quickly. In addition, compared to a social welfare maximization model that follows most existing related works, the proposed bilevel model can increase the number of swapped-out batteries by 35% and the batteries&amp;#x2019; average energy state by 6%, improving the quality of battery swapping services. IEEE</t>
  </si>
  <si>
    <t>Public Charging Station Localization And Route Planning Of Electric Vehicles Considering The Operational Strategy: A Bi-Level Optimizing Approach</t>
  </si>
  <si>
    <t>Bi-Level Framework For Microgrid Capacity Planning Under Dynamic Wireless Charging Of Electric Vehicles</t>
  </si>
  <si>
    <t>Z Zhou, Z Liu, H Su, L Zhang</t>
  </si>
  <si>
    <t>Charging And Discharging Of Electric Vehicles In Power Systems: An Updated And Detailed Review Of Methods, Control Structures, Objectives, And Optimization …</t>
  </si>
  <si>
    <t>S Aghajan-Eshkevari, S Azad, M Nazari-Heris…</t>
  </si>
  <si>
    <t>Transportation Systems Management Considering Dynamic Wireless Charging Electric Vehicles: Review And Prospects</t>
  </si>
  <si>
    <t>Z Tan, F Liu, HK Chan, HO Gao</t>
  </si>
  <si>
    <t>Optimal Allocation Of Dynamic Wireless Charging Facility For Electric Vehicles</t>
  </si>
  <si>
    <t>RC Majhi, P Ranjitkar, M Sheng</t>
  </si>
  <si>
    <t>A Framework To Analyze The Requirements Of A Multiport Megawatt-Level Charging Station For Heavy-Duty Electric Vehicles</t>
  </si>
  <si>
    <t>P Mishra, E Miller, S Santhanagopalan, K Bennion…</t>
  </si>
  <si>
    <t>Robust Integration Of Electric Vehicles Charging Load In Smart Grid's Capacity Expansion Planning</t>
  </si>
  <si>
    <t>S Aliakbari Sani, O Bahn, E Delage…</t>
  </si>
  <si>
    <t>10.1007/s13235-022-00454-y</t>
  </si>
  <si>
    <t>A Feedback‐Integrated Framework For Resilient And Distributed Scheduling Of Electric Vehicles Under Uncertain Charging Characteristics</t>
  </si>
  <si>
    <t>B Kandpal, A Verma</t>
  </si>
  <si>
    <t>IET Energy Systems Integration</t>
  </si>
  <si>
    <t>10.1049/esi2.12079</t>
  </si>
  <si>
    <t>Optimal Configuration Of Electric Vehicles For Charging Stations Under The Fast Power Supplement Mode</t>
  </si>
  <si>
    <t>X Jiang, L Zhao, Y Cheng, S Wei, Y Jin</t>
  </si>
  <si>
    <t>S2rc: A Multi-Objective Route Planning And Charging Slot Reservation Approach For Electric Vehicles Considering State Of Traffic And Charging Station</t>
  </si>
  <si>
    <t>A Kumar, R Kumar, A Aggarwal</t>
  </si>
  <si>
    <t>Optimization Of Control Strategy For Orderly Charging Of Electric Vehicles In Mountainous Cities</t>
  </si>
  <si>
    <t>L Cai, Q Zhang, N Dai, Q Xu, L Gao, B Shang…</t>
  </si>
  <si>
    <t>Analysis And Prediction Of Charging Behaviors For Private Battery Electric Vehicles With Regular Commuting: A Case Study In Beijing</t>
  </si>
  <si>
    <t>Y Ren, Z Lan, H Yu, G Jiao</t>
  </si>
  <si>
    <t>Mobile Charging Station Placements In Internet Of Electric Vehicles: A Federated Learning Approach</t>
  </si>
  <si>
    <t>L Liu, Z Xi, K Zhu, R Wang…</t>
  </si>
  <si>
    <t>Computational Efficient Approach To Compute A Prediction-Of-Use Tariff For Coordinating Charging Of Plug-In Electric Vehicles Under Uncertainty</t>
  </si>
  <si>
    <t>G Coria, D Romero-Quete, A Romero</t>
  </si>
  <si>
    <t>A Smart Discrete Charging Method For Optimum Electric Vehicles Integration In The Distribution System In Presence Of Demand Response Program</t>
  </si>
  <si>
    <t>M Saeedirad, E Rokrok, M Joorabian</t>
  </si>
  <si>
    <t>Transactive Charging Management Of Electric Vehicles In Office Buildings: A Distributionally Robust Chance-Constrained Approach</t>
  </si>
  <si>
    <t>H Saber, H Ranjbar, M Ehsan…</t>
  </si>
  <si>
    <t>A Fast-Charging Navigation Strategy For Electric Vehicles Considering User Time Utility Differences</t>
  </si>
  <si>
    <t>J Zhong, N Yang, X Zhang, J Liu</t>
  </si>
  <si>
    <t>A Joint Planning Method Of Charging Piles And Charging-Battery Swapping Stations Considering Spatial-Temporal Distribution Of Electric Vehicles</t>
  </si>
  <si>
    <t>L Zhang, R Huo, G Cai, KL Hai, L Lyu…</t>
  </si>
  <si>
    <t>A Comprehensive Review On Electric Vehicles Smart Charging: Solutions, Strategies, Technologies, And Challenges</t>
  </si>
  <si>
    <t>O Sadeghian, A Oshnoei, B Mohammadi-Ivatloo…</t>
  </si>
  <si>
    <t>Fast-Charging Station For Electric Vehicles, Challenges And Issues: A Comprehensive Review</t>
  </si>
  <si>
    <t>A Ghasemi-Marzbali</t>
  </si>
  <si>
    <t>Li J., Liu C., Wang Y., Chen R., Xu X.</t>
  </si>
  <si>
    <t>This paper proposes a scenario optimization based algorithm in order to allocate charging station of plug in electric vehicles (PEVs) within a commercial area with the aim of increasing penetration level of photovoltaic (PV) panels as well as decreasing side effects of vehicular loads. A multivariate stochastic modeling methodology based on the notion of copula is provided in order to develop a probabilistic model of the load demand due to PEVs. The suggested method considers the correlation issue among the related random variables of the PEVs. This model, in addition to the models provided for PV generation and commercial loads, is utilized to construct synthetic data required for the optimal allocation of the station. Considering the prepared scenarios, particle swarm optimization (PSO) algorithm is utilized to minimize energy loss as well as voltage deviation in the distribution system. The proposed methodology has been applied on a test distribution network in order to demonstrate its efficiency in simultaneous integration of vehicular loads and PV generations.</t>
  </si>
  <si>
    <t>10.1016/j.apenergy.2014.04.047</t>
  </si>
  <si>
    <t>Driven by the desire to reduce environmental impacts and achieve energy independence, electric vehicles (EVs) are poised to receive mass acceptance from the general public. However, simultaneously connecting to electric distribution grid and charging with large number of EVs bring the necessity of optimizing the charging and discharging behaviors of EVs, due to the security and economy issue of the grid operation. To address this issue, we propose a novel EV charging model in this paper. The model concerns with following aspects, including optimal power flow (OPF), statistic characteristics of EVs, EV owners’ degree of satisfaction (DoS), and the power grid cost. An improved particle swarm optimization (PSO) algorithm is proposed for the model optimization. To evaluate our proposed optimal EV charging strategy, a 10-bus power distribution system simulation is performed for performance investigation. Simulation results show that the proposed strategy can reduce the operational cost of the power grid considerately, while meeting the EV owner’s driving requirement. Also, better performance on the global search capability and optimal result of the improved particle swarm optimization algorithm is verified.</t>
  </si>
  <si>
    <t>A model was developed for the location of rapid charging stations for electric vehicles (EVs) in urban areas, taking into account the batteries’ state of charge and users’ charging and traveling behaviors. EVs are one means of preparing for the energy crisis and of reducing greenhouse gas emissions. To help relieve range anxiety, an adequate number of EV charging stations must be constructed. Rapid charging stations are needed in urban areas because there is inadequate space for slow-charging equipment. The objective function of the model is to minimize EVs’ travel fail distance and the total travel time of the entire network when the link flow is determined by a user equilibrium assignment. The remaining fuel range (RFR) at the origin node is assumed to follow a probabilistic distribution to reflect users’ charging behavior or technical development. The results indicate that the model described in this paper can identify locations for charging stations by using a probabilistic distribution function for the RFR. The location model, which was developed on the basis of user equilibrium assignment, is likely to consider the congested traffic conditions of urban areas, to avoid locating charging stations where they could cause additional traffic congestion. The proposed model can assist decision makers in developing policies that encourage the use of EVs, and it will be useful in developing an appropriate budget for implementing the plan.</t>
  </si>
  <si>
    <t>10.17775/CSEEJPES.2015.00050</t>
  </si>
  <si>
    <t>Increased penetration of electric vehicles (EVs) is expected to impact power system performance in adverse ways, e.g., overloading, uncertain power quality, and increased voltage fluctuation, particularly at the distribution level. Most EV charging control strategies that have been proposed only benefit the grid or EV users. A centralized EV charging strategy based on bilevel optimization is proposed in this paper with the objectives of deriving benefits for the grid and EV users simultaneously. The proposed strategy involves distributing the EV charging load more beneficially across both spatial and temporal levels. In the spatial problem, the whole fleet of EVs is controlled to minimize load variance as spatial coordination, with total charging rate and energy needed as the constraint. While in the temporal problem, EVs in each aggregator are controlled to minimize the charging cost or maximize the EV user's degree of satisfaction with each aggregator's charging rate and energy needed as the constraint. The proposed bi-level charging strategy is transformed to a single-stage optimization problem and solved using the classical optimization method. The impacts of uncontrolled charging on the grid and EV users are studied using the Monte Carlo Simulation (MCS) method. Then, the effectiveness of the proposed charging strategy is demonstrated via results obtained in the MCS.</t>
  </si>
  <si>
    <t>10.1016/j.trc.2015.08.018</t>
  </si>
  <si>
    <t>This paper explores how to optimally locate public charging stations for electric vehicles on a road network, considering drivers’ spontaneous adjustments and interactions of travel and recharging decisions. The proposed approach captures the interdependency of different trips conducted by the same driver by examining the complete tour of the driver. Given the limited driving range and recharging needs of battery electric vehicles, drivers of electric vehicles are assumed to simultaneously determine tour paths and recharging plans to minimize their travel and recharging time while guaranteeing not running out of charge before completing their tours. Moreover, different initial states of charge of batteries and risk-taking attitudes of drivers toward the uncertainty of energy consumption are considered. The resulting multi-class network equilibrium flow pattern is described by a mathematical program, which is solved by an iterative procedure. Based on the proposed equilibrium framework, the charging station location problem is then formulated as a bi-level mathematical program and solved by a genetic-algorithm-based procedure. Numerical examples are presented to demonstrate the models and provide insights on public charging infrastructure deployment and behaviors of electric vehicles.</t>
  </si>
  <si>
    <t>This paper proposes a novel decision making framework for an electricity retailer to procure its electric demand in a bilateral-pool market in presence of charging and discharging of electric vehicles (EVs). The operational framework is a two-stage programming model in which at the first stage, the retailer and EV aggregator do their medium-term planning. Determination of retailer's optimum selling price and the amount of energy that should be purchased from bilateral contracts are medium-term decisions that are made one month prior to real-time market. At the second stage, market agents deal with their activities in the short-term period. In this stage the retailer may modify its preliminary strategy by means of pool market option, interruptible loads (ILs), self-scheduling and EVs charging and discharging (V2G). Thus, a bi-level programming is introduced in which the upper sub-problem maximizes retailer profit, whereas the lower sub-problem minimizes the aggregated EVs charging and discharging costs. Final decision making is obtained in this stage that may be considered as a day-ahead market, keeping in mind the medium-term decisions. Due to the volatility of pool price and uncertainties associated with the consumers and EVs demand, the proposed framework is a mixed integer nonlinear stochastic optimization problem; therefore, Monte Carlo Simulation (MCS) is applied to solve it. Furthermore, a market quota curve is utilized to model the uncertainty of the rivals and obtaining retailer's actual market share. Finally, a case study is presented in order to show the capability and accuracy of the proposed framework.</t>
  </si>
  <si>
    <t>This paper focuses on the procurement of load shifting service by optimally scheduling the charging and discharging of PEVs in a decentralized fashion. We assume that the energy flow between PEVs and the grid is bidirectional, i.e., PEVs can also release energy back into the grid as distributed generation, which is known as vehicle-to-grid (V2G). The optimal scheduling problem is then formulated as a mixed discrete programming (MDP) problem, which is NP-hard and extremely difficult to solve directly. To get over this difficulty, we propose a solvable approximation of the MDP problem by exploiting the shape feature of the base demand curve during the night, and develop a decentralized algorithm based on iterative water-filling. Our algorithm is decentralized in the sense that the PEVs compute locally and communicate with an aggregator. The advantages of our algorithm include reduction in computational burden and privacy preserving. Simulation results are given to show the performance of our algorithm.</t>
  </si>
  <si>
    <t>10.1109/TPWRS.2015.2507179</t>
  </si>
  <si>
    <t>With an increasing deployment of plug-in electric vehicles, evaluating and mitigating the impacts of additional electrical loads created by these vehicles on power distribution grids become more important. This paper explores the use of prices of electricity at public charging stations as an instrument, in couple of road pricing, to better manage both power distribution and urban transportation networks. More specifically, a multi-class combined distribution and assignment model is formulated to capture the spatial distribution of plug-in electric vehicles across the transportation network and estimate the electrical loads they impose on the power distribution network. Power flow equations are subsequently solved to estimate real power losses. Prices of electricity at public charging stations and road tolls are then optimized to minimize both real power losses in the distribution grid and total travel time in the urban transportation network. The pricing model is formulated as a mathematical program with complementarity constraints and solved by a manifold suboptimization algorithm and a pattern search method. Numerical examples are presented to demonstrate the proposed model and solution algorithms.</t>
  </si>
  <si>
    <t>10.1016/j.trb.2016.05.018</t>
  </si>
  <si>
    <t>Given the rapid development of charging-while-driving technology, we envision that charging lanes for electric vehicles can be deployed in regional or even urban road networks in the future and thus attempt to optimize their deployment in this paper. We first develop a new user equilibrium model to describe the equilibrium flow distribution across a road network where charging lanes are deployed. Drivers of electric vehicles, when traveling between their origins and destinations, are assumed to select routes and decide battery recharging plans to minimize their trip times while ensuring to complete their trips without running out of charge. The battery recharging plan will dictate which charging lane to use, how long to charge and at what speed to operate an electric vehicle. The speed will affect the amount of energy recharged as well as travel time. With the established user equilibrium conditions, we further formulate the deployment of charging lanes as a mathematical program with complementarity constraints. Both the network equilibrium and design models are solved by effective solution algorithms and demonstrated with numerical examples.</t>
  </si>
  <si>
    <t>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 individual path choice behaviours.</t>
  </si>
  <si>
    <t>Introduction. As part of the overall goal of carbon emissions reduction, European cities are expected to encourage the electrification of urban transport. In order to prepare themselves to welcome the increased number of electric vehicles circulating in the city networks in the near future, they are expected to deploy networks of public electric vehicle chargers. The Electric Vehicle Charging Infrastructure Location Problem is an optimization problem that can be approached by linear programming, multi-objective optimization and genetic algorithms. Methods. In the present paper, a genetic algorithm approach is presented. Since data from electric vehicles usage are still scarce, origin - destination data of conventional vehicles are used and the necessary assumptions to predict electric vehicles’ penetration in the years to come are made. The algorithm and a user-friendly tool have been developed in R and tested for the city of Thessaloniki. Results. The results indicate that 15 stations would be required to cover 80% of the estimated electric vehicles charging demand in 2020 in the city of Thessaloniki and their optimal locations to install them are identified. Conclusions. The tool that has been developed based on the genetic algorithm, is open source and freely available to interested users. The approach can be used to allocate charging stations at high-level, i.e. to zones, and the authors encourage its use by local authorities of other cities too, in Greece and worldwide, in order to deploy a plan for installing adequate charging infrastructure to cover future electric vehicles charging demand and reduce the electric vehicle “driver anxiety” (i.e. the driver’s concern of running out of battery) encouraging the widespread adoption of electromobility.</t>
  </si>
  <si>
    <t>10.1109/TPWRS.2017.2784564</t>
  </si>
  <si>
    <t>When plug-in electric vehicles (PEVs) participate in grid operation, the intertemporal feature of PEVs charging transforms the traditional optimal power flow (OPF) problem into multiperiod OPF (MOPF) problem. In the case that the population of PEVs is huge, the large number of variables and constraints renders the centralized solution technique unsuitable to solve the MOPF problem. Therefore, a distributed algorithm based on alternating direction method of multipliers is developed to decompose the MOPF into two update steps that are solved in an alternating and iterative style. To improve the solution efficiency, the second update step is transformed into a Euclidean projection problem by approximating the original objective with a surrogate function. Then, a projection algorithm is utilized to solve the approximate problem. Numerical results show that this reformulated model obtains suboptimal solutions with small relative error, but gains considerable speed-up. Furthermore, its scalability and effectiveness are tested in the 119-bus and 906-bus distribution networks.</t>
  </si>
  <si>
    <t>Journal of Renewable and Sustainable Energy</t>
  </si>
  <si>
    <t>Transportation Research Record: Journal of the Transportation Research Board</t>
  </si>
  <si>
    <t>CSEE Journal of Power and Energy Systems</t>
  </si>
  <si>
    <t>European Transport Research Review</t>
  </si>
  <si>
    <t>10.1016/j.apenergy.2016.10.117</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</si>
  <si>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t>
  </si>
  <si>
    <t>10.1016/j.ijepes.2018.02.002</t>
  </si>
  <si>
    <t>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− 1 security constraints and the effectiveness of the proposed formulation and solution approach.</t>
  </si>
  <si>
    <t>IEEJ Transactions on Electrical and Electronic Engineering</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</si>
  <si>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t>
  </si>
  <si>
    <t>10.1016/j.trd.2017.08.022</t>
  </si>
  <si>
    <t>A battery electric vehicle (BEV) reduces greenhouse gas emissions and energy consumption to a greater extent than a conventional internal combustion engine vehicle. However, limited driving range, insufficient charging infrastructure, potentially long charging time and high monetary cost affect the route choices of BEV drivers. To provide BEV drivers with decision-making support for travelling and charging, a multi-objective optimisation model is built to optimise route choices for multiple BEVs. Three objective functions are proposed to minimise total travelling cost components, including travel times, energy consumption and charging costs. The fuzzy programming approach and fuzzy preference relations are introduced to transform the three objective functions into a single objective function that comprehensively considers the three optimisation objectives. A genetic algorithm is then designed to solve the model. In addition, a numerical example is presented to demonstrate the proposed model and solution algorithm. Four weighting conditions for BEV drivers based on different trade-offs among the objectives are considered in the numerical example. Results of the numerical example verify the feasibility and effectiveness of the proposed model and algorithm.</t>
  </si>
  <si>
    <t>10.1016/j.energy.2018.10.171</t>
  </si>
  <si>
    <t>Pilot projects in power networks conducted across continents have established the benefits of dynamic pricing by inducing increased demand response. However, a key hurdle in the growth of demand response is the lack of widespread availability of advanced metering infrastructure, which has stymied the adoption of dynamic pricing. We believe that this hurdle will be partially addressed by the growth of electric vehicles (EVs), as smart and connected EV parking lots will be a provider of demand response. We develop a two-layer optimization model that simultaneously determines dynamic pricing policy for the system operator and demand response strategies for the EV parking lots. The model minimizes the cost to consumers, while ensuring the system operator's revenue neutral status and addressing real-time price uncertainties. A variant of the 5-bus PJM network is used to demonstrate model implementation. Numerical results show that for a low to moderate price spike scenario, dynamic pricing with demand response from EVs alone can lower the daily average consumer cost of 1.42% compared to the cost of flat pricing. A cost reduction of 6.5% is achieved when price spikes are relatively high. Computational challenges of implementing our model for real networks are discussed in the concluding remarks.</t>
  </si>
  <si>
    <t>10.3390/en12203918</t>
  </si>
  <si>
    <t>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t>
  </si>
  <si>
    <t>10.1016/j.cstp.2019.06.003</t>
  </si>
  <si>
    <t>Due to their reduced fossil fuel consumption and transportation-related emissions, Electric Vehicles (EV) are increasingly emerging. Nevertheless, one of the most important decisions for EV adoption is the planning of EV charging infrastructure. In this work, we address the real case of the centre of Tunis City, Tunisia, where potential charging stations could be located in parking and gas stations. The objective is to place and size EV charging stations in such a way that EV drivers can have access to chargers, within an acceptable driving range, while real world life constraints are respected. We also consider investment costs, as well as EV users’ convenience. Toward this end, five Integer Linear Programs based on weighted set covering models are proposed and solved to optimality. Computational experimentation provides optimal infrastructure schemes that public makers could adopt within the emerging environmental policy.</t>
  </si>
  <si>
    <t>10.1016/j.jclepro.2018.12.188</t>
  </si>
  <si>
    <t>Due to environmental and energy challenges, promoting battery electric vehicles (BEVs) is a popular policy for many countries. However, a lack of fast recharging infrastructure and limitations on BEV range limit their purchase and use. It is important to have a well-designed charging station network, so this paper uses U.S. long-distance travel data to place charging stations with the objective of maximizing long-distance trip completions. Each scenario assumes a certain number of charging stations—from 50 to 250, across the U.S., and an all-electric-range (AER) of 60–250 miles (97–402 km). The problem is formulated as a mixed integer program, and a modified flow-refueling location model (FRLM) is solved via a branch-and-bound algorithm. Results reveal that the 60-mile-AER percentage varies between 31% and 65%, as one increases station count from 50 stations to 250 stations. At least 100 mile-range (161 km) BEVs appear needed, to avoid long-distance-trip issues for the great majority of U.S. households. This research also provides an effective method to decide the number and locations of fast charging stations for different conditions, to enable better planning and more sustainable transportation systems.</t>
  </si>
  <si>
    <t>10.1016/j.trc.2019.03.013</t>
  </si>
  <si>
    <t>This study is devoted to designing locations and capacities of charging stations for supporting long-distance travel by electric vehicles (EVs). We first establish an expanded network structure to model the set of valid charging strategies for EV drivers, and then a variational inequality (VI) is formulated to capture the equilibrated route-choice and charging behaviors of EVs by incorporating an approximated queuing time function for a capacitated charging facility. Next, we formulate the problem of designing the locations and capacities of charging facilities under a fixed budget constraint and solve the optimization problem with a customized neighborhood search strategy. A lower bound for the system cost is also developed to evaluate the qualities of solutions acquired using our proposed heuristic. Numerical examples with a toy network and a highway network extracted from the Yangtze River Delta are used to show the effectiveness of the proposed methodology, and we observe that our strategy can solve a large-scale problem within an optimality gap of less than 5%.</t>
  </si>
  <si>
    <t>10.1109/TITS.2019.2948596</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</si>
  <si>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t>
  </si>
  <si>
    <t>10.3390/electronics8030288</t>
  </si>
  <si>
    <t>To improve the computation efficiency of optimally dispatching large-scale cluster electric vehicles (EVs) and to enhance the profit of a charging station (CS) for EVs, this study investigates the optimal dispatch of the CS based on a decentralized optimization method and a time-of-use (TOU) price strategy. With the application of the Lagrange relaxation method (LRM), a decentralized optimization model with its solution is proposed that converts the traditional centralized optimization model into certain sub-problems. The optimization model aims to maximize the profit of CS, but it comprehensively considers the charging preference of EV users, the operation constraints of the distribution network, and the TOU strategy adopted by the CS. To validate the proposed decentralized optimal dispatching method, a series of numerical simulations were conducted to demonstrate its effect on the computation efficiency and stability, the profit of the CS, and the peak-load shifting. The result indicates that the TOU strategy markedly increases the profit of the CS in comparison with the fixed electricity price mechanism, and the computation efficiency and stability are much better than those of the centralized optimization method. Although it does not compensate the load fluctuation completely, the proposed method with the TOU strategy is helpful for filling the valley of power use.</t>
  </si>
  <si>
    <t>10.1016/j.trd.2019.09.021</t>
  </si>
  <si>
    <t>Recently, major car-sharing service providers have begun to include electric vehicles (EVs) in free-floating car-sharing fleets. For these EVs, downtime due to charging, including time spent traveling to and waiting in queues at charging stations in a sparse charging infrastructure network, is a major barrier to sustainable operation. An intuitive solution to overcome this barrier is to increase the number of fast-charging stations in the fleet service area. This paper studies the relationship between fleet vehicle downtime and the number of charging stations by modeling the fleet operations of a major car-sharing service provider. An integer programming model is developed that jointly optimizes charging station allocation, in terms of the number and location of charging stations, and the assignment of EVs to charging stations. Case study results showed that fleet vehicle charging time comprises 72–75% of the total downtime spent on charging trips. This indicates that charging time, as opposed to travel time or waiting time, is the dominant component of total fleet downtime for charging. The study also shows that by adding 5–20 new charging stations reduces total fleet downtime and travel time during charging trips by 2–4% and 26–49%, respectively. Although adding new charging stations to the fleet service area reduces total charging trip travel time significantly, it does not reduce total downtime significantly. Results also show that if the EV battery state of the charge (SOC) threshold—below which a charging trip is initiated—is less than 18%, not all EVs in the car-sharing fleet can be charged using the existing direct current fast chargers (DCFCs) in the fleet’s service area. This implies that adequate charging infrastructure coverage is required to ensure that EVs of a given range can operate in the car-sharing fleet.</t>
  </si>
  <si>
    <t>10.1109/TVT.2019.2900931</t>
  </si>
  <si>
    <t>The recent increasing penetration of plug-in electric vehicles (PEVs) has provided an opportunity to develop individual PEVs aggregators who benefit from coordinating the vehicles. Optimal self-scheduling of such an aggregator, considering network operation indices, and distribution system operator's (DSO's) policies on the aggregator's performance are the key issues investigated in this paper. The proposed method maximizes the aggregator's daily profit through participating in day-ahead and real-time electricity markets and offering power quality services to DSO in an incentive and regulatory scheme. These services are designed in terms of the daily voltage profile and the power losses cost of the network. The problem is modeled as a two-stage stochastic scheduling problem considering customers' satisfaction, impacts of uncertainties of driving patterns and real-time market prices, and effects on network operation indices. The model is formulated as a mixed-integer linear programming problem and implemented in GAMS ® software. The technical and financial aspects of the plug-and-play uncoordinated and the proposed coordinated approaches are finally compared for different penetrations of PEVs in a test grid. The results show that applying the proposed strategy can benefit the aggregator in electricity markets and satisfy PEV owners too. Moreover, the reliable and economic operation of the grid can be guaranteed through applying incentive and regulatory policies on the aggregator's performance in high penetration levels.</t>
  </si>
  <si>
    <t>IEEE Transactions on Industrial Informatics</t>
  </si>
  <si>
    <t>10.1109/TII.2019.2950460</t>
  </si>
  <si>
    <t>This article proposes a charging management of electric vehicles (EVs) with a newly presented EV social contribution. The EV charging problem is represented by a generalized Nash equilibrium game where each individual EV tries to minimize its charging cost while satisfying its own charging requirements and respecting the charging facility constraints. The individual EV features a social behavior to potentially contribute in shifting its charging schedule from specific intervals that have insufficient charging power. This shift in the EV schedule will allow more charging power to other EVs that admit stricter charging requirements, i.e., intervals and demands. In this way, the contributed EVs socially help others in reducing their charging costs, which is particularly important during the overload cases in the system. The proposed solution is reached iteratively in a distributed way utilizing the consensus network and found based on the receding horizon optimization framework. Both simulation and experimental results demonstrate the effectiveness and correctness of the proposed social contribution in the charging management for reducing the charging cost of EVs.</t>
  </si>
  <si>
    <t>Andrés Arias Londoño, Mauricio Granada-Echeverri</t>
  </si>
  <si>
    <t>10.5267/j.ijiec.2019.3.002</t>
  </si>
  <si>
    <t>In this paper, an optimization model for the Charging Station Location Problem of Electric Vehicles for Freight Transportation CSLP-EVFT is presented. This model aims to determine an optimal location strategy of Electric Vehicle Charging Stations EVCSs and the routing plan of a fleet of electric vehicles under battery driving range limitation, in conjunction with the impact on the power distribution system. Freight transportation is modeled under the mobility patterns followed by the Capacitated Vehicle Routing Problem CVRP for contracted fleet, and Shortest Path SP problem for subcontracted fleet. A linear formulation of the power flow is used in order to consider the impact on the electric grid. Several costs are examined, i.e., EVs routing, installation and energy consumption of EVCSs, and energy losses. Although uncertainties related to temporal variation of some aspects (number of customers and their demands, fleet size, power network nodes and routes) are not addressed, the proposed model represents a useful approach to evaluate multiple scenarios or to be introduced within stochastic optimization. Instead, the mathematical model is studied under the variation of EVs travel range that accounts for the advance of battery technology and sensitivity analysis. Additionally, the problem is reduced to a mixed integer non-linear mathematical model, which is linearized by using multivariable Taylor’s series.</t>
  </si>
  <si>
    <t>International Journal of Industrial Engineering Computations</t>
  </si>
  <si>
    <t>10.1016/j.jclepro.2019.04.345</t>
  </si>
  <si>
    <t>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 -feedforward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t>
  </si>
  <si>
    <t>10.1016/j.cor.2019.104776</t>
  </si>
  <si>
    <t>In this study, the optimal design of location and capacity of charging facilities for electric vehicles (EVs) is investigated. A bi-level mathematical model is proposed to derive optimal design considering the equilibrium of route choice and waiting time for charging. The objective is to minimize the joint cost of facility constructions and EV drivers’ travel and waiting time over the network. The upper-level model allocates the facilities and their capacity, while the lower-level model characterizes equilibrium behavior of drivers’ route and charging facility choices. In particular, we model drivers at each charging facility as the M(t)/M/n queue and approximate the average queuing time and probability of waiting time as functions of facility capacity and demand arrival rate. The bi-level model is then converted into a single-level model, and the solution algorithm is proposed for iteratively solving the relaxed problems. Comprehensive experiments are conducted on three networks to evaluate algorithm performances, assess solution robustness and understand the scalability of the solution approach on large networks.</t>
  </si>
  <si>
    <t>10.1016/j.trd.2020.102331</t>
  </si>
  <si>
    <t>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t>
  </si>
  <si>
    <t>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t>
  </si>
  <si>
    <t>10.1016/j.trd.2020.102385</t>
  </si>
  <si>
    <t>Dynamic wireless charging (DWC) offers a plausible solution to extending Battery Electric Vehicle (BEV) driving range. DWC is costly to deploy and thus its locations need to be optimized. This raises a question often encountered in practice for infrastructure investment: how to determine the optimal locations of DWC facilities in a network. In this paper, we propose a sequential two-level planning approach considering the objectives of both the public infrastructure planning agency and the BEV users. Two different planners’ objectives namely, total system travel time and total system net energy consumption are considered. Besides these objectives, constraints such as agency budget, range reassurance, and equity in resource distribution are also addressed at the planner’s level. For each objective, BEV drivers respond by choosing their preferred route based on the location of DWC facilities implemented by the planner. An effective solution algorithm is utilized that has the capability of solving relatively large-scale real-world networks within a reasonable computational time. The numerical experiment and case study results provide useful insights on optimally positioning DWC infrastructure to minimize societal cost and energy.</t>
  </si>
  <si>
    <t>10.1109/TITS.2020.3015122</t>
  </si>
  <si>
    <t>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_{0}$ -norm of the charging strategy which is non-convex to represent the total charging time, and apply the $\ell _{1}$ -norm minimization to approximate the sparse solution of $\ell _{0}$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t>
  </si>
  <si>
    <t>10.1016/j.est.2020.101193</t>
  </si>
  <si>
    <t>Charging–discharging coordination between electric vehicles and the power grid is gaining interest as a de-carbonization tool and provider of ancillary services. In electric vehicle applications, the aggregator acts as the intelligent mediator between the power grid and the vehicle. In recent years, researchers have introduced the concepts of aggregated energy management, centralized-decentralized planning, and ideal charging–discharging through improved technologies and integrated energy planning. These methods have the technical ability to adapt the distribution network according to load, aggregator-controlled optimal charging–discharging, demand management systems, strategic load assessments, and management. A comprehensive review suggests that large-scale electric vehicle charging technologies for controlled charging–discharging is becoming a pitfall within the grid and distribution network. This paper reviews several controlled charging–discharging issues with respect to system performance, such as overloading, deteriorating power quality, and power loss. Thus, it highlights a new approach in the form of multistage hierarchical controlled charging–discharging. The challenges and issues faced by electric vehicle applications are also discussed from the aggregator's point of view.</t>
  </si>
  <si>
    <t>10.1016/j.apenergy.2020.115648</t>
  </si>
  <si>
    <t>Along with the rapid development of electric vehicles over the past decades, the dominating charging method, fixed charging could not satisfy the increasing need, especially in urban areas with huge populations. Mobile charging is thus proposed to solve this problem. In this work, the concept of mobile charging is explained. The user convenience and expenses between the conventional fixed charging piles and the mobile charging piles are compared using a mathematical model. The economic competitiveness of mobile charging is also compared with its counterpart. The results show that, different from fixed charging, mobile charging helps the users save their time wasted in a charging station when their electric vehicles are being charged. Taking the cost of time into consideration, mobile charging can be more economic than fixed charging for many users. Moreover, our model analyses reveal that, under the condition of low utilization rate of fixed charging piles, the levelized cost of electricity for mobile charging piles is much less. Besides, the land cost also plays a role; when it increases, mobile charging piles could be even more economically competitive.</t>
  </si>
  <si>
    <t>10.1016/j.trd.2020.102247</t>
  </si>
  <si>
    <t>The focus of this study is to jointly design charging stations and photovoltaic (PV) power plants with time-dependent charging fee, to improve the management of the coupled transportation and power systems. We first propose an efficient and extended label-setting algorithm to solve the EV joint routing and charging problem that considers recharging amount choices at different stations and loop movement cases. Then, a variational inequality problem is formulated to model the equilibrium of EV traffic on transportation networks, and an optimal power flow model is proposed to model the power network flow with PV power plants and optimally serve the EV charging requirements. Based on the above models for describing system states, we then formulate a model to simultaneously design charging stations, PV plants, and time-dependent charging fee. A surrogate-based optimization (SBO) algorithm is adopted to solve the model. Numerical examples demonstrate that the proposed SBO algorithm performs well. Additionally, important insights concerning the infrastructure design and price management of the coupled transportation and power networks are derived accordingly.</t>
  </si>
  <si>
    <t>10.3390/en13205429</t>
  </si>
  <si>
    <t>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Naïve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±0.7%, followed by RF, DT, KNN, SVM, DNN, and NB. The results obtained from the LSTM model were similar to the results obtained from past literature using quadratic programming, with the increased speed and simplicity of ML.</t>
  </si>
  <si>
    <t>10.3390/en13123119</t>
  </si>
  <si>
    <t>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t>
  </si>
  <si>
    <t>10.3390/en13184675</t>
  </si>
  <si>
    <t>There is a continuous and fast increase in electric vehicles (EVs) adoption in many countries due to the reduction of EVs prices, governments’ incentives and subsidies on EVs, the need for energy independence, and environmental issues. It is expected that EVs will dominate the private cars market in the coming years. These EVs charge their batteries from the power grid and may cause severe effects if not managed properly. On the other hand, they can provide many benefits to the power grid and get revenues for EV owners if managed properly. The main contribution of the article is to provide a review of potential negative impacts of EVs charging on electric power systems mainly due to uncontrolled charging and how through controlled charging and discharging those impacts can be reduced and become even positive impacts. The impacts of uncontrolled EVs charging on the increase of peak demand, voltage deviation from the acceptable limits, phase unbalance due to the single-phase chargers, harmonics distortion, overloading of the power system equipment, and increase of power losses are presented. Furthermore, a review of the positive impacts of controlled EVs charging and discharging, and the electrical services that it can provide like frequency regulation, voltage regulation and reactive power compensation, congestion management, and improving power quality are presented. Moreover, a few promising research topics that need more investigation in future research are briefly discussed. Furthermore, the concepts and general background of EVs, EVs market, EV charging technology, the charging methods are presented.</t>
  </si>
  <si>
    <t>10.1016/j.scs.2020.102474</t>
  </si>
  <si>
    <t>Nowadays, much attention has been drawn to environmental protection. Traveling by electric vehicles (EVs) instead of conventional fuel cars is strongly supported by national governments for the sustainable development of urban transportation. However, the increasing EV charging load in residential areas have brought a heavy burden to the distribution transformer. Therefore, coordinated charging of EVs in the residential charging station (RCS) is essential to relieve the power supply pressure. In this paper, an optimal charging strategy based on dynamic spike pricing (DSP) policy is proposed to reduce the charging cost of EVs and ensure the normal operation of the distribution transformer. First of all, the load model of EVs on four kinds of typical days is established with consideration of the seasonal and holiday characteristics of EV charging demands. Then, a new DSP policy based on Time-of-Use (TOU) mechanism is designed with an additional spike time period and a spike price to transfer peak loads in rush hours. To protect EV users from financial losses and prevent transformer overload, an optimal charging model is formulated to minimize the charging cost of EVs with considering the power margin of the distribution transformer. Ultimately, the genetic algorithm (GA) is used to solve the model. The simulation results show that the optimal charging strategy proposed in this paper is effective in peak shaving and reducing charging cost.</t>
  </si>
  <si>
    <t>10.3390/en13205443</t>
  </si>
  <si>
    <t>This paper is about the problem of the management of an aggregator of electric vehicles participating in an electricity market environment. The problem consists in the maximization of the expected profit through a formulation given by a stochastic programming problem to consider the uncertainty faced by the aggregator. This uncertainty is due to the day-ahead market prices and the driving requirements of the owners of the vehicles. Depending on the consent of the owners, inflexible charging to flexible charging is considered. Thus, the aggregator can propose different profiles and charging periods to the owners of electric vehicles. Qualitatively, as expected, the more flexible the vehicle owners, the higher the expected profit. The formulation, however, offers more to the aggregator and provides the ability to quantify the influence of consent of favorable driving requirements in the expected profit, allowing the aggregator to consider rewarding the owners of vehicles with more flexibility. Case studies addressed are for comparison of the influence of owners having inflexibility, partial flexibility, or flexibility in the expected profit of the aggregator.</t>
  </si>
  <si>
    <t>10.1109/TII.2020.3003669</t>
  </si>
  <si>
    <t>This article proposes a charging management of electric vehicles (EVs) that considers time anxieties and different behaviors of EV customers. The time anxiety concept is newly presented to address some uncertain events that may happen meanwhile charging of EVs, affect their charging patterns, and prevent them from meeting their energy demands. The working principle of the concept relies on prioritizing the charging before the event occurrences, and thus changing the EV charging patterns. Based on this concept, four different EV customer behaviors are proposed and their influences are investigated. The EV charging problem is formulated as a generalized nash equilibrium (NE) game, in which each EV minimizes its charging cost given its charging requirements and the charging facility constraints. The solution is developed on the basis of receding horizon optimization and reached iteratively in a distributed manner. Detailed simulation and comparison results are introduced to verify the effectiveness of the proposed charging management with the different time-anxiety-based EV customer behaviors.</t>
  </si>
  <si>
    <t>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t>
  </si>
  <si>
    <t>Electric Vehicles (EV) impact urban networks both when driving (e.g., noise and pollution reduction) and charging. For the electrical grid, the flexibility of EV charging makes it a significant actor in “Demand Response” mechanisms. Therefore, there is a need to design incentive mechanisms to foster customer engagement. A congestion game approach is adopted to evaluate the performance of such electrical transportation system with multiple classes of vehicles: EV and Gasoline Vehicles. Both temporal and energy operating costs are considered. The latter is nonseparable as it depends on the global charging need of all EV, which is scheduled in time by a centralized aggregator in function of nonflexible consumption at charging location. Thus, driving and charging decisions are coupled. An adaptation of Beckmann’s method proves the existence of a Wardrop Equilibrium (WE) in the considered nonseparable congestion game; this WE is unique when the charging unit price is an increasing function of the global charging need. A condition on the nonflexible load is given to guarantee the monotonicity of this function. This condition is tested on real consumption data in France and in Texas, USA. Optimal tolls are used to control this electrical transportation system and then computed in order to minimize an environmental cost on a simple network topology.</t>
  </si>
  <si>
    <t>10.1109/TITS.2020.2991352</t>
  </si>
  <si>
    <t>10.1109/TVT.2020.3038049</t>
  </si>
  <si>
    <t>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t>
  </si>
  <si>
    <t>10.1016/j.apenergy.2020.115640</t>
  </si>
  <si>
    <t>Plug-in electric vehicles (PEVs) and renewable energy sources (RESs) can relief the stress on air pollution. Particularly, using RES for PEV energy requirement can integrate more RESs on the grid. In this paper, a vehicle-to-grid (V2G) scheme concerning on RES and edge computing, i.e. the internet of smart charging points with photovoltaics integration, is presented. Within the architecture of the scheme, each charging point equips computing and storage units, so as to store PEV sensitive information locally and conduct “burn after scheduling”. Besides, this architecture can transform the traditional large-scale V2G problem into several sub-problems, which are small enough to optimize. Based on the architecture of the scheme, an associated high-efficiency algorithm is designed. Six typical scenarios of PEV charging are elaborated and two indexes are presented to facilitate 1) the self-consumption of photovoltaics energy by PEV charging and 2) the peak-shaving and valley-filling of net load. Additionally, voltage regulation and real-time control are applied to ensure the security of the distribution grid and mitigate the uncertain conditions. Finally, compared with uncoordinated charging, the short-time scale simulation realizes the peak-shaving and valley-filling by 17.54% and 12.42%, respectively; and the amount of self-consumption of photovoltaics energy increases by 258.74%. Furthermore, the long-time scale simulations also present a satisfying performance for the grid energy saving and the load factor. Particularly, the proposed scheme offers high computational efficiency compared with different architecture and algorithm, and the execution time for scheduling one PEV at one-time interval shows a microsecond basis.</t>
  </si>
  <si>
    <t>The adoption and usage of electric vehicles (EVs) have emerged recently due to the increasing concerns on the greenhouse gas issues and energy revolution. As a part of the smart grid, EVs can provide valuable ancillary services beyond consumers of electricity. However, EVs are gradually considered as nonnegligible loads due to their increasing penetration, which may result in negative effects such as voltage deviations, lines saturation, and power losses. Relationship and interaction among EVs, charging stations, and micro grid have to be considered in the next generation of smart grid. Therefore, the topic of smart charging has been the focus of many works where a wide range of control methods have been developed. As one of the bases of simulation, the EV charging behavior and characteristics have also become the focus of many studies. In this work, we review the charging behavior of EVs from the aspects of data, model, and control. We provide the links for most of the data sets reviewed in this work, based on which interested researchers can easily access these data for further investigation.</t>
  </si>
  <si>
    <t>10.1109/TITS.2020.3008279</t>
  </si>
  <si>
    <t>Uncoordinated charging of a rapidly growing number of electric vehicles (EVs) and the uncertainty associated with renewable energy resources may constitute a critical issue for the electric mobility (E-Mobility) in the transportation system especially during peak hours. To overcome this dire scenario, we introduce a stochastic game to study the complex interactions between the power grid and charging stations. In this context, existing studies have not taken into account the dynamics of customers’ preference on charging parameters. In reality, however, the choice of the charging parameters may vary over time, as the customers may change their charging preferences. We model this behavior of customers with another stochastic game. Moreover, we define a quality of service (QoS) index to reflect how the charging process influences customers’ choices on charging parameters. We also develop an online algorithm to reach the Nash equilibria for both stochastic games. Then, we utilize real data from the California Independent System Operator (CAISO) to evaluate the performance of our proposed algorithms. The results reveal that the electricity cost with the proposed method can result in a saving of about 20% compared to the benchmark method, while also yielding a higher QoS in terms of charging and waiting time. Our results can be employed as guidelines for charging service providers to make efficient decisions under uncertainty relative to power generation of renewable energy.</t>
  </si>
  <si>
    <t>10.1016/j.tre.2020.102187</t>
  </si>
  <si>
    <t>Electric vehicles are one of the effective tools for pollution reduction and sustainable transportation in emerging markets. In this paper, we investigate the optimal locations and electricity prices for dynamic wireless charging links of electric vehicles to minimize total social cost within a given budget while ensuring nonnegative operating profit to alleviate a government’s operational pressure. A logit-based stochastic user equilibrium model is proposed to capture drivers’ routing and recharging behavior, and a linear programming approach is developed to determine a path recharging plan. The problem is rendered as a bi-level formulation and solved using an efficient surrogate model-based algorithm.</t>
  </si>
  <si>
    <t>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t>
  </si>
  <si>
    <t>IEEE Transactions on Control Systems Technology</t>
  </si>
  <si>
    <t>10.1109/TCST.2021.3070482</t>
  </si>
  <si>
    <t>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t>
  </si>
  <si>
    <t>Journal of Energy Engineering</t>
  </si>
  <si>
    <t>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t>
  </si>
  <si>
    <t>10.1109/TSG.2021.3094891</t>
  </si>
  <si>
    <t>10.1016/j.trc.2021.103447</t>
  </si>
  <si>
    <t>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t>
  </si>
  <si>
    <t>10.1016/j.est.2021.103291</t>
  </si>
  <si>
    <t>The escalation in the usage of conventional fuel in the transportation sector resulted in rapid depletion of the same. Thus, the past decade saw the electrification of the transportation division as the primary research area. It has been seen in the past few years that Electric Vehicles (EV) are displacing the internal combustion engine at a rapid pace. The escalation in EV density on the road caused a substantial adverse effect on the existing electric grid and led to grid reliability issues. With an increase in the charging station to cater to Electric Vehicle's needs, some countermeasures are required to be taken to overcome the adverse effects. A comprehensive review is plotted concerning the current EV scenario, charging infrastructure, EV impacts, and Electric Vehicles optimal allocation provisioning in this paper. This paper especially presents the study on the optimal allocation of rapid charging stations based on economic benefits and grid impacts. Adoption challenges that are being faced are also discussed. In contrast, future trends in the field, such as the procurement of energy from renewable energy sources and the benefit of the vehicle to grid technology, are presented and summarized.</t>
  </si>
  <si>
    <t>10.3390/en14175336</t>
  </si>
  <si>
    <t>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t>
  </si>
  <si>
    <t>10.1016/j.est.2021.102245</t>
  </si>
  <si>
    <t>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t>
  </si>
  <si>
    <t>10.1016/j.scs.2021.103081</t>
  </si>
  <si>
    <t>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t>
  </si>
  <si>
    <t>10.1016/j.ijepes.2021.106813</t>
  </si>
  <si>
    <t>The increasing penetration of electric vehicles (EVs) and renewable energy resources (RESs) have raised concerns about the voltage instability in distribution power systems. Thus, some probabilistic algorithms are needed by decision-makers to quickly yet accurately evaluate the voltage stability margin in smart distribution systems. This paper proposes a nonparametric preventive control to mitigate the risk of voltage instability in the active distribution systems consisting of EVs and RESs. First, a framework is developed to evaluate EVs' degree of participation in preventive control by estimating potential achievable power capacity (PAPC). To estimate the probability density function (PDF) of the system voltage stability margin, Bernstein density estimator (BDE) is utilized due to its capability to handle the boundary effect. Finally, a preventive/corrective control model based on the model predictive control (MPC) is developed considering the dynamic behavior of EVs and RESs. The capability of the proposed algorithm is tested on the modified IEEE 33-node system.</t>
  </si>
  <si>
    <t>10.3390/su13147962</t>
  </si>
  <si>
    <t>The world is moving rapidly from carbon-producing vehicles to green transportation systems. Electric vehicles (EV) are a big step towards a friendly mode of transport. With the constant rise in the number of electric vehicles, we need a widespread and seamless charging infrastructure that supports seamless charging and billing. Some users generate electricity using solar panels and charge their electric vehicles. In contrast, some use charging stations, and they pay for vehicle charging. This raises the question of trust and transparency. There are many countries where laws are not strictly enforced to prevent fraud in payment systems. One of the preeminent problems presently existing with any of the trading systems is the lack of transparency. The service provider can overcharge the customer. Blockchain is a modern-day solution that mitigates trust and privacy issues. We have proposed a peer-to-peer energy trading and charging payment system for electric vehicles based on blockchain technology. Users who have excess electricity which they can sell to the charging stations through smart contracts. Electric vehicle users can pay the charging bills through electronic wallets. We have developed the electric vehicle’s automatic-payment system using the open-source platform Hyperledger fabric. The proposed system will reduce human interaction and increase trust, transparency, and privacy among EV participants. We have analyzed the resource utilization and also performed average transaction latency and throughput evaluation. This system can be helpful for the policymakers of smart cities.</t>
  </si>
  <si>
    <t>10.1016/j.ijepes.2020.106353</t>
  </si>
  <si>
    <t>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t>
  </si>
  <si>
    <t>With the rise in the demand for electric vehicles, the need for a reliable charging infrastructure increases to accommodate the rapid public adoption of this type of transportation. Simultaneously, local electricity grids are being under pressure and require support from naturally abundant and inexpensive alternative energy sources such as wind and solar. This is why the world has recently witnessed the emergence of renewable energy-based charging stations that have received great acclaim. In this paper, we review studies related to this type of alternative energy charging infrastructure. We provide comprehensive research covering essential aspects in this field, including resources, potentiality, planning, control, and pricing. The study also includes studying and clarifying challenges facing this type of electric charging station and proposing suitable solutions for those challenges. The paper aims to provide the reader with an overview of charging electric vehicles through renewable energy and establishing the ground for further research in this vital field.</t>
  </si>
  <si>
    <t>IEEE Transactions on Automation Science and Engineering</t>
  </si>
  <si>
    <t>10.1109/TASE.2021.3102997</t>
  </si>
  <si>
    <t>With the increasing market penetration of electric vehicles (EVs), the charging behavior and driving characteristics of EVs have an increasing impact on the operation of power grids and traffic networks. Existing research on EV routing planning and charging navigation strategies mainly focuses on vehicle-road-network interactions, but the vehicle-to-vehicle interaction has rarely been considered, particularly in studying simultaneous charging requests. To investigate the interaction of multiple vehicles in routing planning and charging, a routing optimization of EVs for charging with an event-driven pricing strategy is proposed. The urban area of a city is taken as a case for numerical simulation, which demonstrates that the proposed strategy can not only alleviate the long-time queuing for EV fast charging but also improve the utilization rate of charging infrastructures. Note to Practitioners —This article was inspired by the concerns of difficulties for electric vehicle (EV)’s fast charging and the imbalance of the utilization rate of charging facilities. Existing route optimization and charging navigation research are mainly applicable to static traffic networks, which cannot dynamically adjust driving routes and charging strategies with real-time traffic information. Besides, the mutual impact between vehicles is rarely considered in these works in routing planning. To resolve the shortcomings of existing models, a receding-horizon-based strategy that can be applied to dynamic traffic networks is proposed. In this article, various factors that the user is concerned about within the course of driving are converted into driving costs, through which each road section of traffic networks is assigned the corresponding values. Combined with the graph theory analysis method, the mathematical form of the dynamic traffic network is presented. Then, the article carefully plans and adjusts EV driving routes and charging strategies. Numerical results demonstrate that the proposed method can significantly increase the adoption of EV fast charging while alleviating unreasonable distributions of regional charging demand.</t>
  </si>
  <si>
    <t>Advances in Electrical and Computer Engineering</t>
  </si>
  <si>
    <t>10.4316/AECE.2021.04003</t>
  </si>
  <si>
    <t>Electric Vehicles (EVs) have been shown to be better for the environment since they emit lesser air pollutants compared to fuel-based vehicles. High penetration of EVs in the distribution network contributes to the increment of capital investment in smart grid technologies. This is because EVs' charging operation involves a considerably high level of electricity due to the size of EVs' battery charging period. Poor scheduling of EVs charging operation will lead to an increment in electricity consumption. This will then lead to overloading of distribution network, voltage quality degradation, power loss increment, and dispatch of uneconomical energy sources. Hence, coordinated, and smart charging schemes are vital in order to reduce charging costs. This paper proposes an optimized EV battery charging and discharging scheduling model using an ordinary differential equation (ODE) based on three charging scenarios. The daily charging and discharging schedule of EVs are optimized using optimal control. The result shows that the proposed optimized charging and discharging scheduling model reduces the charging cost up to approximately 50%.</t>
  </si>
  <si>
    <t>Alkawaz, Ali Najem; Kanesan, Jeevan; Khairuddin, Anis Salwa Mohd; Chow, Chee Onn; Singh, Mandeep</t>
  </si>
  <si>
    <t>International Transaction Journal of Engineering, Management, &amp; Applied Sciences &amp; Technologies</t>
  </si>
  <si>
    <t>The frequency of using electric vehicles (EVs) is nowadays on the rise
as these vehicles are efficient and popular among people. However, the charging problem is the principal issue in EVs. This article tries to advance the harmonics of EVs charging via a virtual resistor and to assess its efficacy in promoting the battery health of EVs through its comparison with the absence of a virtual resistor. According to the simulation findings, the input current continues entirely in the introduced two-way converter; consequently, a significant reduction occurs in the input current total harmonic distortion (THD) in comparison to a conventional converter. Also, a THD of 4.5% observed for the output current by the introduced converter demonstrating its effectiveness, while satisfying the standard THD value lower than 5%. Besides the reduced THD rate, the THD of current turns to 3.67% following the application of the virtual resistor, which corresponds to the standard. Moreover, this value is 0.86% lower than the harmonic value of the system in the first case (with no use of virtual resistance), suggesting that the introduced approach is effective.</t>
  </si>
  <si>
    <t>In this manuscript, an efficient hybrid strategy is proposed to mitigate the negative impact of RES output fluctuations and smart charging method of electric vehicles (EVs). The proposed hybrid system is the joint implementation of Spike Neural Network Learning Algorithm (S2NA) algorithm and Golden Eagle Optimizer (GEO) algorithm; hence, it is known as S2NA-GEO strategy. An innovative uncertainty mode of renewable energy sources (RESs) based upon S2NA-GEO strategy is proposed, which can avert the difficult parameter collection and formula derivation. Price-based mode is accepted as EVs are considered responsive loads, which also take into account the spatial–temporal uncertainty of electric vehicles. Here, two fluctuation indexes are determined as quantitative evaluation of the volatility of RESs, then the charging cost is adopted as a guideline for the satisfaction of electric vehicle charging. The main purpose of the proposed system is diminishing the real and reactive power loss through the optimal allocation of the EVs as parking spot and minimizes the cost. In this article, the sensitivity of the voltage is conducted via four sensitivity indexes computation for regulating the candidate sites for charging and discharging. The charging infrastructure integrates the entire equipment and programming for the exchange of energy as electrical grid to the vehicle for this purpose; the sensitivity analysis is carried out assessing the inverse Jacobian matrix as power flow studies. To optimally decide the parking lot size, the biogeography-based optimization (BBO) system is assumed. The optimal size parking lot is estimated via the proposed WFS-CGO technique. The proposed method is activated in MATLAB/Simulink site, and the performance is compared with existing methods.</t>
  </si>
  <si>
    <t>10.1016/j.segan.2021.100533</t>
  </si>
  <si>
    <t xml:space="preserve"> Sustainable Energy, Grids and Networks</t>
  </si>
  <si>
    <t>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t>
  </si>
  <si>
    <t>Transport Reviews</t>
  </si>
  <si>
    <t>With the evolving demand for sustainable mobility, adequate charging infrastructure for electric vehicles (EVs) has been growing steadily and wireless power transfer (WPT) technology has been seen as an efficient alternative for EV charging while maintaining seamless traffic flow. This paper reviews the modelling challenges in terms of both static (plug-in) charging (SC) and wireless charging (WC) facilities in a transportation network in terms of system integration, focusing on the evolution of the WPT technology. The first part of the paper provides an overview of all the major progress and achievements made by different research organisations in the area of WPT technology for EV charging. These technologies are ranked based on two indices, namely technological readiness level and system readiness level. The optimal location of WC facilities comes with more design and operational issues than conventional static charging facilities. However, they are similar in terms of the infrastructure modelling approach to locate these charging facilities, as the overall goal is to maximise the network flow and minimise the overall system cost. The second part of the paper assesses different modelling approaches used to analyse the network and locate the charging infrastructure for static and WC facilities. The economic feasibility of the technology is an important consideration for successful system integration as well as the overall performance of the system. As such, this paper also provides a synopsis of different socio-economic studies related to the WC infrastructure allocation problem. Finally, future research directions in this field are discussed based on the knowledge gaps identified from the existing literature.</t>
  </si>
  <si>
    <t>10.1016/j.scs.2021.103181</t>
  </si>
  <si>
    <t>In recent years, electric ride-hailing has increased considerably in the taxi industry with the development of battery electric vehicles (BEVs) and implementation of greenhouse gas (GHG) emission regulations. Private BEVs are charged mostly in private garages, while electric ride-hailing services require public charging stations (CSs). This work uses an improved genetic algorithm (GA) to locate public CSs by considering the investment of CS operators and the travel costs of BEV owners. A case study is presented with large-scale order data collected from the ride-hailing fleet of the city of Haikou and charging data from the electric ride-hailing fleet of the city of Shanghai. The elastic demand for electric ride-hailing is also considered by incorporating feedback between congestion at the CS and the geographical area. The proposed methodology uses the multipopulation genetic algorithm (MPGA) to provide more feasible allocations for public CSs and could reduce the total cost by 7.6%.</t>
  </si>
  <si>
    <t>IEEE Transactions on Transportation Electrification</t>
  </si>
  <si>
    <t>10.1016/j.scs.2022.104153</t>
  </si>
  <si>
    <t>In recent years, electric vehicles (EVs) have increased considerably in the logistics sector with the implementation of greenhouse gas (GHG) emission regulations. However, the driving range of EVs is limited by the battery capacity compared to combustion engine vehicles. This study proposes a public charging infrastructure localization and route planning strategy for logistics companies based on a bilevel program. A two-phase heuristic approach combining a two-layer genetic algorithm (TLGA) and simulated annealing (SA) is presented to solve the problem. The hybrid method uses TLGA to derive the optimal routing and charging plan and the SA descent algorithm is used to select the charging station (CS) locations. The proposed method is tested and compared to meta-heuristics using benchmark instances with charging stations. A case study is carried out using data from Chengdu, a major city in southwest China, to simulate the charging demand of public charging infrastructures. The proposed method provides more feasible allocations for public CSs and route planning, which could reduce the total delivery cost by 15%. This study demonstrates the potential of a bilevel optimizing approach to provide an optimized solution in citywide CS location selection and logistics routing problems.</t>
  </si>
  <si>
    <t>10.1016/j.ijepes.2022.108204</t>
  </si>
  <si>
    <t>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t>
  </si>
  <si>
    <t>10.3390/su14042137</t>
  </si>
  <si>
    <t>As a result of fossil fuel prices and the associated environmental issues, electric vehicles (EVs) have become a substitute for fossil-fueled vehicles. Their use is expected to grow significantly in a short period of time. However, the widespread use of EVs and their large-scale integration into the power system will pose numerous operational and technical challenges. To avoid these issues, it is essential to manage the charging and discharging of EVs. EVs may also be considered sources of dispersed energy storage and used to increase the network’s operation and efficiency with reasonable charge and discharge management. This paper aims to provide a comprehensive and updated review of control structures of EVs in charging stations, objectives of EV management in power systems, and optimization methodologies for charge and discharge management of EVs in energy systems. The goals that can be accomplished with efficient charge and discharge management of EVs are divided into three groups in this paper (network activity, economic, and environmental goals) and analyzed in detail. Additionally, the biggest obstacles that EVs face when participating in vehicle-to-grid (V2G) applications are examined in this paper.</t>
  </si>
  <si>
    <t>10.1016/j.tre.2022.102761</t>
  </si>
  <si>
    <t>This paper reviews and prospects the research in transportation systems management with the presence of dynamic wireless charging (DWC) electric vehicles (EVs). DWC is based on inductive coupling that allows EVs to get charged wirelessly by driving over the coils installed in the ground. Thus, DWC is also known as ‘charging-while-driving’ or ‘in-motion charging’, which is regarded as one of the most promising charging solutions for EVs. The road that is equipped with wireless chargers underneath its surface is called a wireless charging lane (WCL). The deployment of WCLs will lead to a profound change in the field of transportation systems management. We give a review of recent studies on related topics including WCL allocation and related decisions, energy consumption of EVs considering WCLs, and pricing of EVs for the use of DWC facilities. Based on the analysis of the existing studies, we identify the needs for more flexible WCL design and allocation models, as well as novel ways that incorporate the complexities in energy consumption by EVs and routing behaviour into traffic network analysis. In addition, we emphasise the research opportunities of dynamic traffic modelling and real-time control considering DWC and EVs with state-of-charge (SOC) constraints. A high-level dynamic system model and a general model-based control problem are formulated in this regard. Finally, we foresee a demand for finer traffic management in the WCL environment enabled by emerging technologies such as the internet of vehicles (IoV) and autonomous driving.</t>
  </si>
  <si>
    <t>10.1016/j.trd.2022.103461</t>
  </si>
  <si>
    <t>It is widely recognized that electric vehicle (EV) users get frustrated by the limited range of EVs, slow charging, and limited charging facilities available in the vicinity of their journey route. These factors contribute to slowing down the uptake of EVs. Dynamic wireless charging (DWC) system has the potential to offer a cost-effective solution to these issues. This paper investigates the DWC allocation problem from the decision makers’ perspective to minimize individual users’ costs as well as the investment cost for DWC facilities. We propose a mixed-integer optimization model to achieve a cost-effective solution for the optimal placement of DWC facilities on the large road network while maintaining an acceptable state-of-charge level. Sensitivity analysis is conducted on the optimization model parameters to check the feasibility and significance of model solutions for DWC placements. The results provide useful insights into the optimal settings of DWC facilities under multiple route environments.</t>
  </si>
  <si>
    <t>10.3390/en15103788</t>
  </si>
  <si>
    <t>Widespread adoption of heavy-duty (HD) electric vehicles (EVs) will soon necessitate the use of megawatt (MW)-scale charging stations to charge high-capacity HD EV battery packs. Such a station design needs to anticipate possible station traffic, average and peak power demand, and charging/wait time targets to improve throughput and maximize revenue-generating operations. High-power direct current charging is an attractive candidate for MW-scale charging stations at the time of this study, but there are no precedents for such a station design for HD vehicles. We present a modeling and data analysis framework to elucidate the dependencies of a MW-scale station operation on vehicle traffic data and station design parameters and how that impacts vehicle electrification. This framework integrates an agent-based charging station model with vehicle schedules obtained through real-world vehicle telemetry data analysis to explore the station design and operation space. A case study applies this framework to a Class 8 vehicle telemetry dataset and uses Monte Carlo simulations to explore various design considerations for MW-scale charging stations and EV battery technologies. The results show a direct correlation between optimal charging station placement and major traffic corridors such as cities with ports, e.g., Los Angeles and Oakland. Corresponding parametric sweeps reveal that while good quality of service can be achieved with a mix of 1.2-megawatt and 100-kilowatt chargers, the resultant fast charging time of 35–40 min will need higher charging power to reach parity with refueling times.</t>
  </si>
  <si>
    <t>Dynamic Games and Applications</t>
  </si>
  <si>
    <t>Battery charging of electric vehicles (EVs) needs to be properly coordinated by electricity producers to maintain the network reliability. In this paper, we propose a robust approach to model the interaction between a large fleet of EV users and utilities in a long-term generation expansion planning problem. In doing so, we employ a robust multi-period adjustable generation expansion planning problem, called R-ETEM, in which demand responses of EV users are uncertain. Then, we employ a linear quadratic game to simulate the average charging behavior of the EV users. The two models are coupled through a dynamic price signal broadcasted by the utility. Mean field game theory is used to solve the linear quadratic game model. Finally, we develop a new coupling algorithm between R-ETEM and the linear quadratic game with the purpose of adjusting in R-ETEM the uncertainty level of EV demand responses. The performance of our approach is evaluated on a realistic case study that represents the energy system of the Swiss “Arc Lémanique” region. Results show that a robust behaviorally-consistent generation expansion plan can potentially reduce the total actual cost of the system by 6.2% compared to a behaviorally inconsistent expansion plan.</t>
  </si>
  <si>
    <t>Emerging innovation in smart charging for plug-in electric vehicles (EVs) has the potential to achieve significant economic benefits. In several works, smart charging encourages the use of EVs as a flexible resource by modifying their power consumption through a demand response (DR) program. However, it is promptly assumed that EVs are always responsive and accept the smart charging signals with no fault. In practice, due to uncertainties such as random EV mobility, volatile battery charging characteristics or charging component failures, some EVs would be unable to accept the assigned charging signals dispatched from a central server. Therefore, this article proposes a feedback loop to predict EV charging behaviours and thereby adaptively tune the time-based control signals dispatched to individual EVs. Moreover, a parallel-operating distributed DR algorithm is proposed which aims optimal EV scheduling under charging uncertainties while reducing the need of private information sharing. The proposed distributed algorithm allows increased EV user privacy, fast convergence properties and optimal operation under communication disruptions and delays. The effectiveness of the proposed methods are also numerically exhibited for varying penetration of EVs within a low-voltage (LV) distribution test network.</t>
  </si>
  <si>
    <t>10.1016/j.est.2021.103677</t>
  </si>
  <si>
    <t>With the development of high-power charging technology for electric vehicles (EVs), fast power supplement mode (FPSM) is favoured by users and operators. An optimal configuration method of fast charging stations (FCSs) under FPSM is proposed in this paper. Firstly, the charging characteristics of the EV battery are analysed, the charging time and electricity supplementation of user's expected are introduced as quantitative indicators for judging whether to charge. According to the different fast supplement needs of different EV types, the matrix-type flexible charging stack is used to classify different levels of charging power. Various EV types in 10–20 min can be achieved fast supplement, which will have good application prospects and feasibility in the future. Secondly, the spatial-temporal distribution of EVs charging demand under the FPSM is predicted based on global positioning system (GPS) and K-means method. Thereby, an optimal FCSs configuration model is established with considering user satisfaction indicators. Voronoi diagram and the improved particle swarm algorithm (PSO) are used to determine the optimal FCSs location and capacity. Moreover, the influence of FCSs on the operation safety of distribution network is added into the model. Finally, the practicality and feasibility of the theory are verified through simulation analysis of examples.</t>
  </si>
  <si>
    <t>Journal of King Saud University - Computer and Information Sciences</t>
  </si>
  <si>
    <t>10.1016/j.jksuci.2022.03.002</t>
  </si>
  <si>
    <t>Electric vehicles (EVs) are environment friendly and are expected to find tremendous growth in the near future. However, the short voyaging reach and the lack of charging lattice have impeded the large-scale application of EVs. A choice of a particular route for EV is largely dependent on the availability of charging stations on that route as well as the ease of charging facility offered by the charging station (including state of the charging station, user convenience, etc.). Hence, it is vital to delve into the challenge of locating a charging station that offers the utmost user convenience in charging EVs. This paper attempts to present a solution to this very problem. The proposed approach is an improvised distributed system, namely, (Smart Search of Route and Charging) which plans an energy efficient EV route considering EV’s state-of-charge (SoC) level, traffic conditions, the frequency of charging stations and the state of charging station (the charging resources of the charging station along with their occupancy levels, etc.). This distributed architecture employs the proposed agile charging slot reservation approach for the EVs that wish to get recharged at a particular charging station. Besides, to delineate the interactive mechanism of EVs recharging, three non-identical objective functions are formulated to minimize the overall energy consumption of EVs, waiting time at charging station, and total charging expenditure. After performing the extensive simulations on the weighted directed real transportation graph of Chandigarh, India, the proposed system recommends a charging station in accordance to the preferences given by the EV user. Case studies verify the significance and validity of the proposed model in terms of energy efficiency and user convenience.</t>
  </si>
  <si>
    <t>World Electric Vehicle Journal</t>
  </si>
  <si>
    <t>10.3390/wevj13100195</t>
  </si>
  <si>
    <t>In light of the increasing number of electric vehicles (EV), disorderly charging in mountainous cities has implications for the stability and efficient utilization of the power grid. It is a roadblock to lowering carbon emissions. EV aggregators are a bridge between EV users and the grid, a platform to achieve energy and information interoperability, and a study of the orderly charging of EVs to reach carbon emission targets. As for the objective function, the EV aggregator considers the probability of EV charging access in mountainous cities, the SOC expectation of EV users, the transformer capacity constraint, the charging start time, and other constraints to maximize revenue. Considering the access probability of charging for users in mountainous cities, the optimized Lagrange relaxation method is used to solve the objective function. The disorderly charging, centralized optimized charging, and decentralized optimized charging modes are investigated using simulation calculations. Their load profiles, economic benefits, and computational efficiency are compared in three ways. Decentralized optimal charging using the Lagrange relaxation method is shown to be 50% more effective and to converge 279% faster than centralized optimal charging.</t>
  </si>
  <si>
    <t>10.1016/j.energy.2022.124160</t>
  </si>
  <si>
    <t>Battery electric vehicles (BEVs) assume a critical role in the promotion of transportation electrification. Accurate analysis and prediction of BEVs charging behaviors are essential to solving the issues, such as electricity supply imbalance stemming from the BEVs increasing volume. To achieve that, the agent-based trip chain model (ABTCM) and nested logit model (NL) are proposed in this study based on meter-level real-world data. In our investigation, not only the general charging patterns including trip chains distributions and dynamic attributes, but also the different charging strategies influencing mechanisms are profoundly estimated. The results demonstrate that most BEVs dispense with charging in the chain during one-day trips and users generally hold moderate range psychology before departure. For charging patterns, the longer people travel, the more inclined they are to adopt the fast charging strategy. The start moment SOC, consumed SOC, travel distance, the speed and weather, as well as all last charging status, are common significant factors for both slow charging and fast charging. The argument reveals that it is more applicable to consider charging scene context when exploring BEVs charging behaviors. Furthermore, the task of charging behaviors is conducted by the united NL model, which displays the effectiveness with accessible accuracy.</t>
  </si>
  <si>
    <t>10.1109/TITS.2022.3205596</t>
  </si>
  <si>
    <t>In Internet of Electric Vehicles (IoEV), mobile charging stations (MCSs) can be deployed to complement fixed charging stations. Currently, the strategy of MCSs is to move towards the EVs with insufficient energy (IEVs) only after being requested, which is not efficient. However, similar to online car-hailing services, more IEVs could be charged and the charging expenses could be reduced if idle MCSs can actively move towards the potential charging positions. In this paper, the problem of placements of idle MCSs in an IoEV is investigated in order to enhance the proportion of charged IEVs and reduce the charging expenses of IEVs. To this end, we propose a Federated Learning based Placement Decision Method of Idle MCSs (FL-PDMIM) to help the idle MCSs to predict the future charging positions, by exploiting the historical routes of MCSs which contain rich information regarding the charging demand of IEVs. In the proposed framework, the historical routes are trained locally by each MCS, and then the local model parameters and charging records are periodically uploaded to an edge server for a global parameter aggregation. Then, idle MCSs decide their placements according to the predicted charging positions (potential charging positions). The training time can be largely shortened, because the distributed learning on each MCS is executed in parallel. Extensive simulations and comparisons demonstrate the performance superiority of FL-PDMIM. Specifically, with the proposed federated learning-based predictions, the waiting time of IEVs to be served can be significantly shortened, and FL-PDMIM enhances the proportion of charged IEVs and reduces the charging expenses of IEVs effectively.</t>
  </si>
  <si>
    <t>10.1016/j.ijepes.2021.107692</t>
  </si>
  <si>
    <t>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t>
  </si>
  <si>
    <t>10.1016/j.est.2021.103577</t>
  </si>
  <si>
    <t>Electric vehicle charging is one of the common techniques for techno-economic energy management in the distribution system, which, if implemented properly, brings several benefits such as the peak load shaving, total costs reduction, losses minimization, etc. Unlike traditional charging methods, it is not necessary to completely charge electric vehicles. Instead, each vehicle can be charged smartly just based on its demand for its next trips. In this way, charging takes less time and the total consumption is balanced without any discomfort for the drivers. To implement this smart method, electric vehicle owners must fill in an information sheet that contains the number and lengths of the their next. Then, its required energy is calculated this info, and the initial battery state of charge. Finally, the charging management system starts the planning according to its upstream distribution system operator. Several parameters are needed for the planning such as time of use tariff of the electricity, the distribution transformer or substation physical limits, the rate of the charge (normal or fast), etc. The aim of the planning is to minimize the charging cost considering the technical and economic constraints. Here, the YALMIP and MOSEK software are used as the solver of the proposed mixed-integer linear programming model.</t>
  </si>
  <si>
    <t>10.1016/j.scs.2022.104171</t>
  </si>
  <si>
    <t>In this paper, a new energy management model is proposed to determine the optimal scheduling of an office building which includes electric vehicle (EV) charging piles, batteries, and rooftop photovoltaic systems. To optimally manage the electricity procurement of the building and mitigate the rate of transformer aging, the building energy management system (BEMS) employs the flexibility of batteries and EV charging. In the proposed model, to incentivize EV owners to offer their flexibility, the BEMS organizes a transactive market among plugged-in EVs. To this end, EV owners submit their response curves and the target state-of-charge to the BEMS. Then, the transactive market is cleared to determine the market-clearing price for each EV, the optimal EV charging decisions, and accordingly, the scheduling of office building. Also, to model the correlated uncertainties of solar power generation and demand, the distributionally robust chance-constrained method is employed. Moreover, the “Big-M” technique and the piecewise linear approximation method are utilized to linearize the optimization problem. Finally, the case of a building with 100 charging piles is studied. The numerical results illustrate a decrease in the total operating cost of BEMS and the rate of transformer aging compared to uncontrolled charging and direct control approaches.</t>
  </si>
  <si>
    <t>10.1016/j.segan.2022.100646</t>
  </si>
  <si>
    <t>The penetration rate of electric vehicles in the power grid and transportation network is increasing, and establishing an effective charging and navigation strategy is an important guarantee for the stable development of electric vehicles. According to the difference in the user’s value measurement of driving time and charging time not reflected in the previous electric vehicle charging and navigation strategies, this paper proposes a charging and navigation strategy for electric vehicles that considers the difference in user time utility, so as to provide the best choice for electric vehicles with fast charging needs. Take the best route to the charging station to replenish the battery. Electric vehicle users can choose different navigation modes according to their own preferences, and different navigation modes correspond to different utility ratios between unit charging time and unit driving time. Taking the 18  km2 area of the actual traffic road network in a city as an example, the Dijkstra algorithm is used to search for the route, and the impact on the optimization results of the charging route is analyzed when the difference in the user’s time utility is considered. In the large case, they are willing to bear part of the higher travel cost and choose a charging path with a shorter charging time.</t>
  </si>
  <si>
    <t>10.17775/CSEEJPES.2021.05780</t>
  </si>
  <si>
    <t>With the rapid popularization of electric vehicles (EVs), more charging and swapping facilities are needed to provide services. However, a single type of charging and battery swapping facilities cannot conveniently and rapidly meet the power supply demands of different types of vehicles at the same time. In order to solve this problem, a joint planning method of charging piles and charging-battery swapping stations (CBSSs) is proposed in this paper. In this method, the influence of geospatial constraints on the layout scale of charging piles is considered, and the Monte Carlo simulation method is used to predict the spatial-temporal distribution of charging and battery swapping demands of private electric vehicles (PEVs) and the battery swapping demands of taxi electric vehicles (TEVs) respectively. On this basis, the layout scale of charging piles of each functional area is determined during the maximum charging demand period in a day to meet the demands of PEVs for charging convenience. Then, an operating state model of CBSS is established for calculation of the objective function. At the same time, a planning model of CBSSs is established to minimize the annual social comprehensive cost, which takes into account the economy of CBSSs and the battery swapping convenience of EVs. The planning of CBSSs can meet the demands of TEVs and some PEVs for a rapid power supply. Finally, taking an urban transportation network of Changchun and IEEE 33-node system as a case, the planning of charging piles and CCBSs in direct charging mode and peak shifting mode are simulated and analyzed. The simulation results show that the proposed method can make PEVs and TEVs obtain convenient and rapid power supply, and the planning result of CBSSs in direct charging mode is more economical, while peak shifting mode is more conducive to the safe operation of distribution network.</t>
  </si>
  <si>
    <t>10.1016/j.est.2022.105241</t>
  </si>
  <si>
    <t>The role of electric vehicles (EVs) in energy systems will be crucial over the upcoming years due to their environmental-friendly nature and ability to mitigate/absorb excess power from renewable energy sources. Currently, a significant focus is given to EV smart charging (EVSC) solutions by researchers and industries around the globe to suitably meet the EVs' charging demand while overcoming their negative impacts on the power grid. Therefore, effective EVSC strategies and technologies are required to address such challenges. This review paper outlines the benefits and challenges of the EVSC procedure from different points of view. The role of EV aggregator in EVSC, charging methods and objectives, and required infrastructure for implementing EVSC are discussed. The study also deals with ancillary services provided by EVSC and EVs' load forecasting approaches. Moreover, the EVSC integrated energy systems, including homes, buildings, integrated energy systems, etc., are reviewed, followed by the smart green charging solutions to enhance the environmental benefit of EVs. The literature review shows the efficiency of EVSC in reducing charging costs by 30 %, grid operational costs by 10 %, and renewable curtailment by 40 %. The study gives key findings and recommendations which can be helpful for researchers and policymakers.</t>
  </si>
  <si>
    <t>10.1016/j.est.2022.104136</t>
  </si>
  <si>
    <t>In recent years, many countries have set specific goals to replace fossil fuel vehicles with the electric ones due to environmental concerns and issues related to energy supply security; it is predicted that using these vehicles will increase rapidly in the upcoming years. Therefore, in addition to home chargers, fast charging stations are needed to accelerate the charging speed and to save the costs of the consumed energy by the owner, thus lowering the disruptive effects of the home chargers on the power quality of the electricity grid. The price of the electric vehicle, independence, charging process and charging infrastructures are the main factors that have major effects on the progress and development of electricity. During the last few years, numerous concepts and topics such as energy management, infrastructure and the best charging plan with integrated energy and developed technologies are introduced for modeling charging stations. Therefore, the most important requirements in this field are improving the efficiency of charging stations in terms of charging speed, managing between charging and discharging, existence of renewable sources and Energy Storage System (ESS). Recognizing and studying these components and their development are the important parts of this research, which has not been studied before. In other words, this paper review the state-of-the-art aspects for different levels of designing a fast-charging station with complete coverage of the research work done related to the upcoming challenges. Considering the advantages and disadvantages of electric vehicles (EVs), some challenges in this concept and ideas for the future expansion of EVs charging station and its communications are introduced. Results from different surveys show that along with mutual communications and people's increasing desire for EVs, participation in planning will be beneficial for both the society and the government, which will result in the desired social welfare. Also, the presence of renewable resources due to technology development has become far more impressive. Finally, the various aspects of fast-charging stations along with an overview of probable areas for future study in this field are also presented.</t>
  </si>
  <si>
    <t>Literature review</t>
  </si>
  <si>
    <t>Yes</t>
  </si>
  <si>
    <t>No</t>
  </si>
  <si>
    <t>Games; Urban areas; Pricing; Charging stations; Vehicles; Employment; Standards; Electric vehicles; trilevel optimization; smart charging; coupled transportation-electrical systems</t>
  </si>
  <si>
    <t>CSO</t>
  </si>
  <si>
    <t>EV owner</t>
  </si>
  <si>
    <t>Maximize profit</t>
  </si>
  <si>
    <t>Minimize cost</t>
  </si>
  <si>
    <t>Full</t>
  </si>
  <si>
    <t>Power limit</t>
  </si>
  <si>
    <t>Linear</t>
  </si>
  <si>
    <t>Homogeneous</t>
  </si>
  <si>
    <t>Private</t>
  </si>
  <si>
    <t>4000 kW</t>
  </si>
  <si>
    <t>Centralized</t>
  </si>
  <si>
    <t>Power</t>
  </si>
  <si>
    <t>8 h</t>
  </si>
  <si>
    <t>1 h</t>
  </si>
  <si>
    <t>Parking</t>
  </si>
  <si>
    <t>Home</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</si>
  <si>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</si>
  <si>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</si>
  <si>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It considers a IEEE 33-bus medium-voltage distribution network.</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</si>
  <si>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</si>
  <si>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Body</t>
  </si>
  <si>
    <t>It does not consider bi-level programming</t>
  </si>
  <si>
    <t>Concepts</t>
  </si>
  <si>
    <t>Autonomous</t>
  </si>
  <si>
    <t>Hybrid</t>
  </si>
  <si>
    <t>Exclusion criteria</t>
  </si>
  <si>
    <t>Type of vehicles</t>
  </si>
  <si>
    <t>Journal articles</t>
  </si>
  <si>
    <t>English</t>
  </si>
  <si>
    <t>Selection criteria</t>
  </si>
  <si>
    <t>Bi-level or Tri-level model</t>
  </si>
  <si>
    <t>Programming</t>
  </si>
  <si>
    <t>Records found</t>
  </si>
  <si>
    <t>Single facility charging problem</t>
  </si>
  <si>
    <t>Multi-facility charging problem</t>
  </si>
  <si>
    <t>Distribution network problem</t>
  </si>
  <si>
    <t>Classified articles</t>
  </si>
  <si>
    <t>Google Scholar</t>
  </si>
  <si>
    <t>Compendex or Inspec</t>
  </si>
  <si>
    <t>Bi-level (Bilevel)</t>
  </si>
  <si>
    <t>Tri-level (Trilevel)</t>
  </si>
  <si>
    <t>Optimization (Optimisation)</t>
  </si>
  <si>
    <t>Placement/Design</t>
  </si>
  <si>
    <t>Placement</t>
  </si>
  <si>
    <t>It is not a coordination study</t>
  </si>
  <si>
    <t>Retracted</t>
  </si>
  <si>
    <t>@article{yu2015centralized,
  title={Centralized bi-level spatial-temporal coordination charging strategy for area electric vehicles},
  author={Yu, Lei and Zhao, Tianyang and Chen, Qifang and Zhang, Jianhua},
  journal={CSEE Journal of Power and Energy Systems},
  volume={1},
  number={4},
  pages={74--83},
  year={2015},
  publisher={CSEE}
}</t>
  </si>
  <si>
    <t>Bi-level optimization, centralized charging, elec- tric vehicles, spatial temporal coordination</t>
  </si>
  <si>
    <t>Minimize power loss</t>
  </si>
  <si>
    <t>Partial</t>
  </si>
  <si>
    <t>Charging spot, Charging post, Charging point, Charging outlet, Customer point of charge (CPOC), Charging socket, Charging hub, Charging machine, EV charger, Smart charger, Charging machine, EVSE port, Charger pilot</t>
  </si>
  <si>
    <t>One-day-ahead</t>
  </si>
  <si>
    <t>24 h</t>
  </si>
  <si>
    <t>Homogeneous (7.68 kW)</t>
  </si>
  <si>
    <t>Homogeneous ()</t>
  </si>
  <si>
    <t>Aggregator-assisted</t>
  </si>
  <si>
    <t>CS</t>
  </si>
  <si>
    <t>NHTS 2009</t>
  </si>
  <si>
    <t>It handles several AUs that handle several charging piles at the same time.</t>
  </si>
  <si>
    <t>This work proposes a bi-level programming model that considers a single leader and several follower given by the AUs. Under this schema, the leader, assumed to be the DSO, aims to minimize the power loss when satisfying the demand by setting the charging schedule on a day-ahead market. In this regard, the AUs, in the model's lower level, minimize the charging cost by following the charging schedule settled by the leader, such that power demand is satisfied.</t>
  </si>
  <si>
    <t>Although this study seems to be the very first addressing the problem using bi-level programming, it lacks of important details such as specifying the type of charging facilities they are working with. Besides, not considering a base power load might change the results since it also bounds the power limit along with the EVSE capacity.</t>
  </si>
  <si>
    <t>It is interesting, but computes the charging time and not how to distribute the power among vehicles</t>
  </si>
  <si>
    <t>Not well written</t>
  </si>
  <si>
    <t>E (completion)</t>
  </si>
  <si>
    <t>It is quite close to article 6 (same authors)</t>
  </si>
  <si>
    <t>Daily read goal</t>
  </si>
  <si>
    <t>It is quite close to article 6</t>
  </si>
  <si>
    <t>Tri-level</t>
  </si>
  <si>
    <t>Bi-level</t>
  </si>
  <si>
    <t>It does not consider bi-level programming. Moreover, it does not present any model</t>
  </si>
  <si>
    <t>It is interesting, but it does not consider bi-level programming.</t>
  </si>
  <si>
    <t>It 'coordinates' the charging/discharging of a BESS</t>
  </si>
  <si>
    <t>Design (# chargers)</t>
  </si>
  <si>
    <t>The called charging strategy is where to charge and not when to do it</t>
  </si>
  <si>
    <t>The coordination it handles is wrt AUs and not Evs</t>
  </si>
  <si>
    <t>Its strength is to handle real data</t>
  </si>
  <si>
    <t>It does not consider bi-level programming not it is a coordination study. Also, it follows the ideas of article 6</t>
  </si>
  <si>
    <t>It does not consider bi-level programming not it is a coordination study.</t>
  </si>
  <si>
    <t>It coordinates the charging but not at an EV level, just at the AU level</t>
  </si>
  <si>
    <t>It considers buses</t>
  </si>
  <si>
    <t>Coordination study</t>
  </si>
  <si>
    <t>Hierarchical optimization</t>
  </si>
  <si>
    <t>Deletion reason</t>
  </si>
  <si>
    <t>Type of articles*</t>
  </si>
  <si>
    <t>Design</t>
  </si>
  <si>
    <t>It presents a table with SoC equations</t>
  </si>
  <si>
    <t>It propose a new charging mode (business)</t>
  </si>
  <si>
    <t>We should recommend this in our article. It study different charging strategies and explains the consequences of using each one.</t>
  </si>
  <si>
    <t>It develops a pricing-based charging strategy</t>
  </si>
  <si>
    <t>It uses stochastic optimization</t>
  </si>
  <si>
    <t>It uses a Nash equilibrium based on charging anxiety</t>
  </si>
  <si>
    <t>Distribution operator (DO), Service operator (SO), Market operator, Distribution system, Centralized controller (CC), Electrical/Electricity Network Operator (ENO), Charging network operator (CNO), Distribution company (DISCO)</t>
  </si>
  <si>
    <t>It 'coordinates' the power flow based on vehicles' driving choices</t>
  </si>
  <si>
    <t>It is interesting the workflow in fig 4</t>
  </si>
  <si>
    <t>Useful for charging infrastructure and to support the tackle of placement and design problem</t>
  </si>
  <si>
    <t>It is not a coordination study, it aims to determine the price</t>
  </si>
  <si>
    <t>Useful for benefits of using Evs</t>
  </si>
  <si>
    <t>It is useful to support sizing problem</t>
  </si>
  <si>
    <t>It is a framework to supply power</t>
  </si>
  <si>
    <t>It focuses on dynamic charging infrastructure</t>
  </si>
  <si>
    <t>It is not a coordination study, it is close to article 6</t>
  </si>
  <si>
    <t>Although it handles coordination, it considers battery swapping</t>
  </si>
  <si>
    <t>It is quite close to article 6. It is interesting the classification of problems (path-flow …)</t>
  </si>
  <si>
    <t>It is not a coordination study. This is because it handles a freight transportation fleet</t>
  </si>
  <si>
    <t>It is not a coordination study. Also, it considers dynamic charging infrastructure</t>
  </si>
  <si>
    <t>It aims to forecast the charging behavior</t>
  </si>
  <si>
    <t>It is a routing problem</t>
  </si>
  <si>
    <t>It considers battery swapping</t>
  </si>
  <si>
    <t>Section 10 is the most interesting and useful for us</t>
  </si>
  <si>
    <t>Section 2 and 8 are useful</t>
  </si>
  <si>
    <t>PV</t>
  </si>
  <si>
    <t>@article{zhao2017real,
  title={Real-time optimal energy and reserve management of electric vehicle fast charging station: Hierarchical game approach},
  author={Zhao, Tianyang and Li, Yuanzheng and Pan, Xuewei and Wang, Peng and Zhang, Jianhua},
  journal={IEEE Transactions on Smart Grid},
  volume={9},
  number={5},
  pages={5357--5370},
  year={2017},
  publisher={IEEE}
}</t>
  </si>
  <si>
    <t>Fast charging station, regulation reserve, game theory, bi-level optimization</t>
  </si>
  <si>
    <t>Real-time</t>
  </si>
  <si>
    <t>5 min</t>
  </si>
  <si>
    <t>Decentralized</t>
  </si>
  <si>
    <t>Homogeneous (120 kW)</t>
  </si>
  <si>
    <t>It handles a single charging facility</t>
  </si>
  <si>
    <t>FIFO</t>
  </si>
  <si>
    <t>Station</t>
  </si>
  <si>
    <t>This work proposes a decentralized bi-level optimization model that handles different Evs that require a minimum amount of charge. However, the charging schedule (or plan as called in the article) does not change over time, i.e., once is constructed it holds until the SoC lies within a desired interval. The charging process considers a V2G flow such that each player maximize their profits with the use of a BESS and a PV power generation.</t>
  </si>
  <si>
    <t>Although this seems to be one of the first studies that use the idea of V2G, it turns out to be difficult for the reader to understand how the charging/discharging process works from the indexing of the variables, and the fact that the charging coordination is decided at the beginning and not throughout time. Besides, the idea of not considering arrival and departure time is far from a real scenario when a public charging station is being analyzed. Finally, not to consider the charging pile dispatching and only power flows may not provide accurate results in presence of short dwell times and low PV power generation.</t>
  </si>
  <si>
    <t>Energy management system, electric vehicle, electric vehicle charging station, tri-level game theory</t>
  </si>
  <si>
    <t>It uses a IEEE 9-bus system</t>
  </si>
  <si>
    <t>@article{shakerighadi2018hierarchical,
  title={A hierarchical game theoretical approach for energy management of electric vehicles and charging stations in smart grids},
  author={Shakerighadi, Bahram and Anvari-Moghaddam, Amjad and Ebrahimzadeh, Esmaeil and Blaabjerg, Frede and Bak, Claus Leth},
  journal={Ieee Access},
  volume={6},
  pages={67223--67234},
  year={2018},
  publisher={IEEE}
}</t>
  </si>
  <si>
    <t>Heterogeneous</t>
  </si>
  <si>
    <t>Constant</t>
  </si>
  <si>
    <t>This work proposes a decentralized tri-level model that aims to coordinate the charging considering bus voltage constraint on price-based incentives. To this end, the energy price is determined by the charging load ocurring at the charging station considering that EVs may select the CS where to charge. The model is solved via backward induction upon a bottom-up schema.</t>
  </si>
  <si>
    <t>A decentralized control allows the inclusion of several EVs' characteristics; however, none of them is taken into account. Not even the minimum requested charging. Besides, the charging schedule is fixed and does not change throughout time. Although this may not be a constraint if the model is solved at each time slot, there is no details about it.</t>
  </si>
  <si>
    <t>It is not well written</t>
  </si>
  <si>
    <t>This is interesting for challenges, but it is not the coordination study I am looking for</t>
  </si>
  <si>
    <t>@article{subramanian2019two,
  title={A two-layer model for dynamic pricing of electricity and optimal charging of electric vehicles under price spikes},
  author={Subramanian, Vignesh and Das, Tapas K},
  journal={Energy},
  volume={167},
  pages={1266--1277},
  year={2019},
  publisher={Elsevier}
}</t>
  </si>
  <si>
    <t>Dynamic pricing, electric vehicles, demand response, mathematical program with equilibrium constraints, robust optimization</t>
  </si>
  <si>
    <t>Bus</t>
  </si>
  <si>
    <t>Heterogenous</t>
  </si>
  <si>
    <t>Homogeneous (11.5 kW)</t>
  </si>
  <si>
    <t>It handles a 5-bus PJM network</t>
  </si>
  <si>
    <t>300 MW</t>
  </si>
  <si>
    <t>This paper formulates a workflow such that two models are solved. The first model represents the computation of energy price within a one-day-ahead market through two-stage stochastic program. The second model aims to minimize the charging cost while satisfying the minimum SoC.</t>
  </si>
  <si>
    <t>Although the network topology is considered for experimentation, the modelling does not exploid its properties. Besides, although it takes into account the arrival and departure of vehicles, the fact of driving from an origin and destination pair is not studied.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</si>
</sst>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name val="Arial"/>
      <family val="2"/>
    </font>
    <font>
      <sz val="10"/>
      <color theme="1"/>
      <name val="Arial"/>
      <family val="2"/>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9" fontId="19" fillId="0" borderId="0" applyFont="0" applyFill="0" applyBorder="0" applyAlignment="0" applyProtection="0"/>
  </cellStyleXfs>
  <cellXfs count="46">
    <xf numFmtId="0" fontId="0" fillId="0" borderId="0" xfId="0"/>
    <xf numFmtId="0" fontId="0" fillId="0" borderId="0" xfId="0" applyAlignment="1">
      <alignment wrapText="1"/>
    </xf>
    <xf numFmtId="0" fontId="1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10" fontId="20" fillId="0" borderId="10" xfId="44" applyNumberFormat="1" applyFont="1" applyBorder="1" applyAlignment="1">
      <alignment horizontal="center"/>
    </xf>
    <xf numFmtId="14" fontId="0" fillId="0" borderId="0" xfId="0" applyNumberFormat="1"/>
    <xf numFmtId="14" fontId="0" fillId="0" borderId="0" xfId="0" applyNumberFormat="1" applyAlignment="1">
      <alignment horizontal="left" vertical="top" wrapText="1"/>
    </xf>
    <xf numFmtId="0" fontId="0" fillId="0" borderId="0" xfId="0" applyAlignment="1">
      <alignment horizontal="left" wrapText="1"/>
    </xf>
    <xf numFmtId="0" fontId="18" fillId="0" borderId="0" xfId="0" applyFont="1" applyAlignment="1">
      <alignment horizontal="left"/>
    </xf>
    <xf numFmtId="0" fontId="18" fillId="0" borderId="0" xfId="0" applyFont="1" applyAlignment="1">
      <alignment horizontal="left" wrapText="1"/>
    </xf>
    <xf numFmtId="3" fontId="0" fillId="0" borderId="0" xfId="42" applyNumberFormat="1" applyFont="1" applyAlignment="1">
      <alignment horizontal="right" vertical="top" wrapText="1"/>
    </xf>
    <xf numFmtId="0" fontId="0" fillId="0" borderId="0" xfId="0" applyAlignment="1">
      <alignment horizontal="right" vertical="top" wrapText="1"/>
    </xf>
    <xf numFmtId="10" fontId="19" fillId="0" borderId="10" xfId="42" applyNumberFormat="1" applyFont="1" applyBorder="1" applyAlignment="1">
      <alignment horizontal="center"/>
    </xf>
    <xf numFmtId="0" fontId="0" fillId="0" borderId="0" xfId="0" applyAlignment="1">
      <alignment horizontal="left" vertical="top"/>
    </xf>
    <xf numFmtId="15" fontId="0" fillId="0" borderId="0" xfId="0" applyNumberFormat="1"/>
    <xf numFmtId="17" fontId="0" fillId="0" borderId="0" xfId="0" applyNumberFormat="1"/>
    <xf numFmtId="3" fontId="0" fillId="0" borderId="0" xfId="0" applyNumberFormat="1" applyAlignment="1">
      <alignment horizontal="left" vertical="top" wrapText="1"/>
    </xf>
    <xf numFmtId="0" fontId="0" fillId="33" borderId="0" xfId="0" applyFill="1"/>
    <xf numFmtId="0" fontId="0" fillId="33" borderId="0" xfId="0" applyFill="1" applyAlignment="1">
      <alignment horizontal="center"/>
    </xf>
    <xf numFmtId="0" fontId="0" fillId="33" borderId="15" xfId="0" applyFill="1" applyBorder="1" applyAlignment="1">
      <alignment horizontal="center"/>
    </xf>
    <xf numFmtId="0" fontId="0" fillId="33" borderId="15" xfId="0" applyFill="1" applyBorder="1"/>
    <xf numFmtId="0" fontId="0" fillId="33" borderId="12" xfId="0" applyFill="1" applyBorder="1"/>
    <xf numFmtId="3" fontId="0" fillId="33" borderId="12" xfId="0" applyNumberFormat="1" applyFill="1" applyBorder="1"/>
    <xf numFmtId="3" fontId="0" fillId="33" borderId="0" xfId="0" applyNumberFormat="1" applyFill="1"/>
    <xf numFmtId="0" fontId="0" fillId="33" borderId="14" xfId="0" applyFill="1" applyBorder="1"/>
    <xf numFmtId="3" fontId="0" fillId="33" borderId="14" xfId="0" applyNumberFormat="1" applyFill="1" applyBorder="1"/>
    <xf numFmtId="3" fontId="0" fillId="33" borderId="15" xfId="0" applyNumberFormat="1" applyFill="1" applyBorder="1"/>
    <xf numFmtId="0" fontId="19" fillId="0" borderId="0" xfId="43"/>
    <xf numFmtId="0" fontId="21" fillId="0" borderId="0" xfId="0" applyFont="1"/>
    <xf numFmtId="0" fontId="19" fillId="0" borderId="10" xfId="43" applyBorder="1" applyAlignment="1">
      <alignment horizontal="center"/>
    </xf>
    <xf numFmtId="0" fontId="19" fillId="0" borderId="0" xfId="43" applyAlignment="1">
      <alignment horizontal="center"/>
    </xf>
    <xf numFmtId="14" fontId="19" fillId="0" borderId="10" xfId="43" applyNumberFormat="1" applyBorder="1" applyAlignment="1">
      <alignment horizontal="center"/>
    </xf>
    <xf numFmtId="14" fontId="19" fillId="0" borderId="0" xfId="43" applyNumberFormat="1" applyAlignment="1">
      <alignment horizontal="center"/>
    </xf>
    <xf numFmtId="14" fontId="19" fillId="0" borderId="0" xfId="43" applyNumberFormat="1"/>
    <xf numFmtId="0" fontId="20" fillId="0" borderId="10" xfId="0" applyFont="1" applyBorder="1" applyAlignment="1">
      <alignment horizontal="center"/>
    </xf>
    <xf numFmtId="0" fontId="20" fillId="0" borderId="10" xfId="0" applyFont="1" applyBorder="1"/>
    <xf numFmtId="0" fontId="19" fillId="0" borderId="10" xfId="43" applyBorder="1" applyAlignment="1">
      <alignment horizontal="center"/>
    </xf>
    <xf numFmtId="0" fontId="19" fillId="0" borderId="11" xfId="43" applyBorder="1" applyAlignment="1">
      <alignment horizontal="center"/>
    </xf>
    <xf numFmtId="0" fontId="19" fillId="0" borderId="12" xfId="43" applyBorder="1" applyAlignment="1">
      <alignment horizontal="center"/>
    </xf>
    <xf numFmtId="0" fontId="19" fillId="0" borderId="13" xfId="43" applyBorder="1" applyAlignment="1">
      <alignment horizontal="center"/>
    </xf>
    <xf numFmtId="0" fontId="0" fillId="33" borderId="0" xfId="0" applyFill="1" applyAlignment="1">
      <alignment horizontal="left" vertical="center"/>
    </xf>
    <xf numFmtId="0" fontId="0" fillId="33" borderId="14" xfId="0" applyFill="1" applyBorder="1" applyAlignment="1">
      <alignment horizontal="left" vertical="center"/>
    </xf>
    <xf numFmtId="0" fontId="0" fillId="33" borderId="12" xfId="0" applyFill="1" applyBorder="1" applyAlignment="1">
      <alignment horizontal="center"/>
    </xf>
    <xf numFmtId="0" fontId="0" fillId="33" borderId="15" xfId="0" applyFill="1" applyBorder="1" applyAlignment="1">
      <alignment horizontal="lef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4ABCA006-54C5-BA40-8224-5ECF062D804E}"/>
    <cellStyle name="Note" xfId="15" builtinId="10" customBuiltin="1"/>
    <cellStyle name="Output" xfId="10" builtinId="21" customBuiltin="1"/>
    <cellStyle name="Percent" xfId="42" builtinId="5"/>
    <cellStyle name="Percent 2" xfId="44" xr:uid="{50E14C48-3700-D644-9545-E1C2ED218F46}"/>
    <cellStyle name="Title" xfId="1" builtinId="15" customBuiltin="1"/>
    <cellStyle name="Total" xfId="17" builtinId="25" customBuiltin="1"/>
    <cellStyle name="Warning Text" xfId="14" builtinId="11" customBuiltin="1"/>
  </cellStyles>
  <dxfs count="4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US"/>
              <a:t>Published articles per problem and database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0"/>
          <c:order val="0"/>
          <c:tx>
            <c:strRef>
              <c:f>WorkFlow!$H$3</c:f>
              <c:strCache>
                <c:ptCount val="1"/>
                <c:pt idx="0">
                  <c:v>Google Scholar</c:v>
                </c:pt>
              </c:strCache>
            </c:strRef>
          </c:tx>
          <c:spPr>
            <a:solidFill>
              <a:schemeClr val="accent1"/>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WorkFlow!$H$12:$H$14</c:f>
              <c:numCache>
                <c:formatCode>General</c:formatCode>
                <c:ptCount val="3"/>
                <c:pt idx="0">
                  <c:v>0</c:v>
                </c:pt>
                <c:pt idx="1">
                  <c:v>1</c:v>
                </c:pt>
                <c:pt idx="2">
                  <c:v>1</c:v>
                </c:pt>
              </c:numCache>
            </c:numRef>
          </c:val>
          <c:extLst>
            <c:ext xmlns:c16="http://schemas.microsoft.com/office/drawing/2014/chart" uri="{C3380CC4-5D6E-409C-BE32-E72D297353CC}">
              <c16:uniqueId val="{00000000-D8AC-3444-B217-EB993E8D8FC8}"/>
            </c:ext>
          </c:extLst>
        </c:ser>
        <c:ser>
          <c:idx val="1"/>
          <c:order val="1"/>
          <c:tx>
            <c:strRef>
              <c:f>WorkFlow!$I$3</c:f>
              <c:strCache>
                <c:ptCount val="1"/>
                <c:pt idx="0">
                  <c:v>WoS</c:v>
                </c:pt>
              </c:strCache>
            </c:strRef>
          </c:tx>
          <c:spPr>
            <a:solidFill>
              <a:schemeClr val="accent2"/>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WorkFlow!$I$12:$I$14</c:f>
              <c:numCache>
                <c:formatCode>General</c:formatCode>
                <c:ptCount val="3"/>
                <c:pt idx="0">
                  <c:v>1</c:v>
                </c:pt>
                <c:pt idx="1">
                  <c:v>0</c:v>
                </c:pt>
                <c:pt idx="2">
                  <c:v>1</c:v>
                </c:pt>
              </c:numCache>
            </c:numRef>
          </c:val>
          <c:extLst>
            <c:ext xmlns:c16="http://schemas.microsoft.com/office/drawing/2014/chart" uri="{C3380CC4-5D6E-409C-BE32-E72D297353CC}">
              <c16:uniqueId val="{00000001-D8AC-3444-B217-EB993E8D8FC8}"/>
            </c:ext>
          </c:extLst>
        </c:ser>
        <c:ser>
          <c:idx val="2"/>
          <c:order val="2"/>
          <c:tx>
            <c:strRef>
              <c:f>WorkFlow!$J$3</c:f>
              <c:strCache>
                <c:ptCount val="1"/>
                <c:pt idx="0">
                  <c:v>Scopus</c:v>
                </c:pt>
              </c:strCache>
            </c:strRef>
          </c:tx>
          <c:spPr>
            <a:solidFill>
              <a:schemeClr val="accent3"/>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WorkFlow!$J$12:$J$14</c:f>
              <c:numCache>
                <c:formatCode>General</c:formatCode>
                <c:ptCount val="3"/>
                <c:pt idx="0">
                  <c:v>0</c:v>
                </c:pt>
                <c:pt idx="1">
                  <c:v>0</c:v>
                </c:pt>
                <c:pt idx="2">
                  <c:v>1</c:v>
                </c:pt>
              </c:numCache>
            </c:numRef>
          </c:val>
          <c:extLst>
            <c:ext xmlns:c16="http://schemas.microsoft.com/office/drawing/2014/chart" uri="{C3380CC4-5D6E-409C-BE32-E72D297353CC}">
              <c16:uniqueId val="{00000002-D8AC-3444-B217-EB993E8D8FC8}"/>
            </c:ext>
          </c:extLst>
        </c:ser>
        <c:ser>
          <c:idx val="3"/>
          <c:order val="3"/>
          <c:tx>
            <c:strRef>
              <c:f>WorkFlow!$K$3</c:f>
              <c:strCache>
                <c:ptCount val="1"/>
                <c:pt idx="0">
                  <c:v>Compendex or Inspec</c:v>
                </c:pt>
              </c:strCache>
            </c:strRef>
          </c:tx>
          <c:spPr>
            <a:solidFill>
              <a:schemeClr val="accent4"/>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WorkFlow!$K$12:$K$14</c:f>
              <c:numCache>
                <c:formatCode>General</c:formatCode>
                <c:ptCount val="3"/>
                <c:pt idx="0">
                  <c:v>0</c:v>
                </c:pt>
                <c:pt idx="1">
                  <c:v>0</c:v>
                </c:pt>
                <c:pt idx="2">
                  <c:v>0</c:v>
                </c:pt>
              </c:numCache>
            </c:numRef>
          </c:val>
          <c:extLst>
            <c:ext xmlns:c16="http://schemas.microsoft.com/office/drawing/2014/chart" uri="{C3380CC4-5D6E-409C-BE32-E72D297353CC}">
              <c16:uniqueId val="{00000003-D8AC-3444-B217-EB993E8D8FC8}"/>
            </c:ext>
          </c:extLst>
        </c:ser>
        <c:dLbls>
          <c:showLegendKey val="0"/>
          <c:showVal val="0"/>
          <c:showCatName val="0"/>
          <c:showSerName val="0"/>
          <c:showPercent val="0"/>
          <c:showBubbleSize val="0"/>
        </c:dLbls>
        <c:gapWidth val="150"/>
        <c:overlap val="100"/>
        <c:axId val="242063536"/>
        <c:axId val="242065216"/>
      </c:barChart>
      <c:catAx>
        <c:axId val="24206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2065216"/>
        <c:crosses val="autoZero"/>
        <c:auto val="1"/>
        <c:lblAlgn val="ctr"/>
        <c:lblOffset val="100"/>
        <c:noMultiLvlLbl val="0"/>
      </c:catAx>
      <c:valAx>
        <c:axId val="242065216"/>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206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64244</xdr:colOff>
      <xdr:row>15</xdr:row>
      <xdr:rowOff>202249</xdr:rowOff>
    </xdr:from>
    <xdr:to>
      <xdr:col>5</xdr:col>
      <xdr:colOff>933737</xdr:colOff>
      <xdr:row>34</xdr:row>
      <xdr:rowOff>25951</xdr:rowOff>
    </xdr:to>
    <xdr:graphicFrame macro="">
      <xdr:nvGraphicFramePr>
        <xdr:cNvPr id="2" name="Chart 1">
          <a:extLst>
            <a:ext uri="{FF2B5EF4-FFF2-40B4-BE49-F238E27FC236}">
              <a16:creationId xmlns:a16="http://schemas.microsoft.com/office/drawing/2014/main" id="{AE1D5015-A5CB-95F1-2197-85F6CDD3B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is Rojo González" id="{9809D69B-D81D-2B46-81F7-44D94B076B00}" userId="S::luis.rojo.g@usach.cl::e73de8d6-e603-4639-a158-e25de61b2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2-21T15:59:16.46" personId="{9809D69B-D81D-2B46-81F7-44D94B076B00}" id="{5C9B66DC-A084-EA40-9D0D-F12CD7BC3F18}">
    <text>Bi-level or Tri-level</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2-12-17T23:31:01.47" personId="{9809D69B-D81D-2B46-81F7-44D94B076B00}" id="{FE7DA266-AB3A-8349-B93F-9EFB1295B463}">
    <text>Whether they handle the design of charging facilities</text>
  </threadedComment>
  <threadedComment ref="U1" dT="2022-09-15T18:03:44.84" personId="{9809D69B-D81D-2B46-81F7-44D94B076B00}" id="{2A71CAF8-43A4-2C44-A6CD-1A2B2211FA7C}">
    <text>Full or Partial</text>
  </threadedComment>
  <threadedComment ref="Y1" dT="2022-09-15T18:04:02.98" personId="{9809D69B-D81D-2B46-81F7-44D94B076B00}" id="{6F48C977-2914-AF4A-810B-15CD5B4B420A}">
    <text>Linear or Nonlinear</text>
  </threadedComment>
  <threadedComment ref="Z1" dT="2022-09-15T18:04:25.53" personId="{9809D69B-D81D-2B46-81F7-44D94B076B00}" id="{C99DF3AF-B081-4442-9645-5C097978A752}">
    <text>Homogeneous or Heterogeneous</text>
  </threadedComment>
  <threadedComment ref="AA1" dT="2022-07-23T20:14:54.96" personId="{9809D69B-D81D-2B46-81F7-44D94B076B00}" id="{916B3C1C-4214-4442-819B-7E36A3CC4811}">
    <text>Number of EVs</text>
  </threadedComment>
  <threadedComment ref="AB1" dT="2022-09-15T18:05:47.23" personId="{9809D69B-D81D-2B46-81F7-44D94B076B00}" id="{4B5B5414-9736-B24E-9CA1-17CF3F383AF4}">
    <text>Private, logistic or transportation</text>
  </threadedComment>
  <threadedComment ref="AC1" dT="2022-09-15T18:48:27.71" personId="{9809D69B-D81D-2B46-81F7-44D94B076B00}" id="{E78FA254-9617-3A44-B9F1-F51E95A99119}">
    <text>Homogeneous or Heterogeneous (this is the charging pile)</text>
  </threadedComment>
  <threadedComment ref="AE1" dT="2022-09-15T19:03:09.09" personId="{9809D69B-D81D-2B46-81F7-44D94B076B00}" id="{8D018A93-79B3-5C4E-BFD4-BDAAFECD31C6}">
    <text>Renewable energy sources</text>
  </threadedComment>
  <threadedComment ref="AF1" dT="2022-09-15T19:16:35.97" personId="{9809D69B-D81D-2B46-81F7-44D94B076B00}" id="{EAA2FECB-250D-EF47-A4F4-0CC84FA2FFCA}">
    <text>Centralized, Decentralized or Aggregator-assisted</text>
  </threadedComment>
  <threadedComment ref="AH1" dT="2022-06-07T14:43:48.56" personId="{9809D69B-D81D-2B46-81F7-44D94B076B00}" id="{E7431414-F00F-FE40-B809-AFE49C3E07F1}">
    <text>It refers to how energy is bought. Can be either one-day-ahead, intra-day</text>
  </threadedComment>
  <threadedComment ref="AI1" dT="2022-12-16T21:43:01.05" personId="{9809D69B-D81D-2B46-81F7-44D94B076B00}" id="{4225326F-0146-2A4C-85D6-8D74584CC1AF}">
    <text>TCC, PCC</text>
  </threadedComment>
  <threadedComment ref="AJ1" dT="2022-07-19T16:02:26.74" personId="{9809D69B-D81D-2B46-81F7-44D94B076B00}" id="{8EDE8A1C-B627-DC47-A65E-EB7CFCFFD25F}">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FA3C56C8-4F2C-3541-A7D2-33962BEB4B76}">
    <text>EVSE or Power</text>
  </threadedComment>
  <threadedComment ref="AU1" dT="2022-12-16T21:39:37.61" personId="{9809D69B-D81D-2B46-81F7-44D94B076B00}" id="{BB5CA701-04EE-8C46-8CC7-316610DF4A95}">
    <text>Station, Parking</text>
  </threadedComment>
  <threadedComment ref="AV1" dT="2022-12-19T16:20:36.98" personId="{9809D69B-D81D-2B46-81F7-44D94B076B00}" id="{E384A8E7-8603-634D-A01F-927D4A609E53}">
    <text>Parking</text>
  </threadedComment>
  <threadedComment ref="AW1" dT="2022-12-19T16:20:46.69" personId="{9809D69B-D81D-2B46-81F7-44D94B076B00}" id="{4B06012C-67C7-2D4A-AD78-5562589D1783}">
    <text>Home,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2-12-17T23:31:01.47" personId="{9809D69B-D81D-2B46-81F7-44D94B076B00}" id="{84186AF0-2AC4-2E4F-B7C6-A2E8E72C6D71}">
    <text>Whether they handle the design of charging facilities</text>
  </threadedComment>
  <threadedComment ref="U1" dT="2022-09-15T18:03:44.84" personId="{9809D69B-D81D-2B46-81F7-44D94B076B00}" id="{454CBBDA-180A-E442-A561-BF0E7B32D169}">
    <text>Full or Partial</text>
  </threadedComment>
  <threadedComment ref="Y1" dT="2022-09-15T18:04:02.98" personId="{9809D69B-D81D-2B46-81F7-44D94B076B00}" id="{69235D67-C89C-5D44-ACBC-DF9F1C25B8F3}">
    <text>Linear or Nonlinear</text>
  </threadedComment>
  <threadedComment ref="Z1" dT="2022-09-15T18:04:25.53" personId="{9809D69B-D81D-2B46-81F7-44D94B076B00}" id="{172307A8-2091-E24B-8B67-F72BFC070594}">
    <text>Homogeneous or Heterogeneous</text>
  </threadedComment>
  <threadedComment ref="AA1" dT="2022-07-23T20:14:54.96" personId="{9809D69B-D81D-2B46-81F7-44D94B076B00}" id="{03CA9BFA-FBDC-1A4B-8275-83434A437FA0}">
    <text>Number of EVs</text>
  </threadedComment>
  <threadedComment ref="AB1" dT="2022-09-15T18:05:47.23" personId="{9809D69B-D81D-2B46-81F7-44D94B076B00}" id="{FCBBFAF9-BCC3-EC49-87C0-03D07CFC80BD}">
    <text>Private, logistic or transportation</text>
  </threadedComment>
  <threadedComment ref="AC1" dT="2022-09-15T18:48:27.71" personId="{9809D69B-D81D-2B46-81F7-44D94B076B00}" id="{6516372B-E32F-8A40-86A9-14A3DD0B1648}">
    <text>Homogeneous or Heterogeneous (this is the charging pile)</text>
  </threadedComment>
  <threadedComment ref="AE1" dT="2022-09-15T19:03:09.09" personId="{9809D69B-D81D-2B46-81F7-44D94B076B00}" id="{76D821DD-38FD-5F4A-ADE7-1B65ED5B58E7}">
    <text>Renewable energy sources</text>
  </threadedComment>
  <threadedComment ref="AF1" dT="2022-09-15T19:16:35.97" personId="{9809D69B-D81D-2B46-81F7-44D94B076B00}" id="{02FC83B9-1B8C-5F41-A5AF-1548CE35FA8C}">
    <text>Centralized, Decentralized or Aggregator-assisted</text>
  </threadedComment>
  <threadedComment ref="AH1" dT="2022-06-07T14:43:48.56" personId="{9809D69B-D81D-2B46-81F7-44D94B076B00}" id="{25FDDE67-95BE-4C4E-9754-D2C0FCFDC344}">
    <text>It refers to how energy is bought. Can be either one-day-ahead, intra-day</text>
  </threadedComment>
  <threadedComment ref="AI1" dT="2022-12-16T21:43:01.05" personId="{9809D69B-D81D-2B46-81F7-44D94B076B00}" id="{DE22572C-B00B-A744-A8D5-4AE25CE1D1A7}">
    <text>TCC, PCC</text>
  </threadedComment>
  <threadedComment ref="AJ1" dT="2022-07-19T16:02:26.74" personId="{9809D69B-D81D-2B46-81F7-44D94B076B00}" id="{F515E987-2653-A54C-AA8A-F26552D3E3B9}">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3D35DA33-9FC7-0946-BF6C-A7E867B7D6DB}">
    <text>EVSE or Power</text>
  </threadedComment>
  <threadedComment ref="AU1" dT="2022-12-16T21:39:37.61" personId="{9809D69B-D81D-2B46-81F7-44D94B076B00}" id="{3AC4122C-DE23-274F-A1E2-774DB4037B44}">
    <text>Station, Parking</text>
  </threadedComment>
  <threadedComment ref="AV1" dT="2022-12-19T16:20:36.98" personId="{9809D69B-D81D-2B46-81F7-44D94B076B00}" id="{88D8A2A8-9010-BA4B-A4C2-23B45037BE3B}">
    <text>Parking</text>
  </threadedComment>
  <threadedComment ref="AW1" dT="2022-12-19T16:20:46.69" personId="{9809D69B-D81D-2B46-81F7-44D94B076B00}" id="{9F4FC70B-381E-2445-8BE6-E86E6FD6E97E}">
    <text>Home,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12-17T23:31:01.47" personId="{9809D69B-D81D-2B46-81F7-44D94B076B00}" id="{E8376D4E-B0E5-AE4A-A21C-8984F994671B}">
    <text>Whether they handle the design of charging facilities</text>
  </threadedComment>
  <threadedComment ref="U1" dT="2022-09-15T18:03:44.84" personId="{9809D69B-D81D-2B46-81F7-44D94B076B00}" id="{DA9F2890-84F3-314E-AE90-C927B7781A02}">
    <text>Full or Partial</text>
  </threadedComment>
  <threadedComment ref="Y1" dT="2022-09-15T18:04:02.98" personId="{9809D69B-D81D-2B46-81F7-44D94B076B00}" id="{0872E4F6-C66D-D34B-AA27-7AD4C6ED4348}">
    <text>Linear or Nonlinear</text>
  </threadedComment>
  <threadedComment ref="Z1" dT="2022-09-15T18:04:25.53" personId="{9809D69B-D81D-2B46-81F7-44D94B076B00}" id="{8173354D-7929-6A40-9851-4F21AEEFF2D0}">
    <text>Homogeneous or Heterogeneous</text>
  </threadedComment>
  <threadedComment ref="AA1" dT="2022-07-23T20:14:54.96" personId="{9809D69B-D81D-2B46-81F7-44D94B076B00}" id="{7E95135D-F8EB-6344-BFB3-BE7653A9D232}">
    <text>Number of EVs</text>
  </threadedComment>
  <threadedComment ref="AB1" dT="2022-09-15T18:05:47.23" personId="{9809D69B-D81D-2B46-81F7-44D94B076B00}" id="{2F529146-E08D-BC45-B4CB-40AA28259BA5}">
    <text>Private, logistic or transportation</text>
  </threadedComment>
  <threadedComment ref="AC1" dT="2022-09-15T18:48:27.71" personId="{9809D69B-D81D-2B46-81F7-44D94B076B00}" id="{18E6514D-D499-9240-95A9-B46585154A74}">
    <text>Homogeneous or Heterogeneous (this is the charging pile)</text>
  </threadedComment>
  <threadedComment ref="AE1" dT="2022-09-15T19:03:09.09" personId="{9809D69B-D81D-2B46-81F7-44D94B076B00}" id="{8E60E95C-7125-0045-84E3-6D90E649E58F}">
    <text>Renewable energy sources</text>
  </threadedComment>
  <threadedComment ref="AF1" dT="2022-09-15T19:16:35.97" personId="{9809D69B-D81D-2B46-81F7-44D94B076B00}" id="{7455E39F-4B31-E647-9091-EECE8362A344}">
    <text>Centralized, Decentralized or Aggregator-assisted</text>
  </threadedComment>
  <threadedComment ref="AH1" dT="2022-06-07T14:43:48.56" personId="{9809D69B-D81D-2B46-81F7-44D94B076B00}" id="{323F6741-F84D-D44E-9600-D7409DD00CBE}">
    <text>It refers to how energy is bought. Can be either one-day-ahead, intra-day</text>
  </threadedComment>
  <threadedComment ref="AI1" dT="2022-12-16T21:43:01.05" personId="{9809D69B-D81D-2B46-81F7-44D94B076B00}" id="{E5AEC698-668E-E84A-82D2-69719EBE527C}">
    <text>TCC, PCC</text>
  </threadedComment>
  <threadedComment ref="AJ1" dT="2022-07-19T16:02:26.74" personId="{9809D69B-D81D-2B46-81F7-44D94B076B00}" id="{264D743B-BBB6-1348-A2A2-52AAA08B43BA}">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DE0D6D61-AC01-0D4D-A0C0-97C9097B6382}">
    <text>EVSE or Power</text>
  </threadedComment>
  <threadedComment ref="AU1" dT="2022-12-16T21:39:37.61" personId="{9809D69B-D81D-2B46-81F7-44D94B076B00}" id="{AC56668E-C1ED-3B49-9E4B-F337DC6033A6}">
    <text>Station, Parking</text>
  </threadedComment>
  <threadedComment ref="AV1" dT="2022-12-19T16:20:36.98" personId="{9809D69B-D81D-2B46-81F7-44D94B076B00}" id="{4CF83453-782F-DB4A-B648-7BD36F6FBED8}">
    <text>Parking</text>
  </threadedComment>
  <threadedComment ref="AW1" dT="2022-12-19T16:20:46.69" personId="{9809D69B-D81D-2B46-81F7-44D94B076B00}" id="{0477CEEF-C007-584B-9237-E1FF7EE34E55}">
    <text>Home, Parking</text>
  </threadedComment>
</ThreadedComments>
</file>

<file path=xl/threadedComments/threadedComment5.xml><?xml version="1.0" encoding="utf-8"?>
<ThreadedComments xmlns="http://schemas.microsoft.com/office/spreadsheetml/2018/threadedcomments" xmlns:x="http://schemas.openxmlformats.org/spreadsheetml/2006/main">
  <threadedComment ref="K1" dT="2022-12-17T23:31:01.47" personId="{9809D69B-D81D-2B46-81F7-44D94B076B00}" id="{2FA04038-811E-174E-87EA-8BAE7BE14073}">
    <text>Whether they handle the design of charging facilities</text>
  </threadedComment>
  <threadedComment ref="U1" dT="2022-09-15T18:03:44.84" personId="{9809D69B-D81D-2B46-81F7-44D94B076B00}" id="{8FB575E1-B383-1245-B618-5664B51FC2C1}">
    <text>Full or Partial</text>
  </threadedComment>
  <threadedComment ref="Y1" dT="2022-09-15T18:04:02.98" personId="{9809D69B-D81D-2B46-81F7-44D94B076B00}" id="{4FAFD6FA-B050-6046-B9CB-18D1BF0457D9}">
    <text>Linear or Nonlinear</text>
  </threadedComment>
  <threadedComment ref="Z1" dT="2022-09-15T18:04:25.53" personId="{9809D69B-D81D-2B46-81F7-44D94B076B00}" id="{3A73B33F-68FC-C449-AF01-DE7D6C6F8CC4}">
    <text>Homogeneous or Heterogeneous</text>
  </threadedComment>
  <threadedComment ref="AA1" dT="2022-07-23T20:14:54.96" personId="{9809D69B-D81D-2B46-81F7-44D94B076B00}" id="{F90D5230-8740-FD45-94E1-AFB8DD263516}">
    <text>Number of EVs</text>
  </threadedComment>
  <threadedComment ref="AB1" dT="2022-09-15T18:05:47.23" personId="{9809D69B-D81D-2B46-81F7-44D94B076B00}" id="{6015DFF4-E078-E34F-BD20-6AE32E2E5AAC}">
    <text>Private, logistic or transportation</text>
  </threadedComment>
  <threadedComment ref="AC1" dT="2022-09-15T18:48:27.71" personId="{9809D69B-D81D-2B46-81F7-44D94B076B00}" id="{47495CB6-FEA1-754A-B43D-778431FD8E36}">
    <text>Homogeneous or Heterogeneous (this is the charging pile)</text>
  </threadedComment>
  <threadedComment ref="AE1" dT="2022-09-15T19:03:09.09" personId="{9809D69B-D81D-2B46-81F7-44D94B076B00}" id="{1A2B0595-74B3-7047-8A6B-BD8A6DA6B213}">
    <text>Renewable energy sources</text>
  </threadedComment>
  <threadedComment ref="AF1" dT="2022-09-15T19:16:35.97" personId="{9809D69B-D81D-2B46-81F7-44D94B076B00}" id="{1DB1114C-0663-6047-9E35-6046FA9036DE}">
    <text>Centralized, Decentralized or Aggregator-assisted</text>
  </threadedComment>
  <threadedComment ref="AH1" dT="2022-06-07T14:43:48.56" personId="{9809D69B-D81D-2B46-81F7-44D94B076B00}" id="{7ED4C9A9-B597-B048-84D1-D426F2A5A72F}">
    <text>It refers to how energy is bought. Can be either one-day-ahead, intra-day</text>
  </threadedComment>
  <threadedComment ref="AI1" dT="2022-12-16T21:43:01.05" personId="{9809D69B-D81D-2B46-81F7-44D94B076B00}" id="{453CF51A-94F9-264C-B621-FBA688D973D6}">
    <text>TCC, PCC</text>
  </threadedComment>
  <threadedComment ref="AJ1" dT="2022-07-19T16:02:26.74" personId="{9809D69B-D81D-2B46-81F7-44D94B076B00}" id="{DE9DCCC8-38CA-984B-BB4C-442816BF40D4}">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24ED855D-8092-B04C-9C17-5A95F13FFAB6}">
    <text>EVSE or Power</text>
  </threadedComment>
  <threadedComment ref="AU1" dT="2022-12-16T21:39:37.61" personId="{9809D69B-D81D-2B46-81F7-44D94B076B00}" id="{A2932C5C-7CB3-F34F-84B7-6F844216F6F7}">
    <text>Station, Parking</text>
  </threadedComment>
  <threadedComment ref="AV1" dT="2022-12-19T16:20:36.98" personId="{9809D69B-D81D-2B46-81F7-44D94B076B00}" id="{4081080E-B0C8-B849-B6DA-25ACD886D260}">
    <text>Parking</text>
  </threadedComment>
  <threadedComment ref="AW1" dT="2022-12-19T16:20:46.69" personId="{9809D69B-D81D-2B46-81F7-44D94B076B00}" id="{A96806C7-F5C9-3A4A-ADEB-E99DCEDD9E9C}">
    <text>Home, Parking</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84C4-D214-284B-90BC-6A2481F38F31}">
  <dimension ref="A1:Q127"/>
  <sheetViews>
    <sheetView tabSelected="1" topLeftCell="A11" zoomScale="139" workbookViewId="0">
      <selection activeCell="H28" sqref="H28"/>
    </sheetView>
  </sheetViews>
  <sheetFormatPr baseColWidth="10" defaultRowHeight="16" x14ac:dyDescent="0.2"/>
  <cols>
    <col min="1" max="1" width="5.33203125" bestFit="1" customWidth="1"/>
    <col min="2" max="2" width="11" bestFit="1" customWidth="1"/>
    <col min="3" max="3" width="13.33203125" bestFit="1" customWidth="1"/>
    <col min="4" max="4" width="14" bestFit="1" customWidth="1"/>
    <col min="5" max="5" width="18.83203125" bestFit="1" customWidth="1"/>
    <col min="6" max="6" width="36.5" customWidth="1"/>
    <col min="7" max="7" width="16.6640625" bestFit="1" customWidth="1"/>
    <col min="8" max="8" width="12.83203125" customWidth="1"/>
    <col min="9" max="9" width="12" customWidth="1"/>
    <col min="10" max="10" width="11" customWidth="1"/>
    <col min="11" max="11" width="9.1640625" customWidth="1"/>
    <col min="14" max="14" width="10.83203125" customWidth="1"/>
  </cols>
  <sheetData>
    <row r="1" spans="1:14" x14ac:dyDescent="0.2">
      <c r="A1" t="s">
        <v>30</v>
      </c>
      <c r="B1" t="s">
        <v>252</v>
      </c>
      <c r="C1" t="s">
        <v>416</v>
      </c>
      <c r="D1" t="s">
        <v>415</v>
      </c>
      <c r="E1" t="s">
        <v>889</v>
      </c>
      <c r="F1" t="s">
        <v>327</v>
      </c>
      <c r="G1" t="s">
        <v>330</v>
      </c>
      <c r="H1" t="s">
        <v>0</v>
      </c>
      <c r="I1" t="s">
        <v>1</v>
      </c>
      <c r="J1" t="s">
        <v>2</v>
      </c>
      <c r="K1" t="s">
        <v>3</v>
      </c>
      <c r="L1" t="s">
        <v>4</v>
      </c>
      <c r="M1" t="s">
        <v>5</v>
      </c>
      <c r="N1" t="s">
        <v>6</v>
      </c>
    </row>
    <row r="2" spans="1:14" x14ac:dyDescent="0.2">
      <c r="A2">
        <v>1</v>
      </c>
      <c r="B2" s="7">
        <v>44917</v>
      </c>
      <c r="C2" s="7" t="s">
        <v>845</v>
      </c>
      <c r="D2" s="7" t="s">
        <v>844</v>
      </c>
      <c r="E2" s="7" t="s">
        <v>890</v>
      </c>
      <c r="F2" s="7" t="s">
        <v>868</v>
      </c>
      <c r="G2" s="7" t="s">
        <v>867</v>
      </c>
      <c r="H2" t="s">
        <v>417</v>
      </c>
      <c r="I2" t="s">
        <v>418</v>
      </c>
      <c r="J2" t="s">
        <v>682</v>
      </c>
      <c r="K2">
        <v>2013</v>
      </c>
      <c r="L2" t="s">
        <v>419</v>
      </c>
      <c r="M2" t="s">
        <v>664</v>
      </c>
      <c r="N2" t="s">
        <v>336</v>
      </c>
    </row>
    <row r="3" spans="1:14" x14ac:dyDescent="0.2">
      <c r="A3">
        <f>A2+1</f>
        <v>2</v>
      </c>
      <c r="B3" s="7">
        <v>44917</v>
      </c>
      <c r="C3" s="7" t="s">
        <v>845</v>
      </c>
      <c r="D3" s="7" t="s">
        <v>844</v>
      </c>
      <c r="E3" s="7" t="s">
        <v>845</v>
      </c>
      <c r="F3" s="7" t="s">
        <v>868</v>
      </c>
      <c r="G3" s="7" t="s">
        <v>867</v>
      </c>
      <c r="H3" t="s">
        <v>420</v>
      </c>
      <c r="I3" t="s">
        <v>421</v>
      </c>
      <c r="J3" t="s">
        <v>20</v>
      </c>
      <c r="K3">
        <v>2014</v>
      </c>
      <c r="L3" t="s">
        <v>665</v>
      </c>
      <c r="M3" t="s">
        <v>666</v>
      </c>
      <c r="N3" t="s">
        <v>336</v>
      </c>
    </row>
    <row r="4" spans="1:14" x14ac:dyDescent="0.2">
      <c r="A4">
        <f t="shared" ref="A4:A67" si="0">A3+1</f>
        <v>3</v>
      </c>
      <c r="B4" s="7">
        <v>44917</v>
      </c>
      <c r="C4" s="7" t="s">
        <v>915</v>
      </c>
      <c r="D4" s="7" t="s">
        <v>845</v>
      </c>
      <c r="E4" s="7" t="s">
        <v>890</v>
      </c>
      <c r="F4" s="7" t="s">
        <v>891</v>
      </c>
      <c r="G4" s="7" t="s">
        <v>867</v>
      </c>
      <c r="H4" t="s">
        <v>422</v>
      </c>
      <c r="I4" t="s">
        <v>423</v>
      </c>
      <c r="J4" t="s">
        <v>683</v>
      </c>
      <c r="K4">
        <v>2014</v>
      </c>
      <c r="L4" t="s">
        <v>424</v>
      </c>
      <c r="M4" t="s">
        <v>667</v>
      </c>
      <c r="N4" t="s">
        <v>336</v>
      </c>
    </row>
    <row r="5" spans="1:14" x14ac:dyDescent="0.2">
      <c r="A5">
        <f t="shared" si="0"/>
        <v>4</v>
      </c>
      <c r="B5" s="7">
        <v>44917</v>
      </c>
      <c r="C5" s="7" t="s">
        <v>892</v>
      </c>
      <c r="D5" s="7" t="s">
        <v>892</v>
      </c>
      <c r="E5" s="7" t="s">
        <v>892</v>
      </c>
      <c r="F5" s="7" t="s">
        <v>892</v>
      </c>
      <c r="G5" s="7" t="s">
        <v>867</v>
      </c>
      <c r="H5" t="s">
        <v>425</v>
      </c>
      <c r="I5" t="s">
        <v>426</v>
      </c>
      <c r="J5" t="s">
        <v>427</v>
      </c>
      <c r="K5">
        <v>2015</v>
      </c>
      <c r="L5" t="s">
        <v>428</v>
      </c>
      <c r="M5" t="s">
        <v>429</v>
      </c>
      <c r="N5" t="s">
        <v>376</v>
      </c>
    </row>
    <row r="6" spans="1:14" x14ac:dyDescent="0.2">
      <c r="A6">
        <f t="shared" si="0"/>
        <v>5</v>
      </c>
      <c r="B6" s="7">
        <v>44917</v>
      </c>
      <c r="C6" s="7" t="s">
        <v>915</v>
      </c>
      <c r="D6" s="7" t="s">
        <v>844</v>
      </c>
      <c r="E6" s="7" t="s">
        <v>845</v>
      </c>
      <c r="G6" s="7" t="s">
        <v>332</v>
      </c>
      <c r="H6" t="s">
        <v>430</v>
      </c>
      <c r="I6" t="s">
        <v>431</v>
      </c>
      <c r="J6" t="s">
        <v>684</v>
      </c>
      <c r="K6">
        <v>2015</v>
      </c>
      <c r="L6" t="s">
        <v>668</v>
      </c>
      <c r="M6" t="s">
        <v>669</v>
      </c>
      <c r="N6" t="s">
        <v>336</v>
      </c>
    </row>
    <row r="7" spans="1:14" x14ac:dyDescent="0.2">
      <c r="A7">
        <f t="shared" si="0"/>
        <v>6</v>
      </c>
      <c r="B7" s="7">
        <v>44917</v>
      </c>
      <c r="C7" s="7" t="s">
        <v>915</v>
      </c>
      <c r="D7" s="7" t="s">
        <v>845</v>
      </c>
      <c r="E7" s="7" t="s">
        <v>890</v>
      </c>
      <c r="F7" s="7" t="s">
        <v>908</v>
      </c>
      <c r="G7" s="7" t="s">
        <v>867</v>
      </c>
      <c r="H7" t="s">
        <v>432</v>
      </c>
      <c r="I7" t="s">
        <v>433</v>
      </c>
      <c r="J7" t="s">
        <v>10</v>
      </c>
      <c r="K7">
        <v>2015</v>
      </c>
      <c r="L7" t="s">
        <v>670</v>
      </c>
      <c r="M7" t="s">
        <v>671</v>
      </c>
      <c r="N7" t="s">
        <v>336</v>
      </c>
    </row>
    <row r="8" spans="1:14" x14ac:dyDescent="0.2">
      <c r="A8">
        <f t="shared" si="0"/>
        <v>7</v>
      </c>
      <c r="B8" s="7">
        <v>44918</v>
      </c>
      <c r="C8" s="7" t="s">
        <v>915</v>
      </c>
      <c r="D8" s="7" t="s">
        <v>844</v>
      </c>
      <c r="E8" s="7" t="s">
        <v>845</v>
      </c>
      <c r="F8" s="7" t="s">
        <v>909</v>
      </c>
      <c r="G8" s="7" t="s">
        <v>867</v>
      </c>
      <c r="H8" t="s">
        <v>434</v>
      </c>
      <c r="I8" t="s">
        <v>435</v>
      </c>
      <c r="J8" t="s">
        <v>414</v>
      </c>
      <c r="K8">
        <v>2015</v>
      </c>
      <c r="M8" t="s">
        <v>672</v>
      </c>
      <c r="N8" t="s">
        <v>336</v>
      </c>
    </row>
    <row r="9" spans="1:14" x14ac:dyDescent="0.2">
      <c r="A9">
        <f t="shared" si="0"/>
        <v>8</v>
      </c>
      <c r="B9" s="7">
        <v>44918</v>
      </c>
      <c r="C9" s="7" t="s">
        <v>845</v>
      </c>
      <c r="D9" s="7" t="s">
        <v>844</v>
      </c>
      <c r="E9" s="7" t="s">
        <v>845</v>
      </c>
      <c r="F9" s="7" t="s">
        <v>868</v>
      </c>
      <c r="G9" s="7" t="s">
        <v>867</v>
      </c>
      <c r="H9" t="s">
        <v>436</v>
      </c>
      <c r="I9" t="s">
        <v>437</v>
      </c>
      <c r="J9" t="s">
        <v>29</v>
      </c>
      <c r="K9">
        <v>2015</v>
      </c>
      <c r="L9" t="s">
        <v>674</v>
      </c>
      <c r="M9" t="s">
        <v>673</v>
      </c>
      <c r="N9" t="s">
        <v>336</v>
      </c>
    </row>
    <row r="10" spans="1:14" x14ac:dyDescent="0.2">
      <c r="A10">
        <f t="shared" si="0"/>
        <v>9</v>
      </c>
      <c r="B10" s="7">
        <v>44918</v>
      </c>
      <c r="C10" s="7" t="s">
        <v>845</v>
      </c>
      <c r="D10" s="7" t="s">
        <v>844</v>
      </c>
      <c r="E10" s="7" t="s">
        <v>845</v>
      </c>
      <c r="F10" s="7" t="s">
        <v>868</v>
      </c>
      <c r="G10" s="7" t="s">
        <v>867</v>
      </c>
      <c r="H10" t="s">
        <v>333</v>
      </c>
      <c r="I10" t="s">
        <v>334</v>
      </c>
      <c r="J10" t="s">
        <v>20</v>
      </c>
      <c r="K10">
        <v>2016</v>
      </c>
      <c r="L10" t="s">
        <v>28</v>
      </c>
      <c r="M10" t="s">
        <v>335</v>
      </c>
      <c r="N10" t="s">
        <v>7</v>
      </c>
    </row>
    <row r="11" spans="1:14" x14ac:dyDescent="0.2">
      <c r="A11">
        <f t="shared" si="0"/>
        <v>10</v>
      </c>
      <c r="B11" s="7">
        <v>44918</v>
      </c>
      <c r="C11" s="7" t="s">
        <v>845</v>
      </c>
      <c r="D11" s="7" t="s">
        <v>844</v>
      </c>
      <c r="E11" s="7" t="s">
        <v>845</v>
      </c>
      <c r="F11" s="7" t="s">
        <v>868</v>
      </c>
      <c r="G11" s="7" t="s">
        <v>867</v>
      </c>
      <c r="H11" t="s">
        <v>438</v>
      </c>
      <c r="I11" t="s">
        <v>439</v>
      </c>
      <c r="J11" t="s">
        <v>440</v>
      </c>
      <c r="K11">
        <v>2016</v>
      </c>
      <c r="L11" t="s">
        <v>441</v>
      </c>
      <c r="M11" t="s">
        <v>675</v>
      </c>
      <c r="N11" t="s">
        <v>336</v>
      </c>
    </row>
    <row r="12" spans="1:14" x14ac:dyDescent="0.2">
      <c r="A12">
        <f t="shared" si="0"/>
        <v>11</v>
      </c>
      <c r="B12" s="7">
        <v>44918</v>
      </c>
      <c r="C12" s="7" t="s">
        <v>845</v>
      </c>
      <c r="D12" s="7" t="s">
        <v>845</v>
      </c>
      <c r="E12" s="7" t="s">
        <v>845</v>
      </c>
      <c r="F12" s="7" t="s">
        <v>911</v>
      </c>
      <c r="G12" s="7" t="s">
        <v>867</v>
      </c>
      <c r="H12" t="s">
        <v>442</v>
      </c>
      <c r="I12" t="s">
        <v>443</v>
      </c>
      <c r="J12" t="s">
        <v>17</v>
      </c>
      <c r="K12">
        <v>2016</v>
      </c>
      <c r="L12" t="s">
        <v>676</v>
      </c>
      <c r="M12" t="s">
        <v>677</v>
      </c>
      <c r="N12" t="s">
        <v>336</v>
      </c>
    </row>
    <row r="13" spans="1:14" x14ac:dyDescent="0.2">
      <c r="A13">
        <f t="shared" si="0"/>
        <v>12</v>
      </c>
      <c r="B13" s="7">
        <v>44918</v>
      </c>
      <c r="C13" s="7" t="s">
        <v>914</v>
      </c>
      <c r="D13" s="7" t="s">
        <v>845</v>
      </c>
      <c r="E13" s="7" t="s">
        <v>890</v>
      </c>
      <c r="F13" s="7" t="s">
        <v>913</v>
      </c>
      <c r="G13" s="7" t="s">
        <v>867</v>
      </c>
      <c r="H13" t="s">
        <v>337</v>
      </c>
      <c r="I13" t="s">
        <v>338</v>
      </c>
      <c r="J13" t="s">
        <v>17</v>
      </c>
      <c r="K13">
        <v>2017</v>
      </c>
      <c r="L13" t="s">
        <v>18</v>
      </c>
      <c r="M13" t="s">
        <v>339</v>
      </c>
      <c r="N13" t="s">
        <v>303</v>
      </c>
    </row>
    <row r="14" spans="1:14" x14ac:dyDescent="0.2">
      <c r="A14">
        <f t="shared" si="0"/>
        <v>13</v>
      </c>
      <c r="B14" s="7">
        <v>44918</v>
      </c>
      <c r="C14" s="7" t="s">
        <v>915</v>
      </c>
      <c r="D14" s="7" t="s">
        <v>845</v>
      </c>
      <c r="E14" s="7" t="s">
        <v>890</v>
      </c>
      <c r="F14" s="7" t="s">
        <v>913</v>
      </c>
      <c r="G14" s="7" t="s">
        <v>867</v>
      </c>
      <c r="H14" t="s">
        <v>444</v>
      </c>
      <c r="I14" t="s">
        <v>445</v>
      </c>
      <c r="J14" t="s">
        <v>16</v>
      </c>
      <c r="K14">
        <v>2017</v>
      </c>
      <c r="L14" t="s">
        <v>446</v>
      </c>
      <c r="M14" t="s">
        <v>447</v>
      </c>
      <c r="N14" t="s">
        <v>7</v>
      </c>
    </row>
    <row r="15" spans="1:14" x14ac:dyDescent="0.2">
      <c r="A15">
        <f t="shared" si="0"/>
        <v>14</v>
      </c>
      <c r="B15" s="7">
        <v>44918</v>
      </c>
      <c r="C15" s="7" t="s">
        <v>915</v>
      </c>
      <c r="D15" s="7" t="s">
        <v>845</v>
      </c>
      <c r="E15" s="7" t="s">
        <v>890</v>
      </c>
      <c r="F15" s="7" t="s">
        <v>913</v>
      </c>
      <c r="G15" s="7" t="s">
        <v>867</v>
      </c>
      <c r="H15" t="s">
        <v>448</v>
      </c>
      <c r="I15" t="s">
        <v>449</v>
      </c>
      <c r="J15" t="s">
        <v>440</v>
      </c>
      <c r="K15">
        <v>2017</v>
      </c>
      <c r="L15" t="s">
        <v>450</v>
      </c>
      <c r="M15" t="s">
        <v>678</v>
      </c>
      <c r="N15" t="s">
        <v>336</v>
      </c>
    </row>
    <row r="16" spans="1:14" x14ac:dyDescent="0.2">
      <c r="A16">
        <f t="shared" si="0"/>
        <v>15</v>
      </c>
      <c r="B16" s="7">
        <v>44918</v>
      </c>
      <c r="C16" s="7" t="s">
        <v>845</v>
      </c>
      <c r="D16" s="7" t="s">
        <v>845</v>
      </c>
      <c r="E16" s="7" t="s">
        <v>890</v>
      </c>
      <c r="F16" s="7" t="s">
        <v>916</v>
      </c>
      <c r="G16" s="7" t="s">
        <v>867</v>
      </c>
      <c r="H16" t="s">
        <v>451</v>
      </c>
      <c r="I16" t="s">
        <v>452</v>
      </c>
      <c r="J16" t="s">
        <v>685</v>
      </c>
      <c r="K16">
        <v>2017</v>
      </c>
      <c r="L16" t="s">
        <v>453</v>
      </c>
      <c r="M16" t="s">
        <v>679</v>
      </c>
      <c r="N16" t="s">
        <v>336</v>
      </c>
    </row>
    <row r="17" spans="1:14" x14ac:dyDescent="0.2">
      <c r="A17">
        <f t="shared" si="0"/>
        <v>16</v>
      </c>
      <c r="B17" s="7">
        <v>44918</v>
      </c>
      <c r="C17" s="7" t="s">
        <v>845</v>
      </c>
      <c r="D17" s="7" t="s">
        <v>844</v>
      </c>
      <c r="E17" s="7" t="s">
        <v>845</v>
      </c>
      <c r="F17" s="7" t="s">
        <v>917</v>
      </c>
      <c r="G17" s="7" t="s">
        <v>867</v>
      </c>
      <c r="H17" t="s">
        <v>454</v>
      </c>
      <c r="I17" t="s">
        <v>455</v>
      </c>
      <c r="J17" t="s">
        <v>29</v>
      </c>
      <c r="K17">
        <v>2017</v>
      </c>
      <c r="L17" t="s">
        <v>680</v>
      </c>
      <c r="M17" t="s">
        <v>681</v>
      </c>
      <c r="N17" t="s">
        <v>336</v>
      </c>
    </row>
    <row r="18" spans="1:14" x14ac:dyDescent="0.2">
      <c r="A18">
        <f t="shared" si="0"/>
        <v>17</v>
      </c>
      <c r="B18" s="7">
        <v>44916</v>
      </c>
      <c r="C18" s="7" t="s">
        <v>845</v>
      </c>
      <c r="D18" s="7" t="s">
        <v>844</v>
      </c>
      <c r="E18" s="7" t="s">
        <v>845</v>
      </c>
      <c r="F18" s="7" t="s">
        <v>868</v>
      </c>
      <c r="G18" t="s">
        <v>867</v>
      </c>
      <c r="H18" t="s">
        <v>456</v>
      </c>
      <c r="I18" t="s">
        <v>457</v>
      </c>
      <c r="J18" t="s">
        <v>20</v>
      </c>
      <c r="K18">
        <v>2017</v>
      </c>
      <c r="L18" t="s">
        <v>686</v>
      </c>
      <c r="M18" t="s">
        <v>687</v>
      </c>
      <c r="N18" t="s">
        <v>336</v>
      </c>
    </row>
    <row r="19" spans="1:14" x14ac:dyDescent="0.2">
      <c r="A19">
        <f t="shared" si="0"/>
        <v>18</v>
      </c>
      <c r="B19" s="7">
        <v>44921</v>
      </c>
      <c r="C19" s="7" t="s">
        <v>915</v>
      </c>
      <c r="D19" s="7" t="s">
        <v>844</v>
      </c>
      <c r="E19" s="7" t="s">
        <v>845</v>
      </c>
      <c r="G19" s="7" t="s">
        <v>331</v>
      </c>
      <c r="H19" t="s">
        <v>340</v>
      </c>
      <c r="I19" t="s">
        <v>341</v>
      </c>
      <c r="J19" t="s">
        <v>25</v>
      </c>
      <c r="K19">
        <v>2018</v>
      </c>
      <c r="L19" t="s">
        <v>26</v>
      </c>
      <c r="M19" t="s">
        <v>342</v>
      </c>
      <c r="N19" t="s">
        <v>303</v>
      </c>
    </row>
    <row r="20" spans="1:14" x14ac:dyDescent="0.2">
      <c r="A20">
        <f t="shared" si="0"/>
        <v>19</v>
      </c>
      <c r="B20" s="7">
        <v>44921</v>
      </c>
      <c r="C20" s="7" t="s">
        <v>914</v>
      </c>
      <c r="D20" s="7" t="s">
        <v>844</v>
      </c>
      <c r="E20" s="7" t="s">
        <v>845</v>
      </c>
      <c r="G20" s="7" t="s">
        <v>329</v>
      </c>
      <c r="H20" t="s">
        <v>458</v>
      </c>
      <c r="I20" t="s">
        <v>459</v>
      </c>
      <c r="J20" t="s">
        <v>14</v>
      </c>
      <c r="K20">
        <v>2018</v>
      </c>
      <c r="L20" t="s">
        <v>460</v>
      </c>
      <c r="M20" t="s">
        <v>461</v>
      </c>
      <c r="N20" t="s">
        <v>376</v>
      </c>
    </row>
    <row r="21" spans="1:14" x14ac:dyDescent="0.2">
      <c r="A21">
        <f t="shared" si="0"/>
        <v>20</v>
      </c>
      <c r="B21" s="7">
        <v>44918</v>
      </c>
      <c r="C21" s="7" t="s">
        <v>915</v>
      </c>
      <c r="D21" s="7" t="s">
        <v>845</v>
      </c>
      <c r="E21" s="7" t="s">
        <v>845</v>
      </c>
      <c r="F21" s="7" t="s">
        <v>918</v>
      </c>
      <c r="G21" s="7" t="s">
        <v>867</v>
      </c>
      <c r="H21" t="s">
        <v>343</v>
      </c>
      <c r="I21" t="s">
        <v>462</v>
      </c>
      <c r="J21" t="s">
        <v>13</v>
      </c>
      <c r="K21">
        <v>2018</v>
      </c>
      <c r="L21" t="s">
        <v>27</v>
      </c>
      <c r="M21" t="s">
        <v>344</v>
      </c>
      <c r="N21" t="s">
        <v>376</v>
      </c>
    </row>
    <row r="22" spans="1:14" x14ac:dyDescent="0.2">
      <c r="A22">
        <f t="shared" si="0"/>
        <v>21</v>
      </c>
      <c r="B22" s="7">
        <v>44918</v>
      </c>
      <c r="C22" s="7" t="s">
        <v>915</v>
      </c>
      <c r="D22" s="7" t="s">
        <v>845</v>
      </c>
      <c r="E22" s="7" t="s">
        <v>890</v>
      </c>
      <c r="F22" s="7" t="s">
        <v>913</v>
      </c>
      <c r="G22" s="7" t="s">
        <v>867</v>
      </c>
      <c r="H22" t="s">
        <v>348</v>
      </c>
      <c r="I22" t="s">
        <v>463</v>
      </c>
      <c r="J22" t="s">
        <v>10</v>
      </c>
      <c r="K22">
        <v>2018</v>
      </c>
      <c r="L22" t="s">
        <v>11</v>
      </c>
      <c r="M22" t="s">
        <v>349</v>
      </c>
      <c r="N22" t="s">
        <v>376</v>
      </c>
    </row>
    <row r="23" spans="1:14" x14ac:dyDescent="0.2">
      <c r="A23">
        <f t="shared" si="0"/>
        <v>22</v>
      </c>
      <c r="B23" s="7">
        <v>44918</v>
      </c>
      <c r="C23" s="7" t="s">
        <v>915</v>
      </c>
      <c r="D23" s="7" t="s">
        <v>845</v>
      </c>
      <c r="E23" s="7" t="s">
        <v>919</v>
      </c>
      <c r="F23" s="7" t="s">
        <v>920</v>
      </c>
      <c r="G23" s="7" t="s">
        <v>867</v>
      </c>
      <c r="H23" t="s">
        <v>345</v>
      </c>
      <c r="I23" t="s">
        <v>346</v>
      </c>
      <c r="J23" t="s">
        <v>8</v>
      </c>
      <c r="K23">
        <v>2018</v>
      </c>
      <c r="L23" t="s">
        <v>15</v>
      </c>
      <c r="M23" t="s">
        <v>347</v>
      </c>
      <c r="N23" t="s">
        <v>7</v>
      </c>
    </row>
    <row r="24" spans="1:14" x14ac:dyDescent="0.2">
      <c r="A24">
        <f t="shared" si="0"/>
        <v>23</v>
      </c>
      <c r="B24" s="7">
        <v>44918</v>
      </c>
      <c r="C24" s="7" t="s">
        <v>915</v>
      </c>
      <c r="D24" s="7" t="s">
        <v>845</v>
      </c>
      <c r="E24" s="7" t="s">
        <v>845</v>
      </c>
      <c r="F24" s="7" t="s">
        <v>921</v>
      </c>
      <c r="G24" s="7" t="s">
        <v>867</v>
      </c>
      <c r="H24" t="s">
        <v>464</v>
      </c>
      <c r="I24" t="s">
        <v>465</v>
      </c>
      <c r="J24" t="s">
        <v>410</v>
      </c>
      <c r="K24">
        <v>2018</v>
      </c>
      <c r="L24" t="s">
        <v>688</v>
      </c>
      <c r="M24" t="s">
        <v>689</v>
      </c>
      <c r="N24" t="s">
        <v>336</v>
      </c>
    </row>
    <row r="25" spans="1:14" x14ac:dyDescent="0.2">
      <c r="A25">
        <f t="shared" si="0"/>
        <v>24</v>
      </c>
      <c r="B25" s="7">
        <v>44921</v>
      </c>
      <c r="C25" s="7" t="s">
        <v>915</v>
      </c>
      <c r="D25" s="7" t="s">
        <v>844</v>
      </c>
      <c r="E25" s="7" t="s">
        <v>845</v>
      </c>
      <c r="F25" s="7" t="s">
        <v>976</v>
      </c>
      <c r="G25" s="7" t="s">
        <v>867</v>
      </c>
      <c r="H25" t="s">
        <v>466</v>
      </c>
      <c r="I25" t="s">
        <v>467</v>
      </c>
      <c r="J25" t="s">
        <v>690</v>
      </c>
      <c r="K25">
        <v>2018</v>
      </c>
      <c r="L25" t="s">
        <v>468</v>
      </c>
      <c r="M25" t="s">
        <v>691</v>
      </c>
      <c r="N25" t="s">
        <v>336</v>
      </c>
    </row>
    <row r="26" spans="1:14" x14ac:dyDescent="0.2">
      <c r="A26">
        <f t="shared" si="0"/>
        <v>25</v>
      </c>
      <c r="B26" s="7">
        <v>44918</v>
      </c>
      <c r="C26" s="7" t="s">
        <v>845</v>
      </c>
      <c r="D26" s="7" t="s">
        <v>844</v>
      </c>
      <c r="E26" s="7" t="s">
        <v>845</v>
      </c>
      <c r="F26" s="7" t="s">
        <v>868</v>
      </c>
      <c r="G26" s="7" t="s">
        <v>867</v>
      </c>
      <c r="H26" t="s">
        <v>469</v>
      </c>
      <c r="I26" t="s">
        <v>470</v>
      </c>
      <c r="J26" t="s">
        <v>277</v>
      </c>
      <c r="K26">
        <v>2018</v>
      </c>
      <c r="L26" t="s">
        <v>692</v>
      </c>
      <c r="M26" t="s">
        <v>693</v>
      </c>
      <c r="N26" t="s">
        <v>336</v>
      </c>
    </row>
    <row r="27" spans="1:14" x14ac:dyDescent="0.2">
      <c r="A27">
        <f t="shared" si="0"/>
        <v>26</v>
      </c>
      <c r="B27" s="7">
        <v>44921</v>
      </c>
      <c r="C27" s="7" t="s">
        <v>914</v>
      </c>
      <c r="D27" s="7" t="s">
        <v>844</v>
      </c>
      <c r="E27" s="7" t="s">
        <v>845</v>
      </c>
      <c r="F27" s="7" t="s">
        <v>977</v>
      </c>
      <c r="G27" s="7" t="s">
        <v>867</v>
      </c>
      <c r="H27" t="s">
        <v>350</v>
      </c>
      <c r="I27" t="s">
        <v>351</v>
      </c>
      <c r="J27" t="s">
        <v>273</v>
      </c>
      <c r="K27">
        <v>2019</v>
      </c>
      <c r="L27" t="s">
        <v>274</v>
      </c>
      <c r="M27" t="s">
        <v>352</v>
      </c>
      <c r="N27" t="s">
        <v>303</v>
      </c>
    </row>
    <row r="28" spans="1:14" x14ac:dyDescent="0.2">
      <c r="A28">
        <f t="shared" si="0"/>
        <v>27</v>
      </c>
      <c r="B28" s="7">
        <v>44921</v>
      </c>
      <c r="C28" s="7" t="s">
        <v>915</v>
      </c>
      <c r="D28" s="7" t="s">
        <v>844</v>
      </c>
      <c r="E28" s="7" t="s">
        <v>845</v>
      </c>
      <c r="G28" s="7" t="s">
        <v>329</v>
      </c>
      <c r="H28" t="s">
        <v>471</v>
      </c>
      <c r="I28" t="s">
        <v>472</v>
      </c>
      <c r="J28" t="s">
        <v>12</v>
      </c>
      <c r="K28">
        <v>2019</v>
      </c>
      <c r="L28" t="s">
        <v>694</v>
      </c>
      <c r="M28" t="s">
        <v>695</v>
      </c>
      <c r="N28" t="s">
        <v>336</v>
      </c>
    </row>
    <row r="29" spans="1:14" x14ac:dyDescent="0.2">
      <c r="A29">
        <f t="shared" si="0"/>
        <v>28</v>
      </c>
      <c r="B29" s="7">
        <v>44918</v>
      </c>
      <c r="C29" s="7" t="s">
        <v>914</v>
      </c>
      <c r="D29" s="7" t="s">
        <v>845</v>
      </c>
      <c r="E29" s="7" t="s">
        <v>890</v>
      </c>
      <c r="F29" s="7" t="s">
        <v>891</v>
      </c>
      <c r="G29" s="7" t="s">
        <v>867</v>
      </c>
      <c r="H29" t="s">
        <v>473</v>
      </c>
      <c r="I29" t="s">
        <v>474</v>
      </c>
      <c r="J29" t="s">
        <v>13</v>
      </c>
      <c r="K29">
        <v>2019</v>
      </c>
      <c r="L29" t="s">
        <v>696</v>
      </c>
      <c r="M29" t="s">
        <v>697</v>
      </c>
      <c r="N29" t="s">
        <v>336</v>
      </c>
    </row>
    <row r="30" spans="1:14" x14ac:dyDescent="0.2">
      <c r="A30">
        <f t="shared" si="0"/>
        <v>29</v>
      </c>
      <c r="B30" s="7">
        <v>44918</v>
      </c>
      <c r="C30" s="7" t="s">
        <v>845</v>
      </c>
      <c r="D30" s="7" t="s">
        <v>845</v>
      </c>
      <c r="E30" s="7" t="s">
        <v>919</v>
      </c>
      <c r="F30" t="s">
        <v>922</v>
      </c>
      <c r="G30" s="7" t="s">
        <v>867</v>
      </c>
      <c r="H30" t="s">
        <v>475</v>
      </c>
      <c r="I30" t="s">
        <v>476</v>
      </c>
      <c r="J30" t="s">
        <v>477</v>
      </c>
      <c r="K30">
        <v>2019</v>
      </c>
      <c r="L30" t="s">
        <v>698</v>
      </c>
      <c r="M30" t="s">
        <v>699</v>
      </c>
      <c r="N30" t="s">
        <v>336</v>
      </c>
    </row>
    <row r="31" spans="1:14" x14ac:dyDescent="0.2">
      <c r="A31">
        <f t="shared" si="0"/>
        <v>30</v>
      </c>
      <c r="B31" s="7">
        <v>44918</v>
      </c>
      <c r="C31" s="7" t="s">
        <v>845</v>
      </c>
      <c r="D31" s="7" t="s">
        <v>845</v>
      </c>
      <c r="E31" s="7" t="s">
        <v>890</v>
      </c>
      <c r="F31" t="s">
        <v>923</v>
      </c>
      <c r="G31" s="7" t="s">
        <v>867</v>
      </c>
      <c r="H31" t="s">
        <v>478</v>
      </c>
      <c r="I31" t="s">
        <v>479</v>
      </c>
      <c r="J31" t="s">
        <v>21</v>
      </c>
      <c r="K31">
        <v>2019</v>
      </c>
      <c r="L31" t="s">
        <v>700</v>
      </c>
      <c r="M31" t="s">
        <v>701</v>
      </c>
      <c r="N31" t="s">
        <v>336</v>
      </c>
    </row>
    <row r="32" spans="1:14" x14ac:dyDescent="0.2">
      <c r="A32">
        <f t="shared" si="0"/>
        <v>31</v>
      </c>
      <c r="B32" s="7">
        <v>44918</v>
      </c>
      <c r="C32" s="7" t="s">
        <v>845</v>
      </c>
      <c r="D32" s="7" t="s">
        <v>845</v>
      </c>
      <c r="E32" s="7" t="s">
        <v>890</v>
      </c>
      <c r="F32" s="7" t="s">
        <v>911</v>
      </c>
      <c r="G32" s="7" t="s">
        <v>867</v>
      </c>
      <c r="H32" t="s">
        <v>480</v>
      </c>
      <c r="I32" t="s">
        <v>481</v>
      </c>
      <c r="J32" t="s">
        <v>10</v>
      </c>
      <c r="K32">
        <v>2019</v>
      </c>
      <c r="L32" t="s">
        <v>702</v>
      </c>
      <c r="M32" t="s">
        <v>703</v>
      </c>
      <c r="N32" t="s">
        <v>336</v>
      </c>
    </row>
    <row r="33" spans="1:14" x14ac:dyDescent="0.2">
      <c r="A33">
        <f t="shared" si="0"/>
        <v>32</v>
      </c>
      <c r="B33" s="7">
        <v>44918</v>
      </c>
      <c r="C33" s="7" t="s">
        <v>845</v>
      </c>
      <c r="D33" s="7" t="s">
        <v>844</v>
      </c>
      <c r="E33" s="7" t="s">
        <v>845</v>
      </c>
      <c r="F33" t="s">
        <v>868</v>
      </c>
      <c r="G33" s="7" t="s">
        <v>867</v>
      </c>
      <c r="H33" t="s">
        <v>482</v>
      </c>
      <c r="I33" t="s">
        <v>483</v>
      </c>
      <c r="J33" t="s">
        <v>8</v>
      </c>
      <c r="K33">
        <v>2019</v>
      </c>
      <c r="L33" t="s">
        <v>704</v>
      </c>
      <c r="M33" t="s">
        <v>705</v>
      </c>
      <c r="N33" t="s">
        <v>336</v>
      </c>
    </row>
    <row r="34" spans="1:14" x14ac:dyDescent="0.2">
      <c r="A34">
        <f t="shared" si="0"/>
        <v>33</v>
      </c>
      <c r="B34" s="7">
        <v>44918</v>
      </c>
      <c r="C34" s="7" t="s">
        <v>845</v>
      </c>
      <c r="D34" s="7" t="s">
        <v>844</v>
      </c>
      <c r="E34" s="7" t="s">
        <v>845</v>
      </c>
      <c r="F34" t="s">
        <v>868</v>
      </c>
      <c r="G34" s="7" t="s">
        <v>867</v>
      </c>
      <c r="H34" t="s">
        <v>484</v>
      </c>
      <c r="I34" t="s">
        <v>485</v>
      </c>
      <c r="J34" t="s">
        <v>380</v>
      </c>
      <c r="K34">
        <v>2019</v>
      </c>
      <c r="L34" t="s">
        <v>706</v>
      </c>
      <c r="M34" t="s">
        <v>707</v>
      </c>
      <c r="N34" t="s">
        <v>336</v>
      </c>
    </row>
    <row r="35" spans="1:14" x14ac:dyDescent="0.2">
      <c r="A35">
        <f t="shared" si="0"/>
        <v>34</v>
      </c>
      <c r="B35" s="7">
        <v>44918</v>
      </c>
      <c r="C35" s="7" t="s">
        <v>845</v>
      </c>
      <c r="D35" s="7" t="s">
        <v>845</v>
      </c>
      <c r="E35" s="7" t="s">
        <v>890</v>
      </c>
      <c r="F35" t="s">
        <v>924</v>
      </c>
      <c r="G35" s="7" t="s">
        <v>867</v>
      </c>
      <c r="H35" t="s">
        <v>486</v>
      </c>
      <c r="I35" t="s">
        <v>487</v>
      </c>
      <c r="J35" t="s">
        <v>277</v>
      </c>
      <c r="K35">
        <v>2019</v>
      </c>
      <c r="L35" t="s">
        <v>708</v>
      </c>
      <c r="M35" t="s">
        <v>709</v>
      </c>
      <c r="N35" t="s">
        <v>336</v>
      </c>
    </row>
    <row r="36" spans="1:14" x14ac:dyDescent="0.2">
      <c r="A36">
        <f t="shared" si="0"/>
        <v>35</v>
      </c>
      <c r="B36" s="7">
        <v>44918</v>
      </c>
      <c r="C36" s="7" t="s">
        <v>845</v>
      </c>
      <c r="D36" s="7" t="s">
        <v>844</v>
      </c>
      <c r="E36" s="7" t="s">
        <v>845</v>
      </c>
      <c r="F36" t="s">
        <v>925</v>
      </c>
      <c r="G36" s="7" t="s">
        <v>867</v>
      </c>
      <c r="H36" t="s">
        <v>488</v>
      </c>
      <c r="I36" t="s">
        <v>489</v>
      </c>
      <c r="J36" t="s">
        <v>24</v>
      </c>
      <c r="K36">
        <v>2019</v>
      </c>
      <c r="L36" t="s">
        <v>710</v>
      </c>
      <c r="M36" t="s">
        <v>711</v>
      </c>
      <c r="N36" t="s">
        <v>336</v>
      </c>
    </row>
    <row r="37" spans="1:14" x14ac:dyDescent="0.2">
      <c r="A37">
        <f t="shared" si="0"/>
        <v>36</v>
      </c>
      <c r="B37" s="7">
        <v>44918</v>
      </c>
      <c r="C37" s="7" t="s">
        <v>845</v>
      </c>
      <c r="D37" s="7" t="s">
        <v>844</v>
      </c>
      <c r="E37" s="7" t="s">
        <v>845</v>
      </c>
      <c r="F37" t="s">
        <v>868</v>
      </c>
      <c r="G37" s="7" t="s">
        <v>867</v>
      </c>
      <c r="H37" t="s">
        <v>490</v>
      </c>
      <c r="I37" t="s">
        <v>491</v>
      </c>
      <c r="J37" t="s">
        <v>712</v>
      </c>
      <c r="K37">
        <v>2019</v>
      </c>
      <c r="L37" t="s">
        <v>713</v>
      </c>
      <c r="M37" t="s">
        <v>714</v>
      </c>
      <c r="N37" t="s">
        <v>336</v>
      </c>
    </row>
    <row r="38" spans="1:14" x14ac:dyDescent="0.2">
      <c r="A38">
        <f t="shared" si="0"/>
        <v>37</v>
      </c>
      <c r="B38" s="7">
        <v>44918</v>
      </c>
      <c r="C38" s="7" t="s">
        <v>845</v>
      </c>
      <c r="D38" s="7" t="s">
        <v>845</v>
      </c>
      <c r="E38" s="7" t="s">
        <v>890</v>
      </c>
      <c r="F38" t="s">
        <v>924</v>
      </c>
      <c r="G38" s="7" t="s">
        <v>867</v>
      </c>
      <c r="H38" t="s">
        <v>492</v>
      </c>
      <c r="I38" t="s">
        <v>715</v>
      </c>
      <c r="J38" t="s">
        <v>718</v>
      </c>
      <c r="K38">
        <v>2019</v>
      </c>
      <c r="L38" t="s">
        <v>716</v>
      </c>
      <c r="M38" t="s">
        <v>717</v>
      </c>
      <c r="N38" t="s">
        <v>336</v>
      </c>
    </row>
    <row r="39" spans="1:14" x14ac:dyDescent="0.2">
      <c r="A39">
        <f t="shared" si="0"/>
        <v>38</v>
      </c>
      <c r="B39" s="7">
        <v>44918</v>
      </c>
      <c r="C39" s="7" t="s">
        <v>845</v>
      </c>
      <c r="D39" s="7" t="s">
        <v>845</v>
      </c>
      <c r="E39" s="7" t="s">
        <v>845</v>
      </c>
      <c r="F39" t="s">
        <v>891</v>
      </c>
      <c r="G39" s="7" t="s">
        <v>867</v>
      </c>
      <c r="H39" t="s">
        <v>493</v>
      </c>
      <c r="I39" t="s">
        <v>494</v>
      </c>
      <c r="J39" t="s">
        <v>21</v>
      </c>
      <c r="K39">
        <v>2019</v>
      </c>
      <c r="L39" t="s">
        <v>719</v>
      </c>
      <c r="M39" t="s">
        <v>720</v>
      </c>
      <c r="N39" t="s">
        <v>336</v>
      </c>
    </row>
    <row r="40" spans="1:14" x14ac:dyDescent="0.2">
      <c r="A40">
        <f t="shared" si="0"/>
        <v>39</v>
      </c>
      <c r="B40" s="7">
        <v>44918</v>
      </c>
      <c r="C40" s="7" t="s">
        <v>915</v>
      </c>
      <c r="D40" s="7" t="s">
        <v>844</v>
      </c>
      <c r="E40" s="7" t="s">
        <v>845</v>
      </c>
      <c r="F40" t="s">
        <v>926</v>
      </c>
      <c r="G40" s="7" t="s">
        <v>867</v>
      </c>
      <c r="H40" t="s">
        <v>353</v>
      </c>
      <c r="I40" t="s">
        <v>354</v>
      </c>
      <c r="J40" t="s">
        <v>14</v>
      </c>
      <c r="K40">
        <v>2020</v>
      </c>
      <c r="L40" t="s">
        <v>282</v>
      </c>
      <c r="M40" t="s">
        <v>355</v>
      </c>
      <c r="N40" t="s">
        <v>303</v>
      </c>
    </row>
    <row r="41" spans="1:14" x14ac:dyDescent="0.2">
      <c r="A41">
        <f t="shared" si="0"/>
        <v>40</v>
      </c>
      <c r="B41" s="7">
        <v>44916</v>
      </c>
      <c r="C41" s="7" t="s">
        <v>915</v>
      </c>
      <c r="D41" s="7" t="s">
        <v>845</v>
      </c>
      <c r="E41" s="7" t="s">
        <v>890</v>
      </c>
      <c r="F41" t="s">
        <v>891</v>
      </c>
      <c r="G41" s="7" t="s">
        <v>867</v>
      </c>
      <c r="H41" t="s">
        <v>356</v>
      </c>
      <c r="I41" t="s">
        <v>357</v>
      </c>
      <c r="J41" t="s">
        <v>509</v>
      </c>
      <c r="K41">
        <v>2020</v>
      </c>
      <c r="L41" t="s">
        <v>284</v>
      </c>
      <c r="M41" t="s">
        <v>358</v>
      </c>
      <c r="N41" t="s">
        <v>303</v>
      </c>
    </row>
    <row r="42" spans="1:14" x14ac:dyDescent="0.2">
      <c r="A42">
        <f t="shared" si="0"/>
        <v>41</v>
      </c>
      <c r="B42" s="7"/>
      <c r="C42" s="7" t="s">
        <v>915</v>
      </c>
      <c r="D42" t="s">
        <v>844</v>
      </c>
      <c r="E42" t="s">
        <v>845</v>
      </c>
      <c r="G42" s="7" t="s">
        <v>245</v>
      </c>
      <c r="H42" t="s">
        <v>359</v>
      </c>
      <c r="I42" t="s">
        <v>360</v>
      </c>
      <c r="J42" t="s">
        <v>275</v>
      </c>
      <c r="K42">
        <v>2020</v>
      </c>
      <c r="L42" t="s">
        <v>276</v>
      </c>
      <c r="M42" t="s">
        <v>361</v>
      </c>
      <c r="N42" t="s">
        <v>303</v>
      </c>
    </row>
    <row r="43" spans="1:14" x14ac:dyDescent="0.2">
      <c r="A43">
        <f t="shared" si="0"/>
        <v>42</v>
      </c>
      <c r="B43" s="7"/>
      <c r="C43" s="7" t="s">
        <v>915</v>
      </c>
      <c r="D43" s="7" t="s">
        <v>844</v>
      </c>
      <c r="E43" s="7" t="s">
        <v>931</v>
      </c>
      <c r="G43" s="7" t="s">
        <v>245</v>
      </c>
      <c r="H43" t="s">
        <v>365</v>
      </c>
      <c r="I43" t="s">
        <v>495</v>
      </c>
      <c r="J43" t="s">
        <v>275</v>
      </c>
      <c r="K43">
        <v>2020</v>
      </c>
      <c r="L43" t="s">
        <v>280</v>
      </c>
      <c r="M43" t="s">
        <v>496</v>
      </c>
      <c r="N43" t="s">
        <v>303</v>
      </c>
    </row>
    <row r="44" spans="1:14" x14ac:dyDescent="0.2">
      <c r="A44">
        <f t="shared" si="0"/>
        <v>43</v>
      </c>
      <c r="B44" s="7">
        <v>44921</v>
      </c>
      <c r="C44" s="7" t="s">
        <v>915</v>
      </c>
      <c r="D44" s="7" t="s">
        <v>845</v>
      </c>
      <c r="E44" s="7" t="s">
        <v>845</v>
      </c>
      <c r="F44" t="s">
        <v>891</v>
      </c>
      <c r="G44" s="7" t="s">
        <v>867</v>
      </c>
      <c r="H44" t="s">
        <v>497</v>
      </c>
      <c r="I44" t="s">
        <v>498</v>
      </c>
      <c r="J44" t="s">
        <v>24</v>
      </c>
      <c r="K44">
        <v>2020</v>
      </c>
      <c r="L44" t="s">
        <v>499</v>
      </c>
      <c r="M44" t="s">
        <v>500</v>
      </c>
      <c r="N44" t="s">
        <v>303</v>
      </c>
    </row>
    <row r="45" spans="1:14" x14ac:dyDescent="0.2">
      <c r="A45">
        <f t="shared" si="0"/>
        <v>44</v>
      </c>
      <c r="B45" s="7"/>
      <c r="C45" s="7" t="s">
        <v>915</v>
      </c>
      <c r="D45" s="7" t="s">
        <v>844</v>
      </c>
      <c r="E45" s="7" t="s">
        <v>845</v>
      </c>
      <c r="G45" s="7" t="s">
        <v>245</v>
      </c>
      <c r="H45" t="s">
        <v>501</v>
      </c>
      <c r="I45" t="s">
        <v>502</v>
      </c>
      <c r="J45" t="s">
        <v>275</v>
      </c>
      <c r="K45">
        <v>2020</v>
      </c>
      <c r="L45" t="s">
        <v>503</v>
      </c>
      <c r="M45" t="s">
        <v>504</v>
      </c>
      <c r="N45" t="s">
        <v>303</v>
      </c>
    </row>
    <row r="46" spans="1:14" x14ac:dyDescent="0.2">
      <c r="A46">
        <f t="shared" si="0"/>
        <v>45</v>
      </c>
      <c r="B46" s="7"/>
      <c r="C46" s="7" t="s">
        <v>915</v>
      </c>
      <c r="D46" s="7" t="s">
        <v>844</v>
      </c>
      <c r="E46" s="7" t="s">
        <v>845</v>
      </c>
      <c r="G46" s="7" t="s">
        <v>245</v>
      </c>
      <c r="H46" t="s">
        <v>362</v>
      </c>
      <c r="I46" t="s">
        <v>505</v>
      </c>
      <c r="J46" t="s">
        <v>278</v>
      </c>
      <c r="K46">
        <v>2020</v>
      </c>
      <c r="L46" t="s">
        <v>279</v>
      </c>
      <c r="M46" t="s">
        <v>506</v>
      </c>
      <c r="N46" t="s">
        <v>303</v>
      </c>
    </row>
    <row r="47" spans="1:14" x14ac:dyDescent="0.2">
      <c r="A47">
        <f t="shared" si="0"/>
        <v>46</v>
      </c>
      <c r="B47" s="7">
        <v>44921</v>
      </c>
      <c r="C47" s="7" t="s">
        <v>915</v>
      </c>
      <c r="D47" s="7" t="s">
        <v>845</v>
      </c>
      <c r="E47" s="7" t="s">
        <v>845</v>
      </c>
      <c r="F47" t="s">
        <v>891</v>
      </c>
      <c r="G47" s="7" t="s">
        <v>867</v>
      </c>
      <c r="H47" t="s">
        <v>507</v>
      </c>
      <c r="I47" t="s">
        <v>508</v>
      </c>
      <c r="J47" t="s">
        <v>509</v>
      </c>
      <c r="K47">
        <v>2020</v>
      </c>
      <c r="L47" t="s">
        <v>510</v>
      </c>
      <c r="M47" t="s">
        <v>511</v>
      </c>
      <c r="N47" t="s">
        <v>376</v>
      </c>
    </row>
    <row r="48" spans="1:14" x14ac:dyDescent="0.2">
      <c r="A48">
        <f t="shared" si="0"/>
        <v>47</v>
      </c>
      <c r="B48" s="7">
        <v>44921</v>
      </c>
      <c r="C48" s="7" t="s">
        <v>915</v>
      </c>
      <c r="D48" s="7" t="s">
        <v>845</v>
      </c>
      <c r="E48" s="7" t="s">
        <v>919</v>
      </c>
      <c r="F48" t="s">
        <v>891</v>
      </c>
      <c r="G48" s="7" t="s">
        <v>867</v>
      </c>
      <c r="H48" t="s">
        <v>363</v>
      </c>
      <c r="I48" t="s">
        <v>512</v>
      </c>
      <c r="J48" t="s">
        <v>25</v>
      </c>
      <c r="K48">
        <v>2020</v>
      </c>
      <c r="L48" t="s">
        <v>283</v>
      </c>
      <c r="M48" t="s">
        <v>364</v>
      </c>
      <c r="N48" t="s">
        <v>376</v>
      </c>
    </row>
    <row r="49" spans="1:16" x14ac:dyDescent="0.2">
      <c r="A49">
        <f t="shared" si="0"/>
        <v>48</v>
      </c>
      <c r="B49" s="7">
        <v>44921</v>
      </c>
      <c r="C49" s="7" t="s">
        <v>915</v>
      </c>
      <c r="D49" s="7" t="s">
        <v>845</v>
      </c>
      <c r="E49" s="7" t="s">
        <v>890</v>
      </c>
      <c r="F49" s="7" t="s">
        <v>913</v>
      </c>
      <c r="G49" s="7" t="s">
        <v>867</v>
      </c>
      <c r="H49" t="s">
        <v>513</v>
      </c>
      <c r="I49" t="s">
        <v>514</v>
      </c>
      <c r="J49" t="s">
        <v>13</v>
      </c>
      <c r="K49">
        <v>2020</v>
      </c>
      <c r="L49" t="s">
        <v>515</v>
      </c>
      <c r="M49" t="s">
        <v>516</v>
      </c>
      <c r="N49" t="s">
        <v>376</v>
      </c>
    </row>
    <row r="50" spans="1:16" x14ac:dyDescent="0.2">
      <c r="A50">
        <f t="shared" si="0"/>
        <v>49</v>
      </c>
      <c r="B50" s="7">
        <v>44921</v>
      </c>
      <c r="C50" s="7" t="s">
        <v>915</v>
      </c>
      <c r="D50" s="7" t="s">
        <v>845</v>
      </c>
      <c r="E50" s="7" t="s">
        <v>890</v>
      </c>
      <c r="F50" s="7" t="s">
        <v>913</v>
      </c>
      <c r="G50" s="7" t="s">
        <v>867</v>
      </c>
      <c r="H50" t="s">
        <v>517</v>
      </c>
      <c r="I50" t="s">
        <v>518</v>
      </c>
      <c r="J50" t="s">
        <v>519</v>
      </c>
      <c r="K50">
        <v>2020</v>
      </c>
      <c r="L50" t="s">
        <v>721</v>
      </c>
      <c r="M50" t="s">
        <v>722</v>
      </c>
      <c r="N50" t="s">
        <v>336</v>
      </c>
    </row>
    <row r="51" spans="1:16" x14ac:dyDescent="0.2">
      <c r="A51">
        <f t="shared" si="0"/>
        <v>50</v>
      </c>
      <c r="B51" s="7">
        <v>44921</v>
      </c>
      <c r="C51" s="7" t="s">
        <v>915</v>
      </c>
      <c r="D51" s="7" t="s">
        <v>845</v>
      </c>
      <c r="E51" s="7" t="s">
        <v>890</v>
      </c>
      <c r="F51" s="7" t="s">
        <v>913</v>
      </c>
      <c r="G51" s="7" t="s">
        <v>867</v>
      </c>
      <c r="H51" t="s">
        <v>520</v>
      </c>
      <c r="I51" t="s">
        <v>521</v>
      </c>
      <c r="J51" t="s">
        <v>277</v>
      </c>
      <c r="K51">
        <v>2020</v>
      </c>
      <c r="L51" t="s">
        <v>723</v>
      </c>
      <c r="M51" t="s">
        <v>724</v>
      </c>
      <c r="N51" t="s">
        <v>336</v>
      </c>
      <c r="P51" s="16"/>
    </row>
    <row r="52" spans="1:16" x14ac:dyDescent="0.2">
      <c r="A52">
        <f t="shared" si="0"/>
        <v>51</v>
      </c>
      <c r="C52" s="7" t="s">
        <v>845</v>
      </c>
      <c r="D52" s="7" t="s">
        <v>845</v>
      </c>
      <c r="E52" s="7" t="s">
        <v>890</v>
      </c>
      <c r="F52" s="7" t="s">
        <v>843</v>
      </c>
      <c r="G52" t="s">
        <v>843</v>
      </c>
      <c r="H52" t="s">
        <v>522</v>
      </c>
      <c r="I52" t="s">
        <v>381</v>
      </c>
      <c r="J52" t="s">
        <v>523</v>
      </c>
      <c r="K52">
        <v>2020</v>
      </c>
      <c r="L52" t="s">
        <v>524</v>
      </c>
      <c r="M52" t="s">
        <v>725</v>
      </c>
      <c r="N52" t="s">
        <v>336</v>
      </c>
      <c r="P52" s="17"/>
    </row>
    <row r="53" spans="1:16" x14ac:dyDescent="0.2">
      <c r="A53">
        <f t="shared" si="0"/>
        <v>52</v>
      </c>
      <c r="B53" s="7">
        <v>44921</v>
      </c>
      <c r="C53" s="7" t="s">
        <v>915</v>
      </c>
      <c r="D53" s="7" t="s">
        <v>845</v>
      </c>
      <c r="E53" s="7" t="s">
        <v>890</v>
      </c>
      <c r="F53" s="7" t="s">
        <v>913</v>
      </c>
      <c r="G53" s="7" t="s">
        <v>867</v>
      </c>
      <c r="H53" t="s">
        <v>525</v>
      </c>
      <c r="I53" t="s">
        <v>526</v>
      </c>
      <c r="J53" t="s">
        <v>277</v>
      </c>
      <c r="K53">
        <v>2020</v>
      </c>
      <c r="L53" t="s">
        <v>726</v>
      </c>
      <c r="M53" t="s">
        <v>727</v>
      </c>
      <c r="N53" t="s">
        <v>336</v>
      </c>
      <c r="P53" s="17"/>
    </row>
    <row r="54" spans="1:16" x14ac:dyDescent="0.2">
      <c r="A54">
        <f t="shared" si="0"/>
        <v>53</v>
      </c>
      <c r="B54" s="7">
        <v>44921</v>
      </c>
      <c r="C54" s="7" t="s">
        <v>845</v>
      </c>
      <c r="D54" s="7" t="s">
        <v>844</v>
      </c>
      <c r="E54" s="7" t="s">
        <v>845</v>
      </c>
      <c r="F54" s="7" t="s">
        <v>917</v>
      </c>
      <c r="G54" s="7" t="s">
        <v>867</v>
      </c>
      <c r="H54" t="s">
        <v>527</v>
      </c>
      <c r="I54" t="s">
        <v>528</v>
      </c>
      <c r="J54" t="s">
        <v>8</v>
      </c>
      <c r="K54">
        <v>2020</v>
      </c>
      <c r="L54" t="s">
        <v>728</v>
      </c>
      <c r="M54" t="s">
        <v>729</v>
      </c>
      <c r="N54" t="s">
        <v>336</v>
      </c>
    </row>
    <row r="55" spans="1:16" x14ac:dyDescent="0.2">
      <c r="A55">
        <f t="shared" si="0"/>
        <v>54</v>
      </c>
      <c r="B55" s="7">
        <v>44921</v>
      </c>
      <c r="C55" s="7" t="s">
        <v>845</v>
      </c>
      <c r="D55" s="7" t="s">
        <v>844</v>
      </c>
      <c r="E55" s="7" t="s">
        <v>845</v>
      </c>
      <c r="F55" s="7" t="s">
        <v>932</v>
      </c>
      <c r="G55" t="s">
        <v>843</v>
      </c>
      <c r="H55" t="s">
        <v>529</v>
      </c>
      <c r="I55" t="s">
        <v>530</v>
      </c>
      <c r="J55" t="s">
        <v>281</v>
      </c>
      <c r="K55">
        <v>2020</v>
      </c>
      <c r="L55" t="s">
        <v>730</v>
      </c>
      <c r="M55" t="s">
        <v>731</v>
      </c>
      <c r="N55" t="s">
        <v>336</v>
      </c>
      <c r="P55" s="17"/>
    </row>
    <row r="56" spans="1:16" x14ac:dyDescent="0.2">
      <c r="A56">
        <f t="shared" si="0"/>
        <v>55</v>
      </c>
      <c r="B56" s="7">
        <v>44921</v>
      </c>
      <c r="C56" s="7" t="s">
        <v>845</v>
      </c>
      <c r="D56" s="7" t="s">
        <v>845</v>
      </c>
      <c r="E56" s="7" t="s">
        <v>845</v>
      </c>
      <c r="F56" s="7" t="s">
        <v>933</v>
      </c>
      <c r="G56" s="7" t="s">
        <v>867</v>
      </c>
      <c r="H56" t="s">
        <v>531</v>
      </c>
      <c r="I56" t="s">
        <v>532</v>
      </c>
      <c r="J56" t="s">
        <v>20</v>
      </c>
      <c r="K56">
        <v>2020</v>
      </c>
      <c r="L56" t="s">
        <v>732</v>
      </c>
      <c r="M56" t="s">
        <v>733</v>
      </c>
      <c r="N56" t="s">
        <v>336</v>
      </c>
      <c r="P56" s="16"/>
    </row>
    <row r="57" spans="1:16" x14ac:dyDescent="0.2">
      <c r="A57">
        <f t="shared" si="0"/>
        <v>56</v>
      </c>
      <c r="B57" s="7">
        <v>44921</v>
      </c>
      <c r="C57" s="7" t="s">
        <v>845</v>
      </c>
      <c r="D57" s="7" t="s">
        <v>845</v>
      </c>
      <c r="E57" s="7" t="s">
        <v>890</v>
      </c>
      <c r="F57" s="7" t="s">
        <v>913</v>
      </c>
      <c r="G57" s="7" t="s">
        <v>867</v>
      </c>
      <c r="H57" t="s">
        <v>533</v>
      </c>
      <c r="I57" t="s">
        <v>534</v>
      </c>
      <c r="J57" t="s">
        <v>277</v>
      </c>
      <c r="K57">
        <v>2020</v>
      </c>
      <c r="L57" t="s">
        <v>734</v>
      </c>
      <c r="M57" t="s">
        <v>735</v>
      </c>
      <c r="N57" t="s">
        <v>336</v>
      </c>
      <c r="P57" s="17"/>
    </row>
    <row r="58" spans="1:16" x14ac:dyDescent="0.2">
      <c r="A58">
        <f t="shared" si="0"/>
        <v>57</v>
      </c>
      <c r="B58" s="7">
        <v>44921</v>
      </c>
      <c r="C58" s="7" t="s">
        <v>845</v>
      </c>
      <c r="D58" s="7" t="s">
        <v>844</v>
      </c>
      <c r="E58" s="7" t="s">
        <v>845</v>
      </c>
      <c r="F58" s="7" t="s">
        <v>868</v>
      </c>
      <c r="G58" s="7" t="s">
        <v>867</v>
      </c>
      <c r="H58" t="s">
        <v>535</v>
      </c>
      <c r="I58" t="s">
        <v>536</v>
      </c>
      <c r="J58" t="s">
        <v>13</v>
      </c>
      <c r="K58">
        <v>2020</v>
      </c>
      <c r="L58" t="s">
        <v>736</v>
      </c>
      <c r="M58" t="s">
        <v>737</v>
      </c>
      <c r="N58" t="s">
        <v>336</v>
      </c>
      <c r="P58" s="17"/>
    </row>
    <row r="59" spans="1:16" x14ac:dyDescent="0.2">
      <c r="A59">
        <f t="shared" si="0"/>
        <v>58</v>
      </c>
      <c r="B59" s="7">
        <v>44921</v>
      </c>
      <c r="C59" s="7" t="s">
        <v>845</v>
      </c>
      <c r="D59" s="7" t="s">
        <v>844</v>
      </c>
      <c r="E59" s="7" t="s">
        <v>845</v>
      </c>
      <c r="F59" s="7" t="s">
        <v>868</v>
      </c>
      <c r="G59" s="7" t="s">
        <v>867</v>
      </c>
      <c r="H59" t="s">
        <v>537</v>
      </c>
      <c r="I59" t="s">
        <v>538</v>
      </c>
      <c r="J59" t="s">
        <v>13</v>
      </c>
      <c r="K59">
        <v>2020</v>
      </c>
      <c r="L59" t="s">
        <v>738</v>
      </c>
      <c r="M59" t="s">
        <v>739</v>
      </c>
      <c r="N59" t="s">
        <v>336</v>
      </c>
      <c r="P59" s="16"/>
    </row>
    <row r="60" spans="1:16" x14ac:dyDescent="0.2">
      <c r="A60">
        <f t="shared" si="0"/>
        <v>59</v>
      </c>
      <c r="B60" s="7">
        <v>44921</v>
      </c>
      <c r="C60" s="7" t="s">
        <v>845</v>
      </c>
      <c r="D60" s="7" t="s">
        <v>844</v>
      </c>
      <c r="E60" s="7" t="s">
        <v>845</v>
      </c>
      <c r="F60" s="7" t="s">
        <v>934</v>
      </c>
      <c r="G60" t="s">
        <v>843</v>
      </c>
      <c r="H60" t="s">
        <v>539</v>
      </c>
      <c r="I60" t="s">
        <v>540</v>
      </c>
      <c r="J60" t="s">
        <v>13</v>
      </c>
      <c r="K60">
        <v>2020</v>
      </c>
      <c r="L60" t="s">
        <v>740</v>
      </c>
      <c r="M60" t="s">
        <v>741</v>
      </c>
      <c r="N60" t="s">
        <v>336</v>
      </c>
      <c r="P60" s="17"/>
    </row>
    <row r="61" spans="1:16" x14ac:dyDescent="0.2">
      <c r="A61">
        <f t="shared" si="0"/>
        <v>60</v>
      </c>
      <c r="B61" s="7">
        <v>44921</v>
      </c>
      <c r="C61" s="7" t="s">
        <v>845</v>
      </c>
      <c r="D61" s="7" t="s">
        <v>844</v>
      </c>
      <c r="E61" s="7" t="s">
        <v>845</v>
      </c>
      <c r="F61" s="7" t="s">
        <v>935</v>
      </c>
      <c r="G61" s="7" t="s">
        <v>867</v>
      </c>
      <c r="H61" t="s">
        <v>541</v>
      </c>
      <c r="I61" t="s">
        <v>542</v>
      </c>
      <c r="J61" t="s">
        <v>290</v>
      </c>
      <c r="K61">
        <v>2020</v>
      </c>
      <c r="L61" t="s">
        <v>742</v>
      </c>
      <c r="M61" t="s">
        <v>743</v>
      </c>
      <c r="N61" t="s">
        <v>336</v>
      </c>
      <c r="P61" s="16"/>
    </row>
    <row r="62" spans="1:16" x14ac:dyDescent="0.2">
      <c r="A62">
        <f t="shared" si="0"/>
        <v>61</v>
      </c>
      <c r="B62" s="7">
        <v>44921</v>
      </c>
      <c r="C62" s="7" t="s">
        <v>845</v>
      </c>
      <c r="D62" s="7" t="s">
        <v>844</v>
      </c>
      <c r="E62" s="7" t="s">
        <v>845</v>
      </c>
      <c r="F62" s="7" t="s">
        <v>936</v>
      </c>
      <c r="G62" s="7" t="s">
        <v>867</v>
      </c>
      <c r="H62" t="s">
        <v>543</v>
      </c>
      <c r="I62" t="s">
        <v>544</v>
      </c>
      <c r="J62" t="s">
        <v>13</v>
      </c>
      <c r="K62">
        <v>2020</v>
      </c>
      <c r="L62" t="s">
        <v>744</v>
      </c>
      <c r="M62" t="s">
        <v>745</v>
      </c>
      <c r="N62" t="s">
        <v>336</v>
      </c>
      <c r="P62" s="17"/>
    </row>
    <row r="63" spans="1:16" x14ac:dyDescent="0.2">
      <c r="A63">
        <f t="shared" si="0"/>
        <v>62</v>
      </c>
      <c r="B63" s="7">
        <v>44921</v>
      </c>
      <c r="C63" s="7" t="s">
        <v>845</v>
      </c>
      <c r="D63" s="7" t="s">
        <v>844</v>
      </c>
      <c r="E63" s="7" t="s">
        <v>845</v>
      </c>
      <c r="F63" s="7" t="s">
        <v>937</v>
      </c>
      <c r="G63" s="7" t="s">
        <v>867</v>
      </c>
      <c r="H63" t="s">
        <v>545</v>
      </c>
      <c r="I63" t="s">
        <v>546</v>
      </c>
      <c r="J63" t="s">
        <v>712</v>
      </c>
      <c r="K63">
        <v>2020</v>
      </c>
      <c r="L63" t="s">
        <v>746</v>
      </c>
      <c r="M63" t="s">
        <v>747</v>
      </c>
      <c r="N63" t="s">
        <v>336</v>
      </c>
    </row>
    <row r="64" spans="1:16" x14ac:dyDescent="0.2">
      <c r="A64">
        <f t="shared" si="0"/>
        <v>63</v>
      </c>
      <c r="B64" s="7">
        <v>44921</v>
      </c>
      <c r="C64" s="7" t="s">
        <v>845</v>
      </c>
      <c r="D64" s="7" t="s">
        <v>844</v>
      </c>
      <c r="E64" s="7" t="s">
        <v>845</v>
      </c>
      <c r="F64" s="7" t="s">
        <v>868</v>
      </c>
      <c r="G64" s="7" t="s">
        <v>867</v>
      </c>
      <c r="H64" t="s">
        <v>547</v>
      </c>
      <c r="I64" t="s">
        <v>548</v>
      </c>
      <c r="J64" t="s">
        <v>509</v>
      </c>
      <c r="K64">
        <v>2020</v>
      </c>
      <c r="L64" t="s">
        <v>549</v>
      </c>
      <c r="M64" t="s">
        <v>748</v>
      </c>
      <c r="N64" t="s">
        <v>336</v>
      </c>
      <c r="P64" s="16"/>
    </row>
    <row r="65" spans="1:16" x14ac:dyDescent="0.2">
      <c r="A65">
        <f t="shared" si="0"/>
        <v>64</v>
      </c>
      <c r="B65" s="7">
        <v>44921</v>
      </c>
      <c r="C65" s="7" t="s">
        <v>845</v>
      </c>
      <c r="D65" s="7" t="s">
        <v>845</v>
      </c>
      <c r="E65" s="7" t="s">
        <v>845</v>
      </c>
      <c r="F65" s="7" t="s">
        <v>939</v>
      </c>
      <c r="G65" s="7" t="s">
        <v>867</v>
      </c>
      <c r="H65" t="s">
        <v>550</v>
      </c>
      <c r="I65" t="s">
        <v>551</v>
      </c>
      <c r="J65" t="s">
        <v>8</v>
      </c>
      <c r="K65">
        <v>2020</v>
      </c>
      <c r="L65" t="s">
        <v>750</v>
      </c>
      <c r="M65" t="s">
        <v>749</v>
      </c>
      <c r="N65" t="s">
        <v>336</v>
      </c>
      <c r="P65" s="17"/>
    </row>
    <row r="66" spans="1:16" x14ac:dyDescent="0.2">
      <c r="A66">
        <f t="shared" si="0"/>
        <v>65</v>
      </c>
      <c r="B66" s="7">
        <v>44921</v>
      </c>
      <c r="C66" s="7" t="s">
        <v>845</v>
      </c>
      <c r="D66" s="7" t="s">
        <v>844</v>
      </c>
      <c r="E66" s="7" t="s">
        <v>845</v>
      </c>
      <c r="F66" s="7" t="s">
        <v>868</v>
      </c>
      <c r="G66" s="7" t="s">
        <v>867</v>
      </c>
      <c r="H66" t="s">
        <v>552</v>
      </c>
      <c r="I66" t="s">
        <v>553</v>
      </c>
      <c r="J66" t="s">
        <v>24</v>
      </c>
      <c r="K66">
        <v>2020</v>
      </c>
      <c r="L66" t="s">
        <v>751</v>
      </c>
      <c r="M66" t="s">
        <v>752</v>
      </c>
      <c r="N66" t="s">
        <v>336</v>
      </c>
      <c r="P66" s="16"/>
    </row>
    <row r="67" spans="1:16" x14ac:dyDescent="0.2">
      <c r="A67">
        <f t="shared" si="0"/>
        <v>66</v>
      </c>
      <c r="B67" s="7">
        <v>44921</v>
      </c>
      <c r="C67" s="7" t="s">
        <v>845</v>
      </c>
      <c r="D67" s="7" t="s">
        <v>844</v>
      </c>
      <c r="E67" s="7" t="s">
        <v>845</v>
      </c>
      <c r="F67" s="7" t="s">
        <v>940</v>
      </c>
      <c r="G67" s="7" t="s">
        <v>867</v>
      </c>
      <c r="H67" t="s">
        <v>554</v>
      </c>
      <c r="I67" t="s">
        <v>555</v>
      </c>
      <c r="J67" t="s">
        <v>20</v>
      </c>
      <c r="K67">
        <v>2020</v>
      </c>
      <c r="L67" t="s">
        <v>753</v>
      </c>
      <c r="M67" t="s">
        <v>754</v>
      </c>
      <c r="N67" t="s">
        <v>336</v>
      </c>
      <c r="P67" s="17"/>
    </row>
    <row r="68" spans="1:16" x14ac:dyDescent="0.2">
      <c r="A68">
        <f t="shared" ref="A68:A127" si="1">A67+1</f>
        <v>67</v>
      </c>
      <c r="B68" s="7">
        <v>44921</v>
      </c>
      <c r="C68" s="7" t="s">
        <v>845</v>
      </c>
      <c r="D68" s="7" t="s">
        <v>845</v>
      </c>
      <c r="E68" s="7" t="s">
        <v>845</v>
      </c>
      <c r="F68" s="7" t="s">
        <v>941</v>
      </c>
      <c r="G68" t="s">
        <v>843</v>
      </c>
      <c r="H68" t="s">
        <v>556</v>
      </c>
      <c r="I68" t="s">
        <v>557</v>
      </c>
      <c r="J68" t="s">
        <v>558</v>
      </c>
      <c r="K68">
        <v>2020</v>
      </c>
      <c r="L68" t="s">
        <v>559</v>
      </c>
      <c r="M68" t="s">
        <v>755</v>
      </c>
      <c r="N68" t="s">
        <v>336</v>
      </c>
      <c r="P68" s="16"/>
    </row>
    <row r="69" spans="1:16" x14ac:dyDescent="0.2">
      <c r="A69">
        <f t="shared" si="1"/>
        <v>68</v>
      </c>
      <c r="B69" s="7">
        <v>44921</v>
      </c>
      <c r="C69" s="7" t="s">
        <v>845</v>
      </c>
      <c r="D69" s="7" t="s">
        <v>844</v>
      </c>
      <c r="E69" s="7" t="s">
        <v>845</v>
      </c>
      <c r="F69" s="7" t="s">
        <v>868</v>
      </c>
      <c r="G69" s="7" t="s">
        <v>867</v>
      </c>
      <c r="H69" t="s">
        <v>560</v>
      </c>
      <c r="I69" t="s">
        <v>561</v>
      </c>
      <c r="J69" t="s">
        <v>8</v>
      </c>
      <c r="K69">
        <v>2020</v>
      </c>
      <c r="L69" t="s">
        <v>756</v>
      </c>
      <c r="M69" t="s">
        <v>757</v>
      </c>
      <c r="N69" t="s">
        <v>336</v>
      </c>
      <c r="P69" s="17"/>
    </row>
    <row r="70" spans="1:16" x14ac:dyDescent="0.2">
      <c r="A70">
        <f t="shared" si="1"/>
        <v>69</v>
      </c>
      <c r="B70" s="7">
        <v>44921</v>
      </c>
      <c r="C70" s="7" t="s">
        <v>915</v>
      </c>
      <c r="D70" s="7" t="s">
        <v>845</v>
      </c>
      <c r="E70" s="7" t="s">
        <v>919</v>
      </c>
      <c r="F70" s="7" t="s">
        <v>947</v>
      </c>
      <c r="G70" s="7" t="s">
        <v>867</v>
      </c>
      <c r="H70" t="s">
        <v>366</v>
      </c>
      <c r="I70" t="s">
        <v>297</v>
      </c>
      <c r="J70" t="s">
        <v>411</v>
      </c>
      <c r="K70">
        <v>2021</v>
      </c>
      <c r="L70" t="s">
        <v>299</v>
      </c>
      <c r="M70" t="s">
        <v>301</v>
      </c>
      <c r="N70" t="s">
        <v>303</v>
      </c>
      <c r="P70" s="17"/>
    </row>
    <row r="71" spans="1:16" x14ac:dyDescent="0.2">
      <c r="A71">
        <f t="shared" si="1"/>
        <v>70</v>
      </c>
      <c r="B71" s="7">
        <v>44921</v>
      </c>
      <c r="C71" s="7" t="s">
        <v>915</v>
      </c>
      <c r="D71" s="7" t="s">
        <v>845</v>
      </c>
      <c r="E71" s="7" t="s">
        <v>845</v>
      </c>
      <c r="F71" s="7" t="s">
        <v>942</v>
      </c>
      <c r="G71" s="7" t="s">
        <v>867</v>
      </c>
      <c r="H71" t="s">
        <v>367</v>
      </c>
      <c r="I71" t="s">
        <v>368</v>
      </c>
      <c r="J71" t="s">
        <v>25</v>
      </c>
      <c r="K71">
        <v>2021</v>
      </c>
      <c r="L71" t="s">
        <v>287</v>
      </c>
      <c r="M71" t="s">
        <v>369</v>
      </c>
      <c r="N71" t="s">
        <v>303</v>
      </c>
      <c r="P71" s="17"/>
    </row>
    <row r="72" spans="1:16" x14ac:dyDescent="0.2">
      <c r="A72">
        <f t="shared" si="1"/>
        <v>71</v>
      </c>
      <c r="B72" s="7">
        <v>44921</v>
      </c>
      <c r="C72" s="7" t="s">
        <v>915</v>
      </c>
      <c r="D72" s="7" t="s">
        <v>845</v>
      </c>
      <c r="E72" s="7" t="s">
        <v>845</v>
      </c>
      <c r="F72" s="7" t="s">
        <v>891</v>
      </c>
      <c r="G72" s="7" t="s">
        <v>867</v>
      </c>
      <c r="H72" t="s">
        <v>370</v>
      </c>
      <c r="I72" t="s">
        <v>371</v>
      </c>
      <c r="J72" t="s">
        <v>288</v>
      </c>
      <c r="K72">
        <v>2021</v>
      </c>
      <c r="L72" t="s">
        <v>289</v>
      </c>
      <c r="M72" t="s">
        <v>372</v>
      </c>
      <c r="N72" t="s">
        <v>303</v>
      </c>
      <c r="P72" s="16"/>
    </row>
    <row r="73" spans="1:16" x14ac:dyDescent="0.2">
      <c r="A73">
        <f t="shared" si="1"/>
        <v>72</v>
      </c>
      <c r="B73" s="7">
        <v>44916</v>
      </c>
      <c r="C73" t="s">
        <v>914</v>
      </c>
      <c r="D73" t="s">
        <v>844</v>
      </c>
      <c r="E73" t="s">
        <v>845</v>
      </c>
      <c r="G73" t="s">
        <v>329</v>
      </c>
      <c r="H73" t="s">
        <v>562</v>
      </c>
      <c r="I73" t="s">
        <v>563</v>
      </c>
      <c r="J73" t="s">
        <v>25</v>
      </c>
      <c r="K73">
        <v>2021</v>
      </c>
      <c r="L73" t="s">
        <v>564</v>
      </c>
      <c r="M73" t="s">
        <v>565</v>
      </c>
      <c r="N73" t="s">
        <v>303</v>
      </c>
    </row>
    <row r="74" spans="1:16" x14ac:dyDescent="0.2">
      <c r="A74">
        <f t="shared" si="1"/>
        <v>73</v>
      </c>
      <c r="B74" s="7"/>
      <c r="C74" s="7" t="s">
        <v>915</v>
      </c>
      <c r="D74" s="7" t="s">
        <v>844</v>
      </c>
      <c r="E74" s="7" t="s">
        <v>845</v>
      </c>
      <c r="G74" s="7" t="s">
        <v>245</v>
      </c>
      <c r="H74" t="s">
        <v>373</v>
      </c>
      <c r="I74" t="s">
        <v>374</v>
      </c>
      <c r="J74" t="s">
        <v>277</v>
      </c>
      <c r="K74">
        <v>2021</v>
      </c>
      <c r="L74" t="s">
        <v>286</v>
      </c>
      <c r="M74" t="s">
        <v>375</v>
      </c>
      <c r="N74" t="s">
        <v>376</v>
      </c>
      <c r="P74" s="16"/>
    </row>
    <row r="75" spans="1:16" x14ac:dyDescent="0.2">
      <c r="A75">
        <f t="shared" si="1"/>
        <v>74</v>
      </c>
      <c r="C75" s="7" t="s">
        <v>915</v>
      </c>
      <c r="D75" s="7" t="s">
        <v>844</v>
      </c>
      <c r="E75" s="7" t="s">
        <v>845</v>
      </c>
      <c r="G75" s="7" t="s">
        <v>245</v>
      </c>
      <c r="H75" t="s">
        <v>377</v>
      </c>
      <c r="I75" t="s">
        <v>378</v>
      </c>
      <c r="J75" t="s">
        <v>21</v>
      </c>
      <c r="K75">
        <v>2021</v>
      </c>
      <c r="L75" t="s">
        <v>285</v>
      </c>
      <c r="M75" t="s">
        <v>379</v>
      </c>
      <c r="N75" t="s">
        <v>7</v>
      </c>
      <c r="P75" s="17"/>
    </row>
    <row r="76" spans="1:16" x14ac:dyDescent="0.2">
      <c r="A76">
        <f t="shared" si="1"/>
        <v>75</v>
      </c>
      <c r="B76" s="7">
        <v>44921</v>
      </c>
      <c r="C76" s="7" t="s">
        <v>915</v>
      </c>
      <c r="D76" s="7" t="s">
        <v>845</v>
      </c>
      <c r="E76" s="7" t="s">
        <v>890</v>
      </c>
      <c r="F76" t="s">
        <v>913</v>
      </c>
      <c r="G76" s="7" t="s">
        <v>867</v>
      </c>
      <c r="H76" t="s">
        <v>566</v>
      </c>
      <c r="I76" t="s">
        <v>567</v>
      </c>
      <c r="J76" t="s">
        <v>411</v>
      </c>
      <c r="K76">
        <v>2021</v>
      </c>
      <c r="L76" t="s">
        <v>758</v>
      </c>
      <c r="M76" t="s">
        <v>759</v>
      </c>
      <c r="N76" t="s">
        <v>336</v>
      </c>
      <c r="P76" s="17"/>
    </row>
    <row r="77" spans="1:16" x14ac:dyDescent="0.2">
      <c r="A77">
        <f t="shared" si="1"/>
        <v>76</v>
      </c>
      <c r="B77" s="7">
        <v>44921</v>
      </c>
      <c r="C77" s="7" t="s">
        <v>845</v>
      </c>
      <c r="D77" s="7" t="s">
        <v>844</v>
      </c>
      <c r="E77" s="7" t="s">
        <v>845</v>
      </c>
      <c r="F77" t="s">
        <v>868</v>
      </c>
      <c r="G77" s="7" t="s">
        <v>867</v>
      </c>
      <c r="H77" t="s">
        <v>568</v>
      </c>
      <c r="I77" t="s">
        <v>569</v>
      </c>
      <c r="J77" t="s">
        <v>761</v>
      </c>
      <c r="K77">
        <v>2021</v>
      </c>
      <c r="L77" t="s">
        <v>762</v>
      </c>
      <c r="M77" t="s">
        <v>760</v>
      </c>
      <c r="N77" t="s">
        <v>336</v>
      </c>
      <c r="P77" s="16"/>
    </row>
    <row r="78" spans="1:16" x14ac:dyDescent="0.2">
      <c r="A78">
        <f t="shared" si="1"/>
        <v>77</v>
      </c>
      <c r="C78" s="7" t="s">
        <v>915</v>
      </c>
      <c r="D78" s="7" t="s">
        <v>844</v>
      </c>
      <c r="E78" s="7" t="s">
        <v>919</v>
      </c>
      <c r="G78" s="7" t="s">
        <v>245</v>
      </c>
      <c r="H78" t="s">
        <v>570</v>
      </c>
      <c r="I78" t="s">
        <v>571</v>
      </c>
      <c r="J78" t="s">
        <v>764</v>
      </c>
      <c r="K78">
        <v>2021</v>
      </c>
      <c r="L78" t="s">
        <v>572</v>
      </c>
      <c r="M78" t="s">
        <v>763</v>
      </c>
      <c r="N78" t="s">
        <v>336</v>
      </c>
    </row>
    <row r="79" spans="1:16" x14ac:dyDescent="0.2">
      <c r="A79">
        <f t="shared" si="1"/>
        <v>78</v>
      </c>
      <c r="B79" s="7">
        <v>44921</v>
      </c>
      <c r="C79" s="7" t="s">
        <v>845</v>
      </c>
      <c r="D79" s="7" t="s">
        <v>844</v>
      </c>
      <c r="E79" s="7" t="s">
        <v>845</v>
      </c>
      <c r="F79" t="s">
        <v>868</v>
      </c>
      <c r="G79" s="7" t="s">
        <v>867</v>
      </c>
      <c r="H79" t="s">
        <v>573</v>
      </c>
      <c r="I79" t="s">
        <v>574</v>
      </c>
      <c r="J79" t="s">
        <v>25</v>
      </c>
      <c r="K79">
        <v>2021</v>
      </c>
      <c r="L79" t="s">
        <v>766</v>
      </c>
      <c r="M79" t="s">
        <v>765</v>
      </c>
      <c r="N79" t="s">
        <v>336</v>
      </c>
      <c r="P79" s="17"/>
    </row>
    <row r="80" spans="1:16" x14ac:dyDescent="0.2">
      <c r="A80">
        <f t="shared" si="1"/>
        <v>79</v>
      </c>
      <c r="B80" s="7">
        <v>44921</v>
      </c>
      <c r="C80" s="7" t="s">
        <v>915</v>
      </c>
      <c r="D80" s="7" t="s">
        <v>845</v>
      </c>
      <c r="E80" s="7" t="s">
        <v>890</v>
      </c>
      <c r="F80" t="s">
        <v>913</v>
      </c>
      <c r="G80" s="7" t="s">
        <v>867</v>
      </c>
      <c r="H80" t="s">
        <v>575</v>
      </c>
      <c r="I80" t="s">
        <v>576</v>
      </c>
      <c r="J80" t="s">
        <v>10</v>
      </c>
      <c r="K80">
        <v>2021</v>
      </c>
      <c r="L80" t="s">
        <v>767</v>
      </c>
      <c r="M80" t="s">
        <v>768</v>
      </c>
      <c r="N80" t="s">
        <v>336</v>
      </c>
      <c r="P80" s="17"/>
    </row>
    <row r="81" spans="1:16" x14ac:dyDescent="0.2">
      <c r="A81">
        <f t="shared" si="1"/>
        <v>80</v>
      </c>
      <c r="B81" s="7"/>
      <c r="C81" s="7" t="s">
        <v>845</v>
      </c>
      <c r="D81" s="7" t="s">
        <v>845</v>
      </c>
      <c r="E81" s="7" t="s">
        <v>890</v>
      </c>
      <c r="F81" t="s">
        <v>943</v>
      </c>
      <c r="G81" s="7" t="s">
        <v>843</v>
      </c>
      <c r="H81" t="s">
        <v>577</v>
      </c>
      <c r="I81" t="s">
        <v>578</v>
      </c>
      <c r="J81" t="s">
        <v>281</v>
      </c>
      <c r="K81">
        <v>2021</v>
      </c>
      <c r="L81" t="s">
        <v>769</v>
      </c>
      <c r="M81" t="s">
        <v>770</v>
      </c>
      <c r="N81" t="s">
        <v>336</v>
      </c>
      <c r="P81" s="17"/>
    </row>
    <row r="82" spans="1:16" x14ac:dyDescent="0.2">
      <c r="A82">
        <f t="shared" si="1"/>
        <v>81</v>
      </c>
      <c r="B82" s="7">
        <v>44921</v>
      </c>
      <c r="C82" s="7" t="s">
        <v>845</v>
      </c>
      <c r="D82" s="7" t="s">
        <v>844</v>
      </c>
      <c r="E82" s="7" t="s">
        <v>845</v>
      </c>
      <c r="F82" t="s">
        <v>868</v>
      </c>
      <c r="G82" s="7" t="s">
        <v>867</v>
      </c>
      <c r="H82" t="s">
        <v>579</v>
      </c>
      <c r="I82" t="s">
        <v>580</v>
      </c>
      <c r="J82" t="s">
        <v>13</v>
      </c>
      <c r="K82">
        <v>2021</v>
      </c>
      <c r="L82" t="s">
        <v>771</v>
      </c>
      <c r="M82" t="s">
        <v>772</v>
      </c>
      <c r="N82" t="s">
        <v>336</v>
      </c>
      <c r="P82" s="17"/>
    </row>
    <row r="83" spans="1:16" x14ac:dyDescent="0.2">
      <c r="A83">
        <f t="shared" si="1"/>
        <v>82</v>
      </c>
      <c r="B83" s="7">
        <v>44921</v>
      </c>
      <c r="C83" s="7" t="s">
        <v>845</v>
      </c>
      <c r="D83" s="7" t="s">
        <v>844</v>
      </c>
      <c r="E83" s="7" t="s">
        <v>845</v>
      </c>
      <c r="F83" t="s">
        <v>868</v>
      </c>
      <c r="G83" s="7" t="s">
        <v>867</v>
      </c>
      <c r="H83" t="s">
        <v>581</v>
      </c>
      <c r="I83" t="s">
        <v>582</v>
      </c>
      <c r="J83" t="s">
        <v>281</v>
      </c>
      <c r="K83">
        <v>2021</v>
      </c>
      <c r="L83" t="s">
        <v>773</v>
      </c>
      <c r="M83" t="s">
        <v>774</v>
      </c>
      <c r="N83" t="s">
        <v>336</v>
      </c>
      <c r="P83" s="17"/>
    </row>
    <row r="84" spans="1:16" x14ac:dyDescent="0.2">
      <c r="A84">
        <f t="shared" si="1"/>
        <v>83</v>
      </c>
      <c r="B84" s="7">
        <v>44916</v>
      </c>
      <c r="C84" t="s">
        <v>845</v>
      </c>
      <c r="D84" t="s">
        <v>844</v>
      </c>
      <c r="E84" t="s">
        <v>845</v>
      </c>
      <c r="G84" t="s">
        <v>867</v>
      </c>
      <c r="H84" t="s">
        <v>583</v>
      </c>
      <c r="I84" t="s">
        <v>584</v>
      </c>
      <c r="J84" t="s">
        <v>290</v>
      </c>
      <c r="K84">
        <v>2021</v>
      </c>
      <c r="L84" t="s">
        <v>775</v>
      </c>
      <c r="M84" t="s">
        <v>776</v>
      </c>
      <c r="N84" t="s">
        <v>336</v>
      </c>
    </row>
    <row r="85" spans="1:16" x14ac:dyDescent="0.2">
      <c r="A85">
        <f t="shared" si="1"/>
        <v>84</v>
      </c>
      <c r="B85" s="7">
        <v>44921</v>
      </c>
      <c r="C85" s="7" t="s">
        <v>845</v>
      </c>
      <c r="D85" s="7" t="s">
        <v>844</v>
      </c>
      <c r="E85" s="7" t="s">
        <v>845</v>
      </c>
      <c r="F85" t="s">
        <v>868</v>
      </c>
      <c r="G85" s="7" t="s">
        <v>867</v>
      </c>
      <c r="H85" t="s">
        <v>585</v>
      </c>
      <c r="I85" t="s">
        <v>586</v>
      </c>
      <c r="J85" t="s">
        <v>410</v>
      </c>
      <c r="K85">
        <v>2021</v>
      </c>
      <c r="L85" t="s">
        <v>777</v>
      </c>
      <c r="M85" t="s">
        <v>778</v>
      </c>
      <c r="N85" t="s">
        <v>336</v>
      </c>
      <c r="P85" s="16"/>
    </row>
    <row r="86" spans="1:16" x14ac:dyDescent="0.2">
      <c r="A86">
        <f t="shared" si="1"/>
        <v>85</v>
      </c>
      <c r="B86" s="7">
        <v>44921</v>
      </c>
      <c r="C86" s="7" t="s">
        <v>845</v>
      </c>
      <c r="D86" s="7" t="s">
        <v>845</v>
      </c>
      <c r="E86" s="7" t="s">
        <v>845</v>
      </c>
      <c r="F86" t="s">
        <v>924</v>
      </c>
      <c r="G86" s="7" t="s">
        <v>867</v>
      </c>
      <c r="H86" t="s">
        <v>587</v>
      </c>
      <c r="I86" t="s">
        <v>588</v>
      </c>
      <c r="J86" t="s">
        <v>398</v>
      </c>
      <c r="K86">
        <v>2021</v>
      </c>
      <c r="L86" t="s">
        <v>779</v>
      </c>
      <c r="M86" t="s">
        <v>780</v>
      </c>
      <c r="N86" t="s">
        <v>336</v>
      </c>
      <c r="P86" s="17"/>
    </row>
    <row r="87" spans="1:16" x14ac:dyDescent="0.2">
      <c r="A87">
        <f t="shared" si="1"/>
        <v>86</v>
      </c>
      <c r="B87" s="7">
        <v>44921</v>
      </c>
      <c r="C87" s="7" t="s">
        <v>845</v>
      </c>
      <c r="D87" s="7" t="s">
        <v>844</v>
      </c>
      <c r="E87" s="7" t="s">
        <v>845</v>
      </c>
      <c r="F87" t="s">
        <v>868</v>
      </c>
      <c r="G87" s="7" t="s">
        <v>867</v>
      </c>
      <c r="H87" t="s">
        <v>589</v>
      </c>
      <c r="I87" t="s">
        <v>590</v>
      </c>
      <c r="J87" t="s">
        <v>410</v>
      </c>
      <c r="K87">
        <v>2021</v>
      </c>
      <c r="L87" t="s">
        <v>781</v>
      </c>
      <c r="M87" t="s">
        <v>782</v>
      </c>
      <c r="N87" t="s">
        <v>336</v>
      </c>
      <c r="P87" s="16"/>
    </row>
    <row r="88" spans="1:16" x14ac:dyDescent="0.2">
      <c r="A88">
        <f t="shared" si="1"/>
        <v>87</v>
      </c>
      <c r="B88" s="7"/>
      <c r="C88" s="7" t="s">
        <v>845</v>
      </c>
      <c r="D88" s="7" t="s">
        <v>845</v>
      </c>
      <c r="E88" s="7" t="s">
        <v>845</v>
      </c>
      <c r="F88" t="s">
        <v>944</v>
      </c>
      <c r="G88" t="s">
        <v>843</v>
      </c>
      <c r="H88" t="s">
        <v>591</v>
      </c>
      <c r="I88" t="s">
        <v>592</v>
      </c>
      <c r="J88" t="s">
        <v>382</v>
      </c>
      <c r="K88">
        <v>2021</v>
      </c>
      <c r="L88" t="s">
        <v>593</v>
      </c>
      <c r="M88" t="s">
        <v>783</v>
      </c>
      <c r="N88" t="s">
        <v>336</v>
      </c>
      <c r="P88" s="17"/>
    </row>
    <row r="89" spans="1:16" x14ac:dyDescent="0.2">
      <c r="A89">
        <f t="shared" si="1"/>
        <v>88</v>
      </c>
      <c r="B89" s="7">
        <v>44921</v>
      </c>
      <c r="C89" s="7" t="s">
        <v>845</v>
      </c>
      <c r="D89" s="7" t="s">
        <v>844</v>
      </c>
      <c r="E89" s="7" t="s">
        <v>845</v>
      </c>
      <c r="F89" t="s">
        <v>868</v>
      </c>
      <c r="G89" s="7" t="s">
        <v>867</v>
      </c>
      <c r="H89" t="s">
        <v>594</v>
      </c>
      <c r="I89" t="s">
        <v>595</v>
      </c>
      <c r="J89" t="s">
        <v>784</v>
      </c>
      <c r="K89">
        <v>2021</v>
      </c>
      <c r="L89" t="s">
        <v>785</v>
      </c>
      <c r="M89" t="s">
        <v>786</v>
      </c>
      <c r="N89" t="s">
        <v>336</v>
      </c>
      <c r="P89" s="17"/>
    </row>
    <row r="90" spans="1:16" x14ac:dyDescent="0.2">
      <c r="A90">
        <f t="shared" si="1"/>
        <v>89</v>
      </c>
      <c r="B90" s="7">
        <v>44921</v>
      </c>
      <c r="C90" s="7" t="s">
        <v>845</v>
      </c>
      <c r="D90" s="7" t="s">
        <v>844</v>
      </c>
      <c r="E90" s="7" t="s">
        <v>845</v>
      </c>
      <c r="F90" t="s">
        <v>868</v>
      </c>
      <c r="G90" s="7" t="s">
        <v>867</v>
      </c>
      <c r="H90" t="s">
        <v>596</v>
      </c>
      <c r="I90" t="s">
        <v>790</v>
      </c>
      <c r="J90" t="s">
        <v>787</v>
      </c>
      <c r="K90">
        <v>2021</v>
      </c>
      <c r="L90" t="s">
        <v>788</v>
      </c>
      <c r="M90" t="s">
        <v>789</v>
      </c>
      <c r="N90" t="s">
        <v>336</v>
      </c>
      <c r="P90" s="17"/>
    </row>
    <row r="91" spans="1:16" x14ac:dyDescent="0.2">
      <c r="A91">
        <f t="shared" si="1"/>
        <v>90</v>
      </c>
      <c r="B91" s="7">
        <v>44921</v>
      </c>
      <c r="C91" s="7" t="s">
        <v>845</v>
      </c>
      <c r="D91" s="7" t="s">
        <v>845</v>
      </c>
      <c r="E91" s="7" t="s">
        <v>845</v>
      </c>
      <c r="F91" t="s">
        <v>891</v>
      </c>
      <c r="G91" s="7" t="s">
        <v>867</v>
      </c>
      <c r="H91" t="s">
        <v>597</v>
      </c>
      <c r="I91" t="s">
        <v>598</v>
      </c>
      <c r="J91" t="s">
        <v>791</v>
      </c>
      <c r="K91">
        <v>2021</v>
      </c>
      <c r="M91" t="s">
        <v>792</v>
      </c>
      <c r="N91" t="s">
        <v>336</v>
      </c>
      <c r="P91" s="17"/>
    </row>
    <row r="92" spans="1:16" x14ac:dyDescent="0.2">
      <c r="A92">
        <f t="shared" si="1"/>
        <v>91</v>
      </c>
      <c r="B92" s="7">
        <v>44921</v>
      </c>
      <c r="C92" s="7" t="s">
        <v>845</v>
      </c>
      <c r="D92" s="7" t="s">
        <v>844</v>
      </c>
      <c r="E92" s="7" t="s">
        <v>845</v>
      </c>
      <c r="F92" t="s">
        <v>945</v>
      </c>
      <c r="G92" s="7" t="s">
        <v>867</v>
      </c>
      <c r="H92" t="s">
        <v>599</v>
      </c>
      <c r="I92" t="s">
        <v>600</v>
      </c>
      <c r="J92" t="s">
        <v>509</v>
      </c>
      <c r="K92">
        <v>2021</v>
      </c>
      <c r="L92" t="s">
        <v>601</v>
      </c>
      <c r="M92" t="s">
        <v>793</v>
      </c>
      <c r="N92" t="s">
        <v>336</v>
      </c>
      <c r="P92" s="17"/>
    </row>
    <row r="93" spans="1:16" x14ac:dyDescent="0.2">
      <c r="A93">
        <f t="shared" si="1"/>
        <v>92</v>
      </c>
      <c r="B93" s="7">
        <v>44916</v>
      </c>
      <c r="C93" s="7" t="s">
        <v>845</v>
      </c>
      <c r="D93" s="7" t="s">
        <v>844</v>
      </c>
      <c r="E93" s="7" t="s">
        <v>845</v>
      </c>
      <c r="F93" t="s">
        <v>868</v>
      </c>
      <c r="G93" t="s">
        <v>867</v>
      </c>
      <c r="H93" t="s">
        <v>602</v>
      </c>
      <c r="I93" t="s">
        <v>603</v>
      </c>
      <c r="J93" t="s">
        <v>795</v>
      </c>
      <c r="K93">
        <v>2021</v>
      </c>
      <c r="L93" t="s">
        <v>794</v>
      </c>
      <c r="M93" t="s">
        <v>796</v>
      </c>
      <c r="N93" t="s">
        <v>336</v>
      </c>
      <c r="P93" s="16"/>
    </row>
    <row r="94" spans="1:16" x14ac:dyDescent="0.2">
      <c r="A94">
        <f t="shared" si="1"/>
        <v>93</v>
      </c>
      <c r="B94" s="7"/>
      <c r="C94" s="7" t="s">
        <v>845</v>
      </c>
      <c r="D94" s="7" t="s">
        <v>845</v>
      </c>
      <c r="E94" s="7" t="s">
        <v>890</v>
      </c>
      <c r="F94" t="s">
        <v>946</v>
      </c>
      <c r="G94" t="s">
        <v>843</v>
      </c>
      <c r="H94" t="s">
        <v>604</v>
      </c>
      <c r="I94" t="s">
        <v>605</v>
      </c>
      <c r="J94" t="s">
        <v>797</v>
      </c>
      <c r="K94">
        <v>2021</v>
      </c>
      <c r="L94" t="s">
        <v>606</v>
      </c>
      <c r="M94" t="s">
        <v>798</v>
      </c>
      <c r="N94" t="s">
        <v>336</v>
      </c>
      <c r="P94" s="16"/>
    </row>
    <row r="95" spans="1:16" x14ac:dyDescent="0.2">
      <c r="A95">
        <f t="shared" si="1"/>
        <v>94</v>
      </c>
      <c r="B95" s="7">
        <v>44921</v>
      </c>
      <c r="C95" s="7" t="s">
        <v>845</v>
      </c>
      <c r="D95" s="7" t="s">
        <v>844</v>
      </c>
      <c r="E95" s="7" t="s">
        <v>890</v>
      </c>
      <c r="F95" t="s">
        <v>868</v>
      </c>
      <c r="G95" s="7" t="s">
        <v>867</v>
      </c>
      <c r="H95" t="s">
        <v>607</v>
      </c>
      <c r="I95" t="s">
        <v>608</v>
      </c>
      <c r="J95" t="s">
        <v>290</v>
      </c>
      <c r="K95">
        <v>2021</v>
      </c>
      <c r="L95" t="s">
        <v>799</v>
      </c>
      <c r="M95" t="s">
        <v>800</v>
      </c>
      <c r="N95" t="s">
        <v>336</v>
      </c>
      <c r="P95" s="17"/>
    </row>
    <row r="96" spans="1:16" x14ac:dyDescent="0.2">
      <c r="A96">
        <f t="shared" si="1"/>
        <v>95</v>
      </c>
      <c r="B96" s="7">
        <v>44921</v>
      </c>
      <c r="C96" s="7" t="s">
        <v>845</v>
      </c>
      <c r="D96" s="7" t="s">
        <v>844</v>
      </c>
      <c r="E96" s="7" t="s">
        <v>845</v>
      </c>
      <c r="F96" t="s">
        <v>868</v>
      </c>
      <c r="G96" s="7" t="s">
        <v>867</v>
      </c>
      <c r="H96" t="s">
        <v>402</v>
      </c>
      <c r="I96" t="s">
        <v>403</v>
      </c>
      <c r="J96" t="s">
        <v>404</v>
      </c>
      <c r="K96">
        <v>2021</v>
      </c>
      <c r="L96" t="s">
        <v>405</v>
      </c>
      <c r="M96" t="s">
        <v>406</v>
      </c>
      <c r="N96" t="s">
        <v>9</v>
      </c>
      <c r="P96" s="17"/>
    </row>
    <row r="97" spans="1:16" x14ac:dyDescent="0.2">
      <c r="A97">
        <f t="shared" si="1"/>
        <v>96</v>
      </c>
      <c r="B97" s="7">
        <v>44921</v>
      </c>
      <c r="C97" s="7" t="s">
        <v>845</v>
      </c>
      <c r="D97" s="7" t="s">
        <v>845</v>
      </c>
      <c r="E97" s="7" t="s">
        <v>890</v>
      </c>
      <c r="F97" t="s">
        <v>913</v>
      </c>
      <c r="G97" s="7" t="s">
        <v>867</v>
      </c>
      <c r="H97" t="s">
        <v>407</v>
      </c>
      <c r="I97" t="s">
        <v>408</v>
      </c>
      <c r="J97" t="s">
        <v>8</v>
      </c>
      <c r="K97">
        <v>2021</v>
      </c>
      <c r="L97" t="s">
        <v>296</v>
      </c>
      <c r="M97" t="s">
        <v>409</v>
      </c>
      <c r="N97" t="s">
        <v>9</v>
      </c>
      <c r="P97" s="16"/>
    </row>
    <row r="98" spans="1:16" x14ac:dyDescent="0.2">
      <c r="A98">
        <f t="shared" si="1"/>
        <v>97</v>
      </c>
      <c r="C98" s="7" t="s">
        <v>915</v>
      </c>
      <c r="D98" s="7" t="s">
        <v>844</v>
      </c>
      <c r="E98" s="7" t="s">
        <v>845</v>
      </c>
      <c r="G98" s="7" t="s">
        <v>245</v>
      </c>
      <c r="H98" t="s">
        <v>383</v>
      </c>
      <c r="I98" t="s">
        <v>384</v>
      </c>
      <c r="J98" t="s">
        <v>14</v>
      </c>
      <c r="K98">
        <v>2022</v>
      </c>
      <c r="L98" t="s">
        <v>291</v>
      </c>
      <c r="M98" t="s">
        <v>385</v>
      </c>
      <c r="N98" t="s">
        <v>303</v>
      </c>
      <c r="P98" s="16"/>
    </row>
    <row r="99" spans="1:16" x14ac:dyDescent="0.2">
      <c r="A99">
        <f t="shared" si="1"/>
        <v>98</v>
      </c>
      <c r="B99" s="7">
        <v>44921</v>
      </c>
      <c r="C99" s="7" t="s">
        <v>914</v>
      </c>
      <c r="D99" s="7" t="s">
        <v>845</v>
      </c>
      <c r="E99" s="7" t="s">
        <v>845</v>
      </c>
      <c r="F99" t="s">
        <v>891</v>
      </c>
      <c r="G99" s="7" t="s">
        <v>867</v>
      </c>
      <c r="H99" t="s">
        <v>393</v>
      </c>
      <c r="I99" t="s">
        <v>609</v>
      </c>
      <c r="J99" t="s">
        <v>25</v>
      </c>
      <c r="K99">
        <v>2022</v>
      </c>
      <c r="L99" t="s">
        <v>293</v>
      </c>
      <c r="M99" t="s">
        <v>610</v>
      </c>
      <c r="N99" t="s">
        <v>303</v>
      </c>
    </row>
    <row r="100" spans="1:16" x14ac:dyDescent="0.2">
      <c r="A100">
        <f t="shared" si="1"/>
        <v>99</v>
      </c>
      <c r="B100" s="7">
        <v>44921</v>
      </c>
      <c r="C100" s="7" t="s">
        <v>915</v>
      </c>
      <c r="D100" s="7" t="s">
        <v>845</v>
      </c>
      <c r="E100" s="7" t="s">
        <v>919</v>
      </c>
      <c r="F100" t="s">
        <v>947</v>
      </c>
      <c r="G100" s="7" t="s">
        <v>867</v>
      </c>
      <c r="H100" t="s">
        <v>611</v>
      </c>
      <c r="I100" t="s">
        <v>612</v>
      </c>
      <c r="J100" t="s">
        <v>801</v>
      </c>
      <c r="K100">
        <v>2022</v>
      </c>
      <c r="L100" t="s">
        <v>613</v>
      </c>
      <c r="M100" t="s">
        <v>614</v>
      </c>
      <c r="N100" t="s">
        <v>303</v>
      </c>
      <c r="P100" s="16"/>
    </row>
    <row r="101" spans="1:16" x14ac:dyDescent="0.2">
      <c r="A101">
        <f t="shared" si="1"/>
        <v>100</v>
      </c>
      <c r="B101" s="7">
        <v>44921</v>
      </c>
      <c r="C101" s="7" t="s">
        <v>915</v>
      </c>
      <c r="D101" s="7" t="s">
        <v>845</v>
      </c>
      <c r="E101" s="7" t="s">
        <v>919</v>
      </c>
      <c r="F101" t="s">
        <v>925</v>
      </c>
      <c r="G101" s="7" t="s">
        <v>867</v>
      </c>
      <c r="H101" t="s">
        <v>386</v>
      </c>
      <c r="I101" t="s">
        <v>387</v>
      </c>
      <c r="J101" t="s">
        <v>281</v>
      </c>
      <c r="K101">
        <v>2022</v>
      </c>
      <c r="L101" t="s">
        <v>294</v>
      </c>
      <c r="M101" t="s">
        <v>388</v>
      </c>
      <c r="N101" t="s">
        <v>376</v>
      </c>
      <c r="P101" s="16"/>
    </row>
    <row r="102" spans="1:16" x14ac:dyDescent="0.2">
      <c r="A102">
        <f t="shared" si="1"/>
        <v>101</v>
      </c>
      <c r="B102" s="7">
        <v>44921</v>
      </c>
      <c r="C102" s="7" t="s">
        <v>914</v>
      </c>
      <c r="D102" s="7" t="s">
        <v>845</v>
      </c>
      <c r="E102" s="7" t="s">
        <v>845</v>
      </c>
      <c r="F102" t="s">
        <v>891</v>
      </c>
      <c r="G102" s="7" t="s">
        <v>867</v>
      </c>
      <c r="H102" t="s">
        <v>397</v>
      </c>
      <c r="I102" t="s">
        <v>615</v>
      </c>
      <c r="J102" t="s">
        <v>25</v>
      </c>
      <c r="K102">
        <v>2022</v>
      </c>
      <c r="L102" t="s">
        <v>413</v>
      </c>
      <c r="M102" t="s">
        <v>616</v>
      </c>
      <c r="N102" t="s">
        <v>376</v>
      </c>
      <c r="P102" s="16"/>
    </row>
    <row r="103" spans="1:16" x14ac:dyDescent="0.2">
      <c r="A103">
        <f t="shared" si="1"/>
        <v>102</v>
      </c>
      <c r="B103" s="7">
        <v>44921</v>
      </c>
      <c r="C103" s="7" t="s">
        <v>915</v>
      </c>
      <c r="D103" s="7" t="s">
        <v>844</v>
      </c>
      <c r="E103" s="7" t="s">
        <v>845</v>
      </c>
      <c r="F103" t="s">
        <v>948</v>
      </c>
      <c r="G103" s="7" t="s">
        <v>867</v>
      </c>
      <c r="H103" t="s">
        <v>617</v>
      </c>
      <c r="I103" t="s">
        <v>618</v>
      </c>
      <c r="J103" t="s">
        <v>8</v>
      </c>
      <c r="K103">
        <v>2022</v>
      </c>
      <c r="L103" t="s">
        <v>619</v>
      </c>
      <c r="M103" t="s">
        <v>620</v>
      </c>
      <c r="N103" t="s">
        <v>376</v>
      </c>
      <c r="P103" s="17"/>
    </row>
    <row r="104" spans="1:16" x14ac:dyDescent="0.2">
      <c r="A104">
        <f t="shared" si="1"/>
        <v>103</v>
      </c>
      <c r="B104" s="7">
        <v>44921</v>
      </c>
      <c r="C104" s="7" t="s">
        <v>915</v>
      </c>
      <c r="D104" s="7" t="s">
        <v>845</v>
      </c>
      <c r="E104" s="7" t="s">
        <v>919</v>
      </c>
      <c r="F104" t="s">
        <v>949</v>
      </c>
      <c r="G104" s="7" t="s">
        <v>867</v>
      </c>
      <c r="H104" t="s">
        <v>389</v>
      </c>
      <c r="I104" t="s">
        <v>390</v>
      </c>
      <c r="J104" t="s">
        <v>391</v>
      </c>
      <c r="K104">
        <v>2022</v>
      </c>
      <c r="L104" t="s">
        <v>300</v>
      </c>
      <c r="M104" t="s">
        <v>392</v>
      </c>
      <c r="N104" t="s">
        <v>376</v>
      </c>
    </row>
    <row r="105" spans="1:16" x14ac:dyDescent="0.2">
      <c r="A105">
        <f t="shared" si="1"/>
        <v>104</v>
      </c>
      <c r="B105" s="7">
        <v>44921</v>
      </c>
      <c r="C105" s="7" t="s">
        <v>914</v>
      </c>
      <c r="D105" s="7" t="s">
        <v>845</v>
      </c>
      <c r="E105" s="7" t="s">
        <v>845</v>
      </c>
      <c r="F105" t="s">
        <v>891</v>
      </c>
      <c r="G105" s="7" t="s">
        <v>867</v>
      </c>
      <c r="H105" t="s">
        <v>394</v>
      </c>
      <c r="I105" t="s">
        <v>395</v>
      </c>
      <c r="J105" t="s">
        <v>281</v>
      </c>
      <c r="K105">
        <v>2022</v>
      </c>
      <c r="L105" t="s">
        <v>292</v>
      </c>
      <c r="M105" t="s">
        <v>396</v>
      </c>
      <c r="N105" t="s">
        <v>7</v>
      </c>
      <c r="P105" s="17"/>
    </row>
    <row r="106" spans="1:16" x14ac:dyDescent="0.2">
      <c r="A106">
        <f t="shared" si="1"/>
        <v>105</v>
      </c>
      <c r="B106" s="7">
        <v>44921</v>
      </c>
      <c r="C106" s="7" t="s">
        <v>915</v>
      </c>
      <c r="D106" s="7" t="s">
        <v>845</v>
      </c>
      <c r="E106" s="7" t="s">
        <v>919</v>
      </c>
      <c r="F106" t="s">
        <v>950</v>
      </c>
      <c r="G106" s="7" t="s">
        <v>867</v>
      </c>
      <c r="H106" t="s">
        <v>621</v>
      </c>
      <c r="I106" t="s">
        <v>608</v>
      </c>
      <c r="J106" t="s">
        <v>290</v>
      </c>
      <c r="K106">
        <v>2022</v>
      </c>
      <c r="L106" t="s">
        <v>802</v>
      </c>
      <c r="M106" t="s">
        <v>803</v>
      </c>
      <c r="N106" t="s">
        <v>336</v>
      </c>
    </row>
    <row r="107" spans="1:16" x14ac:dyDescent="0.2">
      <c r="A107">
        <f t="shared" si="1"/>
        <v>106</v>
      </c>
      <c r="B107" s="7">
        <v>44921</v>
      </c>
      <c r="C107" s="7" t="s">
        <v>915</v>
      </c>
      <c r="D107" s="7" t="s">
        <v>845</v>
      </c>
      <c r="E107" s="7" t="s">
        <v>890</v>
      </c>
      <c r="F107" t="s">
        <v>951</v>
      </c>
      <c r="G107" s="7" t="s">
        <v>867</v>
      </c>
      <c r="H107" t="s">
        <v>622</v>
      </c>
      <c r="I107" t="s">
        <v>623</v>
      </c>
      <c r="J107" t="s">
        <v>410</v>
      </c>
      <c r="K107">
        <v>2022</v>
      </c>
      <c r="L107" t="s">
        <v>804</v>
      </c>
      <c r="M107" t="s">
        <v>805</v>
      </c>
      <c r="N107" t="s">
        <v>336</v>
      </c>
      <c r="P107" s="17"/>
    </row>
    <row r="108" spans="1:16" x14ac:dyDescent="0.2">
      <c r="A108">
        <f t="shared" si="1"/>
        <v>107</v>
      </c>
      <c r="C108" s="7" t="s">
        <v>845</v>
      </c>
      <c r="D108" s="7" t="s">
        <v>844</v>
      </c>
      <c r="E108" s="7" t="s">
        <v>845</v>
      </c>
      <c r="F108" t="s">
        <v>868</v>
      </c>
      <c r="G108" t="s">
        <v>843</v>
      </c>
      <c r="H108" t="s">
        <v>624</v>
      </c>
      <c r="I108" t="s">
        <v>625</v>
      </c>
      <c r="J108" t="s">
        <v>398</v>
      </c>
      <c r="K108">
        <v>2022</v>
      </c>
      <c r="L108" t="s">
        <v>806</v>
      </c>
      <c r="M108" t="s">
        <v>807</v>
      </c>
      <c r="N108" t="s">
        <v>336</v>
      </c>
      <c r="P108" s="16"/>
    </row>
    <row r="109" spans="1:16" x14ac:dyDescent="0.2">
      <c r="A109">
        <f t="shared" si="1"/>
        <v>108</v>
      </c>
      <c r="C109" s="7" t="s">
        <v>845</v>
      </c>
      <c r="D109" s="7" t="s">
        <v>845</v>
      </c>
      <c r="E109" s="7" t="s">
        <v>890</v>
      </c>
      <c r="F109" t="s">
        <v>946</v>
      </c>
      <c r="G109" t="s">
        <v>843</v>
      </c>
      <c r="H109" t="s">
        <v>626</v>
      </c>
      <c r="I109" t="s">
        <v>627</v>
      </c>
      <c r="J109" t="s">
        <v>411</v>
      </c>
      <c r="K109">
        <v>2022</v>
      </c>
      <c r="L109" t="s">
        <v>808</v>
      </c>
      <c r="M109" t="s">
        <v>809</v>
      </c>
      <c r="N109" t="s">
        <v>336</v>
      </c>
      <c r="P109" s="16"/>
    </row>
    <row r="110" spans="1:16" x14ac:dyDescent="0.2">
      <c r="A110">
        <f t="shared" si="1"/>
        <v>109</v>
      </c>
      <c r="B110" s="7">
        <v>44921</v>
      </c>
      <c r="C110" s="7" t="s">
        <v>845</v>
      </c>
      <c r="D110" s="7" t="s">
        <v>844</v>
      </c>
      <c r="E110" s="7" t="s">
        <v>890</v>
      </c>
      <c r="F110" t="s">
        <v>946</v>
      </c>
      <c r="G110" s="7" t="s">
        <v>867</v>
      </c>
      <c r="H110" t="s">
        <v>628</v>
      </c>
      <c r="I110" t="s">
        <v>629</v>
      </c>
      <c r="J110" t="s">
        <v>277</v>
      </c>
      <c r="K110">
        <v>2022</v>
      </c>
      <c r="L110" t="s">
        <v>810</v>
      </c>
      <c r="M110" t="s">
        <v>811</v>
      </c>
      <c r="N110" t="s">
        <v>336</v>
      </c>
      <c r="P110" s="16"/>
    </row>
    <row r="111" spans="1:16" x14ac:dyDescent="0.2">
      <c r="A111">
        <f t="shared" si="1"/>
        <v>110</v>
      </c>
      <c r="B111" s="7">
        <v>44921</v>
      </c>
      <c r="C111" s="7" t="s">
        <v>845</v>
      </c>
      <c r="D111" s="7" t="s">
        <v>845</v>
      </c>
      <c r="E111" s="7" t="s">
        <v>890</v>
      </c>
      <c r="F111" t="s">
        <v>924</v>
      </c>
      <c r="G111" s="7" t="s">
        <v>867</v>
      </c>
      <c r="H111" t="s">
        <v>630</v>
      </c>
      <c r="I111" t="s">
        <v>631</v>
      </c>
      <c r="J111" t="s">
        <v>13</v>
      </c>
      <c r="K111">
        <v>2022</v>
      </c>
      <c r="L111" t="s">
        <v>812</v>
      </c>
      <c r="M111" t="s">
        <v>813</v>
      </c>
      <c r="N111" t="s">
        <v>336</v>
      </c>
      <c r="P111" s="16"/>
    </row>
    <row r="112" spans="1:16" x14ac:dyDescent="0.2">
      <c r="A112">
        <f t="shared" si="1"/>
        <v>111</v>
      </c>
      <c r="B112" s="7">
        <v>44921</v>
      </c>
      <c r="C112" s="7" t="s">
        <v>845</v>
      </c>
      <c r="D112" s="7" t="s">
        <v>845</v>
      </c>
      <c r="E112" s="7" t="s">
        <v>890</v>
      </c>
      <c r="F112" t="s">
        <v>924</v>
      </c>
      <c r="G112" s="7" t="s">
        <v>867</v>
      </c>
      <c r="H112" t="s">
        <v>632</v>
      </c>
      <c r="I112" t="s">
        <v>633</v>
      </c>
      <c r="J112" t="s">
        <v>814</v>
      </c>
      <c r="K112">
        <v>2022</v>
      </c>
      <c r="L112" t="s">
        <v>634</v>
      </c>
      <c r="M112" t="s">
        <v>815</v>
      </c>
      <c r="N112" t="s">
        <v>336</v>
      </c>
      <c r="P112" s="17"/>
    </row>
    <row r="113" spans="1:17" x14ac:dyDescent="0.2">
      <c r="A113">
        <f t="shared" si="1"/>
        <v>112</v>
      </c>
      <c r="B113" s="7">
        <v>44921</v>
      </c>
      <c r="C113" s="7" t="s">
        <v>845</v>
      </c>
      <c r="D113" s="7" t="s">
        <v>844</v>
      </c>
      <c r="E113" s="7" t="s">
        <v>845</v>
      </c>
      <c r="F113" t="s">
        <v>868</v>
      </c>
      <c r="G113" s="7" t="s">
        <v>867</v>
      </c>
      <c r="H113" t="s">
        <v>635</v>
      </c>
      <c r="I113" t="s">
        <v>636</v>
      </c>
      <c r="J113" t="s">
        <v>637</v>
      </c>
      <c r="K113">
        <v>2022</v>
      </c>
      <c r="L113" t="s">
        <v>638</v>
      </c>
      <c r="M113" t="s">
        <v>816</v>
      </c>
      <c r="N113" t="s">
        <v>336</v>
      </c>
      <c r="P113" s="17"/>
    </row>
    <row r="114" spans="1:17" x14ac:dyDescent="0.2">
      <c r="A114">
        <f t="shared" si="1"/>
        <v>113</v>
      </c>
      <c r="B114" s="7">
        <v>44921</v>
      </c>
      <c r="C114" s="7" t="s">
        <v>845</v>
      </c>
      <c r="D114" s="7" t="s">
        <v>844</v>
      </c>
      <c r="E114" s="7" t="s">
        <v>919</v>
      </c>
      <c r="F114" t="s">
        <v>868</v>
      </c>
      <c r="G114" s="7" t="s">
        <v>867</v>
      </c>
      <c r="H114" t="s">
        <v>639</v>
      </c>
      <c r="I114" t="s">
        <v>640</v>
      </c>
      <c r="J114" t="s">
        <v>281</v>
      </c>
      <c r="K114">
        <v>2022</v>
      </c>
      <c r="L114" t="s">
        <v>817</v>
      </c>
      <c r="M114" t="s">
        <v>818</v>
      </c>
      <c r="N114" t="s">
        <v>336</v>
      </c>
      <c r="P114" s="16"/>
    </row>
    <row r="115" spans="1:17" x14ac:dyDescent="0.2">
      <c r="A115">
        <f t="shared" si="1"/>
        <v>114</v>
      </c>
      <c r="B115" s="7">
        <v>44921</v>
      </c>
      <c r="C115" s="7" t="s">
        <v>845</v>
      </c>
      <c r="D115" s="7" t="s">
        <v>844</v>
      </c>
      <c r="E115" s="7" t="s">
        <v>845</v>
      </c>
      <c r="F115" t="s">
        <v>868</v>
      </c>
      <c r="G115" s="7" t="s">
        <v>867</v>
      </c>
      <c r="H115" t="s">
        <v>641</v>
      </c>
      <c r="I115" t="s">
        <v>642</v>
      </c>
      <c r="J115" t="s">
        <v>819</v>
      </c>
      <c r="K115">
        <v>2022</v>
      </c>
      <c r="L115" t="s">
        <v>820</v>
      </c>
      <c r="M115" t="s">
        <v>821</v>
      </c>
      <c r="N115" t="s">
        <v>336</v>
      </c>
      <c r="P115" s="16"/>
    </row>
    <row r="116" spans="1:17" x14ac:dyDescent="0.2">
      <c r="A116">
        <f t="shared" si="1"/>
        <v>115</v>
      </c>
      <c r="B116" s="7">
        <v>44921</v>
      </c>
      <c r="C116" s="7" t="s">
        <v>845</v>
      </c>
      <c r="D116" s="7" t="s">
        <v>844</v>
      </c>
      <c r="E116" s="7" t="s">
        <v>845</v>
      </c>
      <c r="F116" t="s">
        <v>868</v>
      </c>
      <c r="G116" s="7" t="s">
        <v>867</v>
      </c>
      <c r="H116" t="s">
        <v>643</v>
      </c>
      <c r="I116" t="s">
        <v>644</v>
      </c>
      <c r="J116" t="s">
        <v>822</v>
      </c>
      <c r="K116">
        <v>2022</v>
      </c>
      <c r="L116" t="s">
        <v>823</v>
      </c>
      <c r="M116" t="s">
        <v>824</v>
      </c>
      <c r="N116" t="s">
        <v>336</v>
      </c>
      <c r="P116" s="16"/>
    </row>
    <row r="117" spans="1:17" x14ac:dyDescent="0.2">
      <c r="A117">
        <f t="shared" si="1"/>
        <v>116</v>
      </c>
      <c r="B117" s="7">
        <v>44921</v>
      </c>
      <c r="C117" s="7" t="s">
        <v>845</v>
      </c>
      <c r="D117" s="7" t="s">
        <v>845</v>
      </c>
      <c r="E117" s="7" t="s">
        <v>845</v>
      </c>
      <c r="F117" t="s">
        <v>952</v>
      </c>
      <c r="G117" s="7" t="s">
        <v>867</v>
      </c>
      <c r="H117" t="s">
        <v>645</v>
      </c>
      <c r="I117" t="s">
        <v>646</v>
      </c>
      <c r="J117" t="s">
        <v>12</v>
      </c>
      <c r="K117">
        <v>2022</v>
      </c>
      <c r="L117" t="s">
        <v>825</v>
      </c>
      <c r="M117" t="s">
        <v>826</v>
      </c>
      <c r="N117" t="s">
        <v>336</v>
      </c>
    </row>
    <row r="118" spans="1:17" x14ac:dyDescent="0.2">
      <c r="A118">
        <f t="shared" si="1"/>
        <v>117</v>
      </c>
      <c r="B118" s="7">
        <v>44921</v>
      </c>
      <c r="C118" s="7" t="s">
        <v>845</v>
      </c>
      <c r="D118" s="7" t="s">
        <v>845</v>
      </c>
      <c r="E118" s="7" t="s">
        <v>890</v>
      </c>
      <c r="F118" t="s">
        <v>924</v>
      </c>
      <c r="G118" s="7" t="s">
        <v>867</v>
      </c>
      <c r="H118" t="s">
        <v>647</v>
      </c>
      <c r="I118" t="s">
        <v>648</v>
      </c>
      <c r="J118" t="s">
        <v>8</v>
      </c>
      <c r="K118">
        <v>2022</v>
      </c>
      <c r="L118" t="s">
        <v>827</v>
      </c>
      <c r="M118" t="s">
        <v>828</v>
      </c>
      <c r="N118" t="s">
        <v>336</v>
      </c>
    </row>
    <row r="119" spans="1:17" x14ac:dyDescent="0.2">
      <c r="A119">
        <f t="shared" si="1"/>
        <v>118</v>
      </c>
      <c r="B119" s="7">
        <v>44921</v>
      </c>
      <c r="C119" s="7" t="s">
        <v>845</v>
      </c>
      <c r="D119" s="7" t="s">
        <v>844</v>
      </c>
      <c r="E119" s="7" t="s">
        <v>845</v>
      </c>
      <c r="F119" t="s">
        <v>868</v>
      </c>
      <c r="G119" s="7" t="s">
        <v>867</v>
      </c>
      <c r="H119" t="s">
        <v>649</v>
      </c>
      <c r="I119" t="s">
        <v>650</v>
      </c>
      <c r="J119" t="s">
        <v>410</v>
      </c>
      <c r="K119">
        <v>2022</v>
      </c>
      <c r="L119" t="s">
        <v>829</v>
      </c>
      <c r="M119" t="s">
        <v>830</v>
      </c>
      <c r="N119" t="s">
        <v>336</v>
      </c>
    </row>
    <row r="120" spans="1:17" x14ac:dyDescent="0.2">
      <c r="A120">
        <f t="shared" si="1"/>
        <v>119</v>
      </c>
      <c r="B120" s="7">
        <v>44921</v>
      </c>
      <c r="C120" s="7" t="s">
        <v>845</v>
      </c>
      <c r="D120" s="7" t="s">
        <v>844</v>
      </c>
      <c r="E120" s="7" t="s">
        <v>845</v>
      </c>
      <c r="F120" t="s">
        <v>868</v>
      </c>
      <c r="G120" s="7" t="s">
        <v>867</v>
      </c>
      <c r="H120" t="s">
        <v>651</v>
      </c>
      <c r="I120" t="s">
        <v>652</v>
      </c>
      <c r="J120" t="s">
        <v>281</v>
      </c>
      <c r="K120">
        <v>2022</v>
      </c>
      <c r="L120" t="s">
        <v>831</v>
      </c>
      <c r="M120" t="s">
        <v>832</v>
      </c>
      <c r="N120" t="s">
        <v>336</v>
      </c>
      <c r="Q120" s="17"/>
    </row>
    <row r="121" spans="1:17" x14ac:dyDescent="0.2">
      <c r="A121">
        <f t="shared" si="1"/>
        <v>120</v>
      </c>
      <c r="B121" s="7">
        <v>44921</v>
      </c>
      <c r="C121" s="7" t="s">
        <v>845</v>
      </c>
      <c r="D121" s="7" t="s">
        <v>844</v>
      </c>
      <c r="E121" s="7" t="s">
        <v>845</v>
      </c>
      <c r="F121" t="s">
        <v>868</v>
      </c>
      <c r="G121" s="7" t="s">
        <v>867</v>
      </c>
      <c r="H121" t="s">
        <v>653</v>
      </c>
      <c r="I121" t="s">
        <v>654</v>
      </c>
      <c r="J121" t="s">
        <v>290</v>
      </c>
      <c r="K121">
        <v>2022</v>
      </c>
      <c r="L121" t="s">
        <v>833</v>
      </c>
      <c r="M121" t="s">
        <v>834</v>
      </c>
      <c r="N121" t="s">
        <v>336</v>
      </c>
    </row>
    <row r="122" spans="1:17" x14ac:dyDescent="0.2">
      <c r="A122">
        <f t="shared" si="1"/>
        <v>121</v>
      </c>
      <c r="B122" s="7">
        <v>44921</v>
      </c>
      <c r="C122" s="7" t="s">
        <v>845</v>
      </c>
      <c r="D122" s="7" t="s">
        <v>845</v>
      </c>
      <c r="E122" s="7" t="s">
        <v>845</v>
      </c>
      <c r="F122" t="s">
        <v>953</v>
      </c>
      <c r="G122" s="7" t="s">
        <v>867</v>
      </c>
      <c r="H122" t="s">
        <v>655</v>
      </c>
      <c r="I122" t="s">
        <v>656</v>
      </c>
      <c r="J122" t="s">
        <v>412</v>
      </c>
      <c r="K122">
        <v>2022</v>
      </c>
      <c r="L122" t="s">
        <v>835</v>
      </c>
      <c r="M122" t="s">
        <v>836</v>
      </c>
      <c r="N122" t="s">
        <v>336</v>
      </c>
    </row>
    <row r="123" spans="1:17" x14ac:dyDescent="0.2">
      <c r="A123">
        <f t="shared" si="1"/>
        <v>122</v>
      </c>
      <c r="B123" s="7">
        <v>44921</v>
      </c>
      <c r="C123" s="7" t="s">
        <v>845</v>
      </c>
      <c r="D123" s="7" t="s">
        <v>845</v>
      </c>
      <c r="E123" s="7" t="s">
        <v>890</v>
      </c>
      <c r="F123" t="s">
        <v>954</v>
      </c>
      <c r="G123" s="7" t="s">
        <v>867</v>
      </c>
      <c r="H123" t="s">
        <v>657</v>
      </c>
      <c r="I123" t="s">
        <v>658</v>
      </c>
      <c r="J123" t="s">
        <v>684</v>
      </c>
      <c r="K123">
        <v>2022</v>
      </c>
      <c r="L123" t="s">
        <v>837</v>
      </c>
      <c r="M123" t="s">
        <v>838</v>
      </c>
      <c r="N123" t="s">
        <v>336</v>
      </c>
    </row>
    <row r="124" spans="1:17" x14ac:dyDescent="0.2">
      <c r="A124">
        <f t="shared" si="1"/>
        <v>123</v>
      </c>
      <c r="C124" s="7" t="s">
        <v>845</v>
      </c>
      <c r="D124" s="7" t="s">
        <v>845</v>
      </c>
      <c r="E124" s="7" t="s">
        <v>845</v>
      </c>
      <c r="F124" t="s">
        <v>955</v>
      </c>
      <c r="G124" t="s">
        <v>843</v>
      </c>
      <c r="H124" t="s">
        <v>659</v>
      </c>
      <c r="I124" t="s">
        <v>660</v>
      </c>
      <c r="J124" t="s">
        <v>281</v>
      </c>
      <c r="K124">
        <v>2022</v>
      </c>
      <c r="L124" t="s">
        <v>839</v>
      </c>
      <c r="M124" t="s">
        <v>840</v>
      </c>
      <c r="N124" t="s">
        <v>336</v>
      </c>
    </row>
    <row r="125" spans="1:17" x14ac:dyDescent="0.2">
      <c r="A125">
        <f t="shared" si="1"/>
        <v>124</v>
      </c>
      <c r="C125" s="7" t="s">
        <v>845</v>
      </c>
      <c r="D125" s="7" t="s">
        <v>845</v>
      </c>
      <c r="E125" s="7" t="s">
        <v>919</v>
      </c>
      <c r="F125" t="s">
        <v>956</v>
      </c>
      <c r="G125" t="s">
        <v>843</v>
      </c>
      <c r="H125" t="s">
        <v>661</v>
      </c>
      <c r="I125" t="s">
        <v>662</v>
      </c>
      <c r="J125" t="s">
        <v>281</v>
      </c>
      <c r="K125">
        <v>2022</v>
      </c>
      <c r="L125" t="s">
        <v>841</v>
      </c>
      <c r="M125" t="s">
        <v>842</v>
      </c>
      <c r="N125" t="s">
        <v>336</v>
      </c>
    </row>
    <row r="126" spans="1:17" x14ac:dyDescent="0.2">
      <c r="A126">
        <f t="shared" si="1"/>
        <v>125</v>
      </c>
      <c r="B126" s="7">
        <v>44921</v>
      </c>
      <c r="C126" s="7" t="s">
        <v>915</v>
      </c>
      <c r="D126" s="7" t="s">
        <v>845</v>
      </c>
      <c r="E126" s="7" t="s">
        <v>919</v>
      </c>
      <c r="F126" t="s">
        <v>891</v>
      </c>
      <c r="G126" t="s">
        <v>867</v>
      </c>
      <c r="H126" t="s">
        <v>401</v>
      </c>
      <c r="I126" t="s">
        <v>298</v>
      </c>
      <c r="J126" t="s">
        <v>391</v>
      </c>
      <c r="K126">
        <v>2022</v>
      </c>
      <c r="L126" t="s">
        <v>300</v>
      </c>
      <c r="M126" t="s">
        <v>302</v>
      </c>
      <c r="N126" t="s">
        <v>303</v>
      </c>
    </row>
    <row r="127" spans="1:17" x14ac:dyDescent="0.2">
      <c r="A127">
        <f t="shared" si="1"/>
        <v>126</v>
      </c>
      <c r="B127" s="7"/>
      <c r="C127" s="7" t="s">
        <v>915</v>
      </c>
      <c r="D127" s="7" t="s">
        <v>844</v>
      </c>
      <c r="E127" s="7" t="s">
        <v>931</v>
      </c>
      <c r="G127" t="s">
        <v>245</v>
      </c>
      <c r="H127" t="s">
        <v>399</v>
      </c>
      <c r="I127" t="s">
        <v>663</v>
      </c>
      <c r="J127" t="s">
        <v>19</v>
      </c>
      <c r="K127">
        <v>2023</v>
      </c>
      <c r="L127" t="s">
        <v>295</v>
      </c>
      <c r="M127" t="s">
        <v>400</v>
      </c>
      <c r="N127" t="s">
        <v>376</v>
      </c>
    </row>
  </sheetData>
  <autoFilter ref="A1:N138" xr:uid="{1CCC84C4-D214-284B-90BC-6A2481F38F31}">
    <sortState xmlns:xlrd2="http://schemas.microsoft.com/office/spreadsheetml/2017/richdata2" ref="A2:N127">
      <sortCondition ref="K1:K138"/>
    </sortState>
  </autoFilter>
  <sortState xmlns:xlrd2="http://schemas.microsoft.com/office/spreadsheetml/2017/richdata2" ref="A2:N122">
    <sortCondition ref="K2:K122"/>
  </sortState>
  <conditionalFormatting sqref="G89:G120 G122:G127 G7:G11 G2:G5 G14:G33 G35:G58 G60:G87">
    <cfRule type="containsText" dxfId="46" priority="46" stopIfTrue="1" operator="containsText" text="NetworkProblem">
      <formula>NOT(ISERROR(SEARCH("NetworkProblem",G2)))</formula>
    </cfRule>
    <cfRule type="containsText" dxfId="45" priority="47" stopIfTrue="1" operator="containsText" text="MultiProblem">
      <formula>NOT(ISERROR(SEARCH("MultiProblem",G2)))</formula>
    </cfRule>
    <cfRule type="containsText" dxfId="44" priority="48" stopIfTrue="1" operator="containsText" text="SingleProblem">
      <formula>NOT(ISERROR(SEARCH("SingleProblem",G2)))</formula>
    </cfRule>
    <cfRule type="containsText" dxfId="43" priority="50" stopIfTrue="1" operator="containsText" text="Stand-by">
      <formula>NOT(ISERROR(SEARCH("Stand-by",G2)))</formula>
    </cfRule>
    <cfRule type="notContainsText" dxfId="42" priority="52" operator="notContains" text="OK">
      <formula>ISERROR(SEARCH("OK",G2))</formula>
    </cfRule>
  </conditionalFormatting>
  <conditionalFormatting sqref="G6">
    <cfRule type="containsText" dxfId="41" priority="36" stopIfTrue="1" operator="containsText" text="NetworkProblem">
      <formula>NOT(ISERROR(SEARCH("NetworkProblem",G6)))</formula>
    </cfRule>
    <cfRule type="containsText" dxfId="40" priority="37" stopIfTrue="1" operator="containsText" text="MultiProblem">
      <formula>NOT(ISERROR(SEARCH("MultiProblem",G6)))</formula>
    </cfRule>
    <cfRule type="containsText" dxfId="39" priority="38" stopIfTrue="1" operator="containsText" text="SingleProblem">
      <formula>NOT(ISERROR(SEARCH("SingleProblem",G6)))</formula>
    </cfRule>
    <cfRule type="containsText" dxfId="38" priority="39" stopIfTrue="1" operator="containsText" text="Stand-by">
      <formula>NOT(ISERROR(SEARCH("Stand-by",G6)))</formula>
    </cfRule>
    <cfRule type="notContainsText" dxfId="37" priority="40" operator="notContains" text="OK">
      <formula>ISERROR(SEARCH("OK",G6))</formula>
    </cfRule>
  </conditionalFormatting>
  <conditionalFormatting sqref="G12">
    <cfRule type="containsText" dxfId="36" priority="31" stopIfTrue="1" operator="containsText" text="NetworkProblem">
      <formula>NOT(ISERROR(SEARCH("NetworkProblem",G12)))</formula>
    </cfRule>
    <cfRule type="containsText" dxfId="35" priority="32" stopIfTrue="1" operator="containsText" text="MultiProblem">
      <formula>NOT(ISERROR(SEARCH("MultiProblem",G12)))</formula>
    </cfRule>
    <cfRule type="containsText" dxfId="34" priority="33" stopIfTrue="1" operator="containsText" text="SingleProblem">
      <formula>NOT(ISERROR(SEARCH("SingleProblem",G12)))</formula>
    </cfRule>
    <cfRule type="containsText" dxfId="33" priority="34" stopIfTrue="1" operator="containsText" text="Stand-by">
      <formula>NOT(ISERROR(SEARCH("Stand-by",G12)))</formula>
    </cfRule>
    <cfRule type="notContainsText" dxfId="32" priority="35" operator="notContains" text="OK">
      <formula>ISERROR(SEARCH("OK",G12))</formula>
    </cfRule>
  </conditionalFormatting>
  <conditionalFormatting sqref="G13">
    <cfRule type="containsText" dxfId="31" priority="26" stopIfTrue="1" operator="containsText" text="NetworkProblem">
      <formula>NOT(ISERROR(SEARCH("NetworkProblem",G13)))</formula>
    </cfRule>
    <cfRule type="containsText" dxfId="30" priority="27" stopIfTrue="1" operator="containsText" text="MultiProblem">
      <formula>NOT(ISERROR(SEARCH("MultiProblem",G13)))</formula>
    </cfRule>
    <cfRule type="containsText" dxfId="29" priority="28" stopIfTrue="1" operator="containsText" text="SingleProblem">
      <formula>NOT(ISERROR(SEARCH("SingleProblem",G13)))</formula>
    </cfRule>
    <cfRule type="containsText" dxfId="28" priority="29" stopIfTrue="1" operator="containsText" text="Stand-by">
      <formula>NOT(ISERROR(SEARCH("Stand-by",G13)))</formula>
    </cfRule>
    <cfRule type="notContainsText" dxfId="27" priority="30" operator="notContains" text="OK">
      <formula>ISERROR(SEARCH("OK",G13))</formula>
    </cfRule>
  </conditionalFormatting>
  <conditionalFormatting sqref="G34">
    <cfRule type="containsText" dxfId="26" priority="21" stopIfTrue="1" operator="containsText" text="NetworkProblem">
      <formula>NOT(ISERROR(SEARCH("NetworkProblem",G34)))</formula>
    </cfRule>
    <cfRule type="containsText" dxfId="25" priority="22" stopIfTrue="1" operator="containsText" text="MultiProblem">
      <formula>NOT(ISERROR(SEARCH("MultiProblem",G34)))</formula>
    </cfRule>
    <cfRule type="containsText" dxfId="24" priority="23" stopIfTrue="1" operator="containsText" text="SingleProblem">
      <formula>NOT(ISERROR(SEARCH("SingleProblem",G34)))</formula>
    </cfRule>
    <cfRule type="containsText" dxfId="23" priority="24" stopIfTrue="1" operator="containsText" text="Stand-by">
      <formula>NOT(ISERROR(SEARCH("Stand-by",G34)))</formula>
    </cfRule>
    <cfRule type="notContainsText" dxfId="22" priority="25" operator="notContains" text="OK">
      <formula>ISERROR(SEARCH("OK",G34))</formula>
    </cfRule>
  </conditionalFormatting>
  <conditionalFormatting sqref="G59">
    <cfRule type="containsText" dxfId="21" priority="16" stopIfTrue="1" operator="containsText" text="NetworkProblem">
      <formula>NOT(ISERROR(SEARCH("NetworkProblem",G59)))</formula>
    </cfRule>
    <cfRule type="containsText" dxfId="20" priority="17" stopIfTrue="1" operator="containsText" text="MultiProblem">
      <formula>NOT(ISERROR(SEARCH("MultiProblem",G59)))</formula>
    </cfRule>
    <cfRule type="containsText" dxfId="19" priority="18" stopIfTrue="1" operator="containsText" text="SingleProblem">
      <formula>NOT(ISERROR(SEARCH("SingleProblem",G59)))</formula>
    </cfRule>
    <cfRule type="containsText" dxfId="18" priority="19" stopIfTrue="1" operator="containsText" text="Stand-by">
      <formula>NOT(ISERROR(SEARCH("Stand-by",G59)))</formula>
    </cfRule>
    <cfRule type="notContainsText" dxfId="17" priority="20" operator="notContains" text="OK">
      <formula>ISERROR(SEARCH("OK",G59))</formula>
    </cfRule>
  </conditionalFormatting>
  <conditionalFormatting sqref="G88">
    <cfRule type="containsText" dxfId="16" priority="11" stopIfTrue="1" operator="containsText" text="NetworkProblem">
      <formula>NOT(ISERROR(SEARCH("NetworkProblem",G88)))</formula>
    </cfRule>
    <cfRule type="containsText" dxfId="15" priority="12" stopIfTrue="1" operator="containsText" text="MultiProblem">
      <formula>NOT(ISERROR(SEARCH("MultiProblem",G88)))</formula>
    </cfRule>
    <cfRule type="containsText" dxfId="14" priority="13" stopIfTrue="1" operator="containsText" text="SingleProblem">
      <formula>NOT(ISERROR(SEARCH("SingleProblem",G88)))</formula>
    </cfRule>
    <cfRule type="containsText" dxfId="13" priority="14" stopIfTrue="1" operator="containsText" text="Stand-by">
      <formula>NOT(ISERROR(SEARCH("Stand-by",G88)))</formula>
    </cfRule>
    <cfRule type="notContainsText" dxfId="12" priority="15" operator="notContains" text="OK">
      <formula>ISERROR(SEARCH("OK",G88))</formula>
    </cfRule>
  </conditionalFormatting>
  <conditionalFormatting sqref="G121">
    <cfRule type="containsText" dxfId="11" priority="6" stopIfTrue="1" operator="containsText" text="NetworkProblem">
      <formula>NOT(ISERROR(SEARCH("NetworkProblem",G121)))</formula>
    </cfRule>
    <cfRule type="containsText" dxfId="10" priority="7" stopIfTrue="1" operator="containsText" text="MultiProblem">
      <formula>NOT(ISERROR(SEARCH("MultiProblem",G121)))</formula>
    </cfRule>
    <cfRule type="containsText" dxfId="9" priority="8" stopIfTrue="1" operator="containsText" text="SingleProblem">
      <formula>NOT(ISERROR(SEARCH("SingleProblem",G121)))</formula>
    </cfRule>
    <cfRule type="containsText" dxfId="8" priority="9" stopIfTrue="1" operator="containsText" text="Stand-by">
      <formula>NOT(ISERROR(SEARCH("Stand-by",G121)))</formula>
    </cfRule>
    <cfRule type="notContainsText" dxfId="7" priority="10" operator="notContains" text="OK">
      <formula>ISERROR(SEARCH("OK",G121))</formula>
    </cfRule>
  </conditionalFormatting>
  <conditionalFormatting sqref="H2:H127">
    <cfRule type="containsText" dxfId="6" priority="4" stopIfTrue="1" operator="containsText" text="survey">
      <formula>NOT(ISERROR(SEARCH("survey",H2)))</formula>
    </cfRule>
    <cfRule type="containsText" dxfId="5" priority="5" operator="containsText" text="review">
      <formula>NOT(ISERROR(SEARCH("review",H2)))</formula>
    </cfRule>
  </conditionalFormatting>
  <conditionalFormatting sqref="C2:C127">
    <cfRule type="containsText" dxfId="4" priority="1" operator="containsText" text="Tri-level">
      <formula>NOT(ISERROR(SEARCH("Tri-level",C2)))</formula>
    </cfRule>
    <cfRule type="containsText" dxfId="3" priority="3" operator="containsText" text="Bi-level">
      <formula>NOT(ISERROR(SEARCH("Bi-level",C2)))</formula>
    </cfRule>
  </conditionalFormatting>
  <conditionalFormatting sqref="D2:D127">
    <cfRule type="containsText" dxfId="2" priority="2" operator="containsText" text="Yes">
      <formula>NOT(ISERROR(SEARCH("Yes",D2)))</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6A03-3DE7-FA4C-B993-C7C7A2F3853B}">
  <dimension ref="B1:U34"/>
  <sheetViews>
    <sheetView zoomScale="151" workbookViewId="0">
      <selection activeCell="F12" sqref="F12"/>
    </sheetView>
  </sheetViews>
  <sheetFormatPr baseColWidth="10" defaultRowHeight="16" customHeight="1" x14ac:dyDescent="0.15"/>
  <cols>
    <col min="1" max="1" width="1.6640625" style="29" customWidth="1"/>
    <col min="2" max="2" width="10.1640625" style="29" bestFit="1" customWidth="1"/>
    <col min="3" max="3" width="12.33203125" style="29" bestFit="1" customWidth="1"/>
    <col min="4" max="4" width="11" style="29" bestFit="1" customWidth="1"/>
    <col min="5" max="5" width="13.6640625" style="29" bestFit="1" customWidth="1"/>
    <col min="6" max="6" width="7.1640625" style="29" bestFit="1" customWidth="1"/>
    <col min="7" max="7" width="10.5" style="29" bestFit="1" customWidth="1"/>
    <col min="8" max="8" width="14.6640625" style="29" bestFit="1" customWidth="1"/>
    <col min="9" max="9" width="12.1640625" style="29" bestFit="1" customWidth="1"/>
    <col min="10" max="10" width="1.6640625" style="29" customWidth="1"/>
    <col min="11" max="11" width="13.1640625" style="29" bestFit="1" customWidth="1"/>
    <col min="12" max="12" width="15.6640625" style="29" bestFit="1" customWidth="1"/>
    <col min="13" max="13" width="19.83203125" style="29" bestFit="1" customWidth="1"/>
    <col min="14" max="14" width="5" style="29" bestFit="1" customWidth="1"/>
    <col min="15" max="15" width="9.6640625" style="29" bestFit="1" customWidth="1"/>
    <col min="16" max="16" width="10.83203125" style="29" bestFit="1" customWidth="1"/>
    <col min="17" max="17" width="16.5" style="29" bestFit="1" customWidth="1"/>
    <col min="18" max="18" width="12.33203125" style="29" bestFit="1" customWidth="1"/>
    <col min="19" max="19" width="16.5" style="29" bestFit="1" customWidth="1"/>
    <col min="20" max="20" width="17.1640625" style="29" bestFit="1" customWidth="1"/>
    <col min="21" max="21" width="21.33203125" style="29" bestFit="1" customWidth="1"/>
    <col min="22" max="254" width="10.83203125" style="29"/>
    <col min="255" max="255" width="12.5" style="29" bestFit="1" customWidth="1"/>
    <col min="256" max="256" width="12.5" style="29" customWidth="1"/>
    <col min="257" max="257" width="14.6640625" style="29" bestFit="1" customWidth="1"/>
    <col min="258" max="258" width="12.5" style="29" bestFit="1" customWidth="1"/>
    <col min="259" max="259" width="1.83203125" style="29" customWidth="1"/>
    <col min="260" max="260" width="13" style="29" bestFit="1" customWidth="1"/>
    <col min="261" max="510" width="10.83203125" style="29"/>
    <col min="511" max="511" width="12.5" style="29" bestFit="1" customWidth="1"/>
    <col min="512" max="512" width="12.5" style="29" customWidth="1"/>
    <col min="513" max="513" width="14.6640625" style="29" bestFit="1" customWidth="1"/>
    <col min="514" max="514" width="12.5" style="29" bestFit="1" customWidth="1"/>
    <col min="515" max="515" width="1.83203125" style="29" customWidth="1"/>
    <col min="516" max="516" width="13" style="29" bestFit="1" customWidth="1"/>
    <col min="517" max="766" width="10.83203125" style="29"/>
    <col min="767" max="767" width="12.5" style="29" bestFit="1" customWidth="1"/>
    <col min="768" max="768" width="12.5" style="29" customWidth="1"/>
    <col min="769" max="769" width="14.6640625" style="29" bestFit="1" customWidth="1"/>
    <col min="770" max="770" width="12.5" style="29" bestFit="1" customWidth="1"/>
    <col min="771" max="771" width="1.83203125" style="29" customWidth="1"/>
    <col min="772" max="772" width="13" style="29" bestFit="1" customWidth="1"/>
    <col min="773" max="1022" width="10.83203125" style="29"/>
    <col min="1023" max="1023" width="12.5" style="29" bestFit="1" customWidth="1"/>
    <col min="1024" max="1024" width="12.5" style="29" customWidth="1"/>
    <col min="1025" max="1025" width="14.6640625" style="29" bestFit="1" customWidth="1"/>
    <col min="1026" max="1026" width="12.5" style="29" bestFit="1" customWidth="1"/>
    <col min="1027" max="1027" width="1.83203125" style="29" customWidth="1"/>
    <col min="1028" max="1028" width="13" style="29" bestFit="1" customWidth="1"/>
    <col min="1029" max="1278" width="10.83203125" style="29"/>
    <col min="1279" max="1279" width="12.5" style="29" bestFit="1" customWidth="1"/>
    <col min="1280" max="1280" width="12.5" style="29" customWidth="1"/>
    <col min="1281" max="1281" width="14.6640625" style="29" bestFit="1" customWidth="1"/>
    <col min="1282" max="1282" width="12.5" style="29" bestFit="1" customWidth="1"/>
    <col min="1283" max="1283" width="1.83203125" style="29" customWidth="1"/>
    <col min="1284" max="1284" width="13" style="29" bestFit="1" customWidth="1"/>
    <col min="1285" max="1534" width="10.83203125" style="29"/>
    <col min="1535" max="1535" width="12.5" style="29" bestFit="1" customWidth="1"/>
    <col min="1536" max="1536" width="12.5" style="29" customWidth="1"/>
    <col min="1537" max="1537" width="14.6640625" style="29" bestFit="1" customWidth="1"/>
    <col min="1538" max="1538" width="12.5" style="29" bestFit="1" customWidth="1"/>
    <col min="1539" max="1539" width="1.83203125" style="29" customWidth="1"/>
    <col min="1540" max="1540" width="13" style="29" bestFit="1" customWidth="1"/>
    <col min="1541" max="1790" width="10.83203125" style="29"/>
    <col min="1791" max="1791" width="12.5" style="29" bestFit="1" customWidth="1"/>
    <col min="1792" max="1792" width="12.5" style="29" customWidth="1"/>
    <col min="1793" max="1793" width="14.6640625" style="29" bestFit="1" customWidth="1"/>
    <col min="1794" max="1794" width="12.5" style="29" bestFit="1" customWidth="1"/>
    <col min="1795" max="1795" width="1.83203125" style="29" customWidth="1"/>
    <col min="1796" max="1796" width="13" style="29" bestFit="1" customWidth="1"/>
    <col min="1797" max="2046" width="10.83203125" style="29"/>
    <col min="2047" max="2047" width="12.5" style="29" bestFit="1" customWidth="1"/>
    <col min="2048" max="2048" width="12.5" style="29" customWidth="1"/>
    <col min="2049" max="2049" width="14.6640625" style="29" bestFit="1" customWidth="1"/>
    <col min="2050" max="2050" width="12.5" style="29" bestFit="1" customWidth="1"/>
    <col min="2051" max="2051" width="1.83203125" style="29" customWidth="1"/>
    <col min="2052" max="2052" width="13" style="29" bestFit="1" customWidth="1"/>
    <col min="2053" max="2302" width="10.83203125" style="29"/>
    <col min="2303" max="2303" width="12.5" style="29" bestFit="1" customWidth="1"/>
    <col min="2304" max="2304" width="12.5" style="29" customWidth="1"/>
    <col min="2305" max="2305" width="14.6640625" style="29" bestFit="1" customWidth="1"/>
    <col min="2306" max="2306" width="12.5" style="29" bestFit="1" customWidth="1"/>
    <col min="2307" max="2307" width="1.83203125" style="29" customWidth="1"/>
    <col min="2308" max="2308" width="13" style="29" bestFit="1" customWidth="1"/>
    <col min="2309" max="2558" width="10.83203125" style="29"/>
    <col min="2559" max="2559" width="12.5" style="29" bestFit="1" customWidth="1"/>
    <col min="2560" max="2560" width="12.5" style="29" customWidth="1"/>
    <col min="2561" max="2561" width="14.6640625" style="29" bestFit="1" customWidth="1"/>
    <col min="2562" max="2562" width="12.5" style="29" bestFit="1" customWidth="1"/>
    <col min="2563" max="2563" width="1.83203125" style="29" customWidth="1"/>
    <col min="2564" max="2564" width="13" style="29" bestFit="1" customWidth="1"/>
    <col min="2565" max="2814" width="10.83203125" style="29"/>
    <col min="2815" max="2815" width="12.5" style="29" bestFit="1" customWidth="1"/>
    <col min="2816" max="2816" width="12.5" style="29" customWidth="1"/>
    <col min="2817" max="2817" width="14.6640625" style="29" bestFit="1" customWidth="1"/>
    <col min="2818" max="2818" width="12.5" style="29" bestFit="1" customWidth="1"/>
    <col min="2819" max="2819" width="1.83203125" style="29" customWidth="1"/>
    <col min="2820" max="2820" width="13" style="29" bestFit="1" customWidth="1"/>
    <col min="2821" max="3070" width="10.83203125" style="29"/>
    <col min="3071" max="3071" width="12.5" style="29" bestFit="1" customWidth="1"/>
    <col min="3072" max="3072" width="12.5" style="29" customWidth="1"/>
    <col min="3073" max="3073" width="14.6640625" style="29" bestFit="1" customWidth="1"/>
    <col min="3074" max="3074" width="12.5" style="29" bestFit="1" customWidth="1"/>
    <col min="3075" max="3075" width="1.83203125" style="29" customWidth="1"/>
    <col min="3076" max="3076" width="13" style="29" bestFit="1" customWidth="1"/>
    <col min="3077" max="3326" width="10.83203125" style="29"/>
    <col min="3327" max="3327" width="12.5" style="29" bestFit="1" customWidth="1"/>
    <col min="3328" max="3328" width="12.5" style="29" customWidth="1"/>
    <col min="3329" max="3329" width="14.6640625" style="29" bestFit="1" customWidth="1"/>
    <col min="3330" max="3330" width="12.5" style="29" bestFit="1" customWidth="1"/>
    <col min="3331" max="3331" width="1.83203125" style="29" customWidth="1"/>
    <col min="3332" max="3332" width="13" style="29" bestFit="1" customWidth="1"/>
    <col min="3333" max="3582" width="10.83203125" style="29"/>
    <col min="3583" max="3583" width="12.5" style="29" bestFit="1" customWidth="1"/>
    <col min="3584" max="3584" width="12.5" style="29" customWidth="1"/>
    <col min="3585" max="3585" width="14.6640625" style="29" bestFit="1" customWidth="1"/>
    <col min="3586" max="3586" width="12.5" style="29" bestFit="1" customWidth="1"/>
    <col min="3587" max="3587" width="1.83203125" style="29" customWidth="1"/>
    <col min="3588" max="3588" width="13" style="29" bestFit="1" customWidth="1"/>
    <col min="3589" max="3838" width="10.83203125" style="29"/>
    <col min="3839" max="3839" width="12.5" style="29" bestFit="1" customWidth="1"/>
    <col min="3840" max="3840" width="12.5" style="29" customWidth="1"/>
    <col min="3841" max="3841" width="14.6640625" style="29" bestFit="1" customWidth="1"/>
    <col min="3842" max="3842" width="12.5" style="29" bestFit="1" customWidth="1"/>
    <col min="3843" max="3843" width="1.83203125" style="29" customWidth="1"/>
    <col min="3844" max="3844" width="13" style="29" bestFit="1" customWidth="1"/>
    <col min="3845" max="4094" width="10.83203125" style="29"/>
    <col min="4095" max="4095" width="12.5" style="29" bestFit="1" customWidth="1"/>
    <col min="4096" max="4096" width="12.5" style="29" customWidth="1"/>
    <col min="4097" max="4097" width="14.6640625" style="29" bestFit="1" customWidth="1"/>
    <col min="4098" max="4098" width="12.5" style="29" bestFit="1" customWidth="1"/>
    <col min="4099" max="4099" width="1.83203125" style="29" customWidth="1"/>
    <col min="4100" max="4100" width="13" style="29" bestFit="1" customWidth="1"/>
    <col min="4101" max="4350" width="10.83203125" style="29"/>
    <col min="4351" max="4351" width="12.5" style="29" bestFit="1" customWidth="1"/>
    <col min="4352" max="4352" width="12.5" style="29" customWidth="1"/>
    <col min="4353" max="4353" width="14.6640625" style="29" bestFit="1" customWidth="1"/>
    <col min="4354" max="4354" width="12.5" style="29" bestFit="1" customWidth="1"/>
    <col min="4355" max="4355" width="1.83203125" style="29" customWidth="1"/>
    <col min="4356" max="4356" width="13" style="29" bestFit="1" customWidth="1"/>
    <col min="4357" max="4606" width="10.83203125" style="29"/>
    <col min="4607" max="4607" width="12.5" style="29" bestFit="1" customWidth="1"/>
    <col min="4608" max="4608" width="12.5" style="29" customWidth="1"/>
    <col min="4609" max="4609" width="14.6640625" style="29" bestFit="1" customWidth="1"/>
    <col min="4610" max="4610" width="12.5" style="29" bestFit="1" customWidth="1"/>
    <col min="4611" max="4611" width="1.83203125" style="29" customWidth="1"/>
    <col min="4612" max="4612" width="13" style="29" bestFit="1" customWidth="1"/>
    <col min="4613" max="4862" width="10.83203125" style="29"/>
    <col min="4863" max="4863" width="12.5" style="29" bestFit="1" customWidth="1"/>
    <col min="4864" max="4864" width="12.5" style="29" customWidth="1"/>
    <col min="4865" max="4865" width="14.6640625" style="29" bestFit="1" customWidth="1"/>
    <col min="4866" max="4866" width="12.5" style="29" bestFit="1" customWidth="1"/>
    <col min="4867" max="4867" width="1.83203125" style="29" customWidth="1"/>
    <col min="4868" max="4868" width="13" style="29" bestFit="1" customWidth="1"/>
    <col min="4869" max="5118" width="10.83203125" style="29"/>
    <col min="5119" max="5119" width="12.5" style="29" bestFit="1" customWidth="1"/>
    <col min="5120" max="5120" width="12.5" style="29" customWidth="1"/>
    <col min="5121" max="5121" width="14.6640625" style="29" bestFit="1" customWidth="1"/>
    <col min="5122" max="5122" width="12.5" style="29" bestFit="1" customWidth="1"/>
    <col min="5123" max="5123" width="1.83203125" style="29" customWidth="1"/>
    <col min="5124" max="5124" width="13" style="29" bestFit="1" customWidth="1"/>
    <col min="5125" max="5374" width="10.83203125" style="29"/>
    <col min="5375" max="5375" width="12.5" style="29" bestFit="1" customWidth="1"/>
    <col min="5376" max="5376" width="12.5" style="29" customWidth="1"/>
    <col min="5377" max="5377" width="14.6640625" style="29" bestFit="1" customWidth="1"/>
    <col min="5378" max="5378" width="12.5" style="29" bestFit="1" customWidth="1"/>
    <col min="5379" max="5379" width="1.83203125" style="29" customWidth="1"/>
    <col min="5380" max="5380" width="13" style="29" bestFit="1" customWidth="1"/>
    <col min="5381" max="5630" width="10.83203125" style="29"/>
    <col min="5631" max="5631" width="12.5" style="29" bestFit="1" customWidth="1"/>
    <col min="5632" max="5632" width="12.5" style="29" customWidth="1"/>
    <col min="5633" max="5633" width="14.6640625" style="29" bestFit="1" customWidth="1"/>
    <col min="5634" max="5634" width="12.5" style="29" bestFit="1" customWidth="1"/>
    <col min="5635" max="5635" width="1.83203125" style="29" customWidth="1"/>
    <col min="5636" max="5636" width="13" style="29" bestFit="1" customWidth="1"/>
    <col min="5637" max="5886" width="10.83203125" style="29"/>
    <col min="5887" max="5887" width="12.5" style="29" bestFit="1" customWidth="1"/>
    <col min="5888" max="5888" width="12.5" style="29" customWidth="1"/>
    <col min="5889" max="5889" width="14.6640625" style="29" bestFit="1" customWidth="1"/>
    <col min="5890" max="5890" width="12.5" style="29" bestFit="1" customWidth="1"/>
    <col min="5891" max="5891" width="1.83203125" style="29" customWidth="1"/>
    <col min="5892" max="5892" width="13" style="29" bestFit="1" customWidth="1"/>
    <col min="5893" max="6142" width="10.83203125" style="29"/>
    <col min="6143" max="6143" width="12.5" style="29" bestFit="1" customWidth="1"/>
    <col min="6144" max="6144" width="12.5" style="29" customWidth="1"/>
    <col min="6145" max="6145" width="14.6640625" style="29" bestFit="1" customWidth="1"/>
    <col min="6146" max="6146" width="12.5" style="29" bestFit="1" customWidth="1"/>
    <col min="6147" max="6147" width="1.83203125" style="29" customWidth="1"/>
    <col min="6148" max="6148" width="13" style="29" bestFit="1" customWidth="1"/>
    <col min="6149" max="6398" width="10.83203125" style="29"/>
    <col min="6399" max="6399" width="12.5" style="29" bestFit="1" customWidth="1"/>
    <col min="6400" max="6400" width="12.5" style="29" customWidth="1"/>
    <col min="6401" max="6401" width="14.6640625" style="29" bestFit="1" customWidth="1"/>
    <col min="6402" max="6402" width="12.5" style="29" bestFit="1" customWidth="1"/>
    <col min="6403" max="6403" width="1.83203125" style="29" customWidth="1"/>
    <col min="6404" max="6404" width="13" style="29" bestFit="1" customWidth="1"/>
    <col min="6405" max="6654" width="10.83203125" style="29"/>
    <col min="6655" max="6655" width="12.5" style="29" bestFit="1" customWidth="1"/>
    <col min="6656" max="6656" width="12.5" style="29" customWidth="1"/>
    <col min="6657" max="6657" width="14.6640625" style="29" bestFit="1" customWidth="1"/>
    <col min="6658" max="6658" width="12.5" style="29" bestFit="1" customWidth="1"/>
    <col min="6659" max="6659" width="1.83203125" style="29" customWidth="1"/>
    <col min="6660" max="6660" width="13" style="29" bestFit="1" customWidth="1"/>
    <col min="6661" max="6910" width="10.83203125" style="29"/>
    <col min="6911" max="6911" width="12.5" style="29" bestFit="1" customWidth="1"/>
    <col min="6912" max="6912" width="12.5" style="29" customWidth="1"/>
    <col min="6913" max="6913" width="14.6640625" style="29" bestFit="1" customWidth="1"/>
    <col min="6914" max="6914" width="12.5" style="29" bestFit="1" customWidth="1"/>
    <col min="6915" max="6915" width="1.83203125" style="29" customWidth="1"/>
    <col min="6916" max="6916" width="13" style="29" bestFit="1" customWidth="1"/>
    <col min="6917" max="7166" width="10.83203125" style="29"/>
    <col min="7167" max="7167" width="12.5" style="29" bestFit="1" customWidth="1"/>
    <col min="7168" max="7168" width="12.5" style="29" customWidth="1"/>
    <col min="7169" max="7169" width="14.6640625" style="29" bestFit="1" customWidth="1"/>
    <col min="7170" max="7170" width="12.5" style="29" bestFit="1" customWidth="1"/>
    <col min="7171" max="7171" width="1.83203125" style="29" customWidth="1"/>
    <col min="7172" max="7172" width="13" style="29" bestFit="1" customWidth="1"/>
    <col min="7173" max="7422" width="10.83203125" style="29"/>
    <col min="7423" max="7423" width="12.5" style="29" bestFit="1" customWidth="1"/>
    <col min="7424" max="7424" width="12.5" style="29" customWidth="1"/>
    <col min="7425" max="7425" width="14.6640625" style="29" bestFit="1" customWidth="1"/>
    <col min="7426" max="7426" width="12.5" style="29" bestFit="1" customWidth="1"/>
    <col min="7427" max="7427" width="1.83203125" style="29" customWidth="1"/>
    <col min="7428" max="7428" width="13" style="29" bestFit="1" customWidth="1"/>
    <col min="7429" max="7678" width="10.83203125" style="29"/>
    <col min="7679" max="7679" width="12.5" style="29" bestFit="1" customWidth="1"/>
    <col min="7680" max="7680" width="12.5" style="29" customWidth="1"/>
    <col min="7681" max="7681" width="14.6640625" style="29" bestFit="1" customWidth="1"/>
    <col min="7682" max="7682" width="12.5" style="29" bestFit="1" customWidth="1"/>
    <col min="7683" max="7683" width="1.83203125" style="29" customWidth="1"/>
    <col min="7684" max="7684" width="13" style="29" bestFit="1" customWidth="1"/>
    <col min="7685" max="7934" width="10.83203125" style="29"/>
    <col min="7935" max="7935" width="12.5" style="29" bestFit="1" customWidth="1"/>
    <col min="7936" max="7936" width="12.5" style="29" customWidth="1"/>
    <col min="7937" max="7937" width="14.6640625" style="29" bestFit="1" customWidth="1"/>
    <col min="7938" max="7938" width="12.5" style="29" bestFit="1" customWidth="1"/>
    <col min="7939" max="7939" width="1.83203125" style="29" customWidth="1"/>
    <col min="7940" max="7940" width="13" style="29" bestFit="1" customWidth="1"/>
    <col min="7941" max="8190" width="10.83203125" style="29"/>
    <col min="8191" max="8191" width="12.5" style="29" bestFit="1" customWidth="1"/>
    <col min="8192" max="8192" width="12.5" style="29" customWidth="1"/>
    <col min="8193" max="8193" width="14.6640625" style="29" bestFit="1" customWidth="1"/>
    <col min="8194" max="8194" width="12.5" style="29" bestFit="1" customWidth="1"/>
    <col min="8195" max="8195" width="1.83203125" style="29" customWidth="1"/>
    <col min="8196" max="8196" width="13" style="29" bestFit="1" customWidth="1"/>
    <col min="8197" max="8446" width="10.83203125" style="29"/>
    <col min="8447" max="8447" width="12.5" style="29" bestFit="1" customWidth="1"/>
    <col min="8448" max="8448" width="12.5" style="29" customWidth="1"/>
    <col min="8449" max="8449" width="14.6640625" style="29" bestFit="1" customWidth="1"/>
    <col min="8450" max="8450" width="12.5" style="29" bestFit="1" customWidth="1"/>
    <col min="8451" max="8451" width="1.83203125" style="29" customWidth="1"/>
    <col min="8452" max="8452" width="13" style="29" bestFit="1" customWidth="1"/>
    <col min="8453" max="8702" width="10.83203125" style="29"/>
    <col min="8703" max="8703" width="12.5" style="29" bestFit="1" customWidth="1"/>
    <col min="8704" max="8704" width="12.5" style="29" customWidth="1"/>
    <col min="8705" max="8705" width="14.6640625" style="29" bestFit="1" customWidth="1"/>
    <col min="8706" max="8706" width="12.5" style="29" bestFit="1" customWidth="1"/>
    <col min="8707" max="8707" width="1.83203125" style="29" customWidth="1"/>
    <col min="8708" max="8708" width="13" style="29" bestFit="1" customWidth="1"/>
    <col min="8709" max="8958" width="10.83203125" style="29"/>
    <col min="8959" max="8959" width="12.5" style="29" bestFit="1" customWidth="1"/>
    <col min="8960" max="8960" width="12.5" style="29" customWidth="1"/>
    <col min="8961" max="8961" width="14.6640625" style="29" bestFit="1" customWidth="1"/>
    <col min="8962" max="8962" width="12.5" style="29" bestFit="1" customWidth="1"/>
    <col min="8963" max="8963" width="1.83203125" style="29" customWidth="1"/>
    <col min="8964" max="8964" width="13" style="29" bestFit="1" customWidth="1"/>
    <col min="8965" max="9214" width="10.83203125" style="29"/>
    <col min="9215" max="9215" width="12.5" style="29" bestFit="1" customWidth="1"/>
    <col min="9216" max="9216" width="12.5" style="29" customWidth="1"/>
    <col min="9217" max="9217" width="14.6640625" style="29" bestFit="1" customWidth="1"/>
    <col min="9218" max="9218" width="12.5" style="29" bestFit="1" customWidth="1"/>
    <col min="9219" max="9219" width="1.83203125" style="29" customWidth="1"/>
    <col min="9220" max="9220" width="13" style="29" bestFit="1" customWidth="1"/>
    <col min="9221" max="9470" width="10.83203125" style="29"/>
    <col min="9471" max="9471" width="12.5" style="29" bestFit="1" customWidth="1"/>
    <col min="9472" max="9472" width="12.5" style="29" customWidth="1"/>
    <col min="9473" max="9473" width="14.6640625" style="29" bestFit="1" customWidth="1"/>
    <col min="9474" max="9474" width="12.5" style="29" bestFit="1" customWidth="1"/>
    <col min="9475" max="9475" width="1.83203125" style="29" customWidth="1"/>
    <col min="9476" max="9476" width="13" style="29" bestFit="1" customWidth="1"/>
    <col min="9477" max="9726" width="10.83203125" style="29"/>
    <col min="9727" max="9727" width="12.5" style="29" bestFit="1" customWidth="1"/>
    <col min="9728" max="9728" width="12.5" style="29" customWidth="1"/>
    <col min="9729" max="9729" width="14.6640625" style="29" bestFit="1" customWidth="1"/>
    <col min="9730" max="9730" width="12.5" style="29" bestFit="1" customWidth="1"/>
    <col min="9731" max="9731" width="1.83203125" style="29" customWidth="1"/>
    <col min="9732" max="9732" width="13" style="29" bestFit="1" customWidth="1"/>
    <col min="9733" max="9982" width="10.83203125" style="29"/>
    <col min="9983" max="9983" width="12.5" style="29" bestFit="1" customWidth="1"/>
    <col min="9984" max="9984" width="12.5" style="29" customWidth="1"/>
    <col min="9985" max="9985" width="14.6640625" style="29" bestFit="1" customWidth="1"/>
    <col min="9986" max="9986" width="12.5" style="29" bestFit="1" customWidth="1"/>
    <col min="9987" max="9987" width="1.83203125" style="29" customWidth="1"/>
    <col min="9988" max="9988" width="13" style="29" bestFit="1" customWidth="1"/>
    <col min="9989" max="10238" width="10.83203125" style="29"/>
    <col min="10239" max="10239" width="12.5" style="29" bestFit="1" customWidth="1"/>
    <col min="10240" max="10240" width="12.5" style="29" customWidth="1"/>
    <col min="10241" max="10241" width="14.6640625" style="29" bestFit="1" customWidth="1"/>
    <col min="10242" max="10242" width="12.5" style="29" bestFit="1" customWidth="1"/>
    <col min="10243" max="10243" width="1.83203125" style="29" customWidth="1"/>
    <col min="10244" max="10244" width="13" style="29" bestFit="1" customWidth="1"/>
    <col min="10245" max="10494" width="10.83203125" style="29"/>
    <col min="10495" max="10495" width="12.5" style="29" bestFit="1" customWidth="1"/>
    <col min="10496" max="10496" width="12.5" style="29" customWidth="1"/>
    <col min="10497" max="10497" width="14.6640625" style="29" bestFit="1" customWidth="1"/>
    <col min="10498" max="10498" width="12.5" style="29" bestFit="1" customWidth="1"/>
    <col min="10499" max="10499" width="1.83203125" style="29" customWidth="1"/>
    <col min="10500" max="10500" width="13" style="29" bestFit="1" customWidth="1"/>
    <col min="10501" max="10750" width="10.83203125" style="29"/>
    <col min="10751" max="10751" width="12.5" style="29" bestFit="1" customWidth="1"/>
    <col min="10752" max="10752" width="12.5" style="29" customWidth="1"/>
    <col min="10753" max="10753" width="14.6640625" style="29" bestFit="1" customWidth="1"/>
    <col min="10754" max="10754" width="12.5" style="29" bestFit="1" customWidth="1"/>
    <col min="10755" max="10755" width="1.83203125" style="29" customWidth="1"/>
    <col min="10756" max="10756" width="13" style="29" bestFit="1" customWidth="1"/>
    <col min="10757" max="11006" width="10.83203125" style="29"/>
    <col min="11007" max="11007" width="12.5" style="29" bestFit="1" customWidth="1"/>
    <col min="11008" max="11008" width="12.5" style="29" customWidth="1"/>
    <col min="11009" max="11009" width="14.6640625" style="29" bestFit="1" customWidth="1"/>
    <col min="11010" max="11010" width="12.5" style="29" bestFit="1" customWidth="1"/>
    <col min="11011" max="11011" width="1.83203125" style="29" customWidth="1"/>
    <col min="11012" max="11012" width="13" style="29" bestFit="1" customWidth="1"/>
    <col min="11013" max="11262" width="10.83203125" style="29"/>
    <col min="11263" max="11263" width="12.5" style="29" bestFit="1" customWidth="1"/>
    <col min="11264" max="11264" width="12.5" style="29" customWidth="1"/>
    <col min="11265" max="11265" width="14.6640625" style="29" bestFit="1" customWidth="1"/>
    <col min="11266" max="11266" width="12.5" style="29" bestFit="1" customWidth="1"/>
    <col min="11267" max="11267" width="1.83203125" style="29" customWidth="1"/>
    <col min="11268" max="11268" width="13" style="29" bestFit="1" customWidth="1"/>
    <col min="11269" max="11518" width="10.83203125" style="29"/>
    <col min="11519" max="11519" width="12.5" style="29" bestFit="1" customWidth="1"/>
    <col min="11520" max="11520" width="12.5" style="29" customWidth="1"/>
    <col min="11521" max="11521" width="14.6640625" style="29" bestFit="1" customWidth="1"/>
    <col min="11522" max="11522" width="12.5" style="29" bestFit="1" customWidth="1"/>
    <col min="11523" max="11523" width="1.83203125" style="29" customWidth="1"/>
    <col min="11524" max="11524" width="13" style="29" bestFit="1" customWidth="1"/>
    <col min="11525" max="11774" width="10.83203125" style="29"/>
    <col min="11775" max="11775" width="12.5" style="29" bestFit="1" customWidth="1"/>
    <col min="11776" max="11776" width="12.5" style="29" customWidth="1"/>
    <col min="11777" max="11777" width="14.6640625" style="29" bestFit="1" customWidth="1"/>
    <col min="11778" max="11778" width="12.5" style="29" bestFit="1" customWidth="1"/>
    <col min="11779" max="11779" width="1.83203125" style="29" customWidth="1"/>
    <col min="11780" max="11780" width="13" style="29" bestFit="1" customWidth="1"/>
    <col min="11781" max="12030" width="10.83203125" style="29"/>
    <col min="12031" max="12031" width="12.5" style="29" bestFit="1" customWidth="1"/>
    <col min="12032" max="12032" width="12.5" style="29" customWidth="1"/>
    <col min="12033" max="12033" width="14.6640625" style="29" bestFit="1" customWidth="1"/>
    <col min="12034" max="12034" width="12.5" style="29" bestFit="1" customWidth="1"/>
    <col min="12035" max="12035" width="1.83203125" style="29" customWidth="1"/>
    <col min="12036" max="12036" width="13" style="29" bestFit="1" customWidth="1"/>
    <col min="12037" max="12286" width="10.83203125" style="29"/>
    <col min="12287" max="12287" width="12.5" style="29" bestFit="1" customWidth="1"/>
    <col min="12288" max="12288" width="12.5" style="29" customWidth="1"/>
    <col min="12289" max="12289" width="14.6640625" style="29" bestFit="1" customWidth="1"/>
    <col min="12290" max="12290" width="12.5" style="29" bestFit="1" customWidth="1"/>
    <col min="12291" max="12291" width="1.83203125" style="29" customWidth="1"/>
    <col min="12292" max="12292" width="13" style="29" bestFit="1" customWidth="1"/>
    <col min="12293" max="12542" width="10.83203125" style="29"/>
    <col min="12543" max="12543" width="12.5" style="29" bestFit="1" customWidth="1"/>
    <col min="12544" max="12544" width="12.5" style="29" customWidth="1"/>
    <col min="12545" max="12545" width="14.6640625" style="29" bestFit="1" customWidth="1"/>
    <col min="12546" max="12546" width="12.5" style="29" bestFit="1" customWidth="1"/>
    <col min="12547" max="12547" width="1.83203125" style="29" customWidth="1"/>
    <col min="12548" max="12548" width="13" style="29" bestFit="1" customWidth="1"/>
    <col min="12549" max="12798" width="10.83203125" style="29"/>
    <col min="12799" max="12799" width="12.5" style="29" bestFit="1" customWidth="1"/>
    <col min="12800" max="12800" width="12.5" style="29" customWidth="1"/>
    <col min="12801" max="12801" width="14.6640625" style="29" bestFit="1" customWidth="1"/>
    <col min="12802" max="12802" width="12.5" style="29" bestFit="1" customWidth="1"/>
    <col min="12803" max="12803" width="1.83203125" style="29" customWidth="1"/>
    <col min="12804" max="12804" width="13" style="29" bestFit="1" customWidth="1"/>
    <col min="12805" max="13054" width="10.83203125" style="29"/>
    <col min="13055" max="13055" width="12.5" style="29" bestFit="1" customWidth="1"/>
    <col min="13056" max="13056" width="12.5" style="29" customWidth="1"/>
    <col min="13057" max="13057" width="14.6640625" style="29" bestFit="1" customWidth="1"/>
    <col min="13058" max="13058" width="12.5" style="29" bestFit="1" customWidth="1"/>
    <col min="13059" max="13059" width="1.83203125" style="29" customWidth="1"/>
    <col min="13060" max="13060" width="13" style="29" bestFit="1" customWidth="1"/>
    <col min="13061" max="13310" width="10.83203125" style="29"/>
    <col min="13311" max="13311" width="12.5" style="29" bestFit="1" customWidth="1"/>
    <col min="13312" max="13312" width="12.5" style="29" customWidth="1"/>
    <col min="13313" max="13313" width="14.6640625" style="29" bestFit="1" customWidth="1"/>
    <col min="13314" max="13314" width="12.5" style="29" bestFit="1" customWidth="1"/>
    <col min="13315" max="13315" width="1.83203125" style="29" customWidth="1"/>
    <col min="13316" max="13316" width="13" style="29" bestFit="1" customWidth="1"/>
    <col min="13317" max="13566" width="10.83203125" style="29"/>
    <col min="13567" max="13567" width="12.5" style="29" bestFit="1" customWidth="1"/>
    <col min="13568" max="13568" width="12.5" style="29" customWidth="1"/>
    <col min="13569" max="13569" width="14.6640625" style="29" bestFit="1" customWidth="1"/>
    <col min="13570" max="13570" width="12.5" style="29" bestFit="1" customWidth="1"/>
    <col min="13571" max="13571" width="1.83203125" style="29" customWidth="1"/>
    <col min="13572" max="13572" width="13" style="29" bestFit="1" customWidth="1"/>
    <col min="13573" max="13822" width="10.83203125" style="29"/>
    <col min="13823" max="13823" width="12.5" style="29" bestFit="1" customWidth="1"/>
    <col min="13824" max="13824" width="12.5" style="29" customWidth="1"/>
    <col min="13825" max="13825" width="14.6640625" style="29" bestFit="1" customWidth="1"/>
    <col min="13826" max="13826" width="12.5" style="29" bestFit="1" customWidth="1"/>
    <col min="13827" max="13827" width="1.83203125" style="29" customWidth="1"/>
    <col min="13828" max="13828" width="13" style="29" bestFit="1" customWidth="1"/>
    <col min="13829" max="14078" width="10.83203125" style="29"/>
    <col min="14079" max="14079" width="12.5" style="29" bestFit="1" customWidth="1"/>
    <col min="14080" max="14080" width="12.5" style="29" customWidth="1"/>
    <col min="14081" max="14081" width="14.6640625" style="29" bestFit="1" customWidth="1"/>
    <col min="14082" max="14082" width="12.5" style="29" bestFit="1" customWidth="1"/>
    <col min="14083" max="14083" width="1.83203125" style="29" customWidth="1"/>
    <col min="14084" max="14084" width="13" style="29" bestFit="1" customWidth="1"/>
    <col min="14085" max="14334" width="10.83203125" style="29"/>
    <col min="14335" max="14335" width="12.5" style="29" bestFit="1" customWidth="1"/>
    <col min="14336" max="14336" width="12.5" style="29" customWidth="1"/>
    <col min="14337" max="14337" width="14.6640625" style="29" bestFit="1" customWidth="1"/>
    <col min="14338" max="14338" width="12.5" style="29" bestFit="1" customWidth="1"/>
    <col min="14339" max="14339" width="1.83203125" style="29" customWidth="1"/>
    <col min="14340" max="14340" width="13" style="29" bestFit="1" customWidth="1"/>
    <col min="14341" max="14590" width="10.83203125" style="29"/>
    <col min="14591" max="14591" width="12.5" style="29" bestFit="1" customWidth="1"/>
    <col min="14592" max="14592" width="12.5" style="29" customWidth="1"/>
    <col min="14593" max="14593" width="14.6640625" style="29" bestFit="1" customWidth="1"/>
    <col min="14594" max="14594" width="12.5" style="29" bestFit="1" customWidth="1"/>
    <col min="14595" max="14595" width="1.83203125" style="29" customWidth="1"/>
    <col min="14596" max="14596" width="13" style="29" bestFit="1" customWidth="1"/>
    <col min="14597" max="14846" width="10.83203125" style="29"/>
    <col min="14847" max="14847" width="12.5" style="29" bestFit="1" customWidth="1"/>
    <col min="14848" max="14848" width="12.5" style="29" customWidth="1"/>
    <col min="14849" max="14849" width="14.6640625" style="29" bestFit="1" customWidth="1"/>
    <col min="14850" max="14850" width="12.5" style="29" bestFit="1" customWidth="1"/>
    <col min="14851" max="14851" width="1.83203125" style="29" customWidth="1"/>
    <col min="14852" max="14852" width="13" style="29" bestFit="1" customWidth="1"/>
    <col min="14853" max="15102" width="10.83203125" style="29"/>
    <col min="15103" max="15103" width="12.5" style="29" bestFit="1" customWidth="1"/>
    <col min="15104" max="15104" width="12.5" style="29" customWidth="1"/>
    <col min="15105" max="15105" width="14.6640625" style="29" bestFit="1" customWidth="1"/>
    <col min="15106" max="15106" width="12.5" style="29" bestFit="1" customWidth="1"/>
    <col min="15107" max="15107" width="1.83203125" style="29" customWidth="1"/>
    <col min="15108" max="15108" width="13" style="29" bestFit="1" customWidth="1"/>
    <col min="15109" max="15358" width="10.83203125" style="29"/>
    <col min="15359" max="15359" width="12.5" style="29" bestFit="1" customWidth="1"/>
    <col min="15360" max="15360" width="12.5" style="29" customWidth="1"/>
    <col min="15361" max="15361" width="14.6640625" style="29" bestFit="1" customWidth="1"/>
    <col min="15362" max="15362" width="12.5" style="29" bestFit="1" customWidth="1"/>
    <col min="15363" max="15363" width="1.83203125" style="29" customWidth="1"/>
    <col min="15364" max="15364" width="13" style="29" bestFit="1" customWidth="1"/>
    <col min="15365" max="15614" width="10.83203125" style="29"/>
    <col min="15615" max="15615" width="12.5" style="29" bestFit="1" customWidth="1"/>
    <col min="15616" max="15616" width="12.5" style="29" customWidth="1"/>
    <col min="15617" max="15617" width="14.6640625" style="29" bestFit="1" customWidth="1"/>
    <col min="15618" max="15618" width="12.5" style="29" bestFit="1" customWidth="1"/>
    <col min="15619" max="15619" width="1.83203125" style="29" customWidth="1"/>
    <col min="15620" max="15620" width="13" style="29" bestFit="1" customWidth="1"/>
    <col min="15621" max="15870" width="10.83203125" style="29"/>
    <col min="15871" max="15871" width="12.5" style="29" bestFit="1" customWidth="1"/>
    <col min="15872" max="15872" width="12.5" style="29" customWidth="1"/>
    <col min="15873" max="15873" width="14.6640625" style="29" bestFit="1" customWidth="1"/>
    <col min="15874" max="15874" width="12.5" style="29" bestFit="1" customWidth="1"/>
    <col min="15875" max="15875" width="1.83203125" style="29" customWidth="1"/>
    <col min="15876" max="15876" width="13" style="29" bestFit="1" customWidth="1"/>
    <col min="15877" max="16126" width="10.83203125" style="29"/>
    <col min="16127" max="16127" width="12.5" style="29" bestFit="1" customWidth="1"/>
    <col min="16128" max="16128" width="12.5" style="29" customWidth="1"/>
    <col min="16129" max="16129" width="14.6640625" style="29" bestFit="1" customWidth="1"/>
    <col min="16130" max="16130" width="12.5" style="29" bestFit="1" customWidth="1"/>
    <col min="16131" max="16131" width="1.83203125" style="29" customWidth="1"/>
    <col min="16132" max="16132" width="13" style="29" bestFit="1" customWidth="1"/>
    <col min="16133" max="16384" width="10.83203125" style="29"/>
  </cols>
  <sheetData>
    <row r="1" spans="2:21" ht="16" customHeight="1" x14ac:dyDescent="0.15">
      <c r="C1" s="39" t="s">
        <v>243</v>
      </c>
      <c r="D1" s="40"/>
      <c r="E1" s="41"/>
      <c r="K1" s="38" t="s">
        <v>929</v>
      </c>
      <c r="L1" s="38"/>
      <c r="M1" s="38"/>
      <c r="N1" s="38"/>
    </row>
    <row r="2" spans="2:21" ht="16" customHeight="1" x14ac:dyDescent="0.15">
      <c r="C2" s="31" t="s">
        <v>331</v>
      </c>
      <c r="D2" s="31" t="s">
        <v>332</v>
      </c>
      <c r="E2" s="31" t="s">
        <v>329</v>
      </c>
      <c r="F2" s="31" t="s">
        <v>244</v>
      </c>
      <c r="G2" s="31" t="s">
        <v>245</v>
      </c>
      <c r="H2" s="31" t="s">
        <v>246</v>
      </c>
      <c r="I2" s="31" t="s">
        <v>247</v>
      </c>
      <c r="K2" s="31" t="s">
        <v>6</v>
      </c>
      <c r="L2" s="36" t="s">
        <v>927</v>
      </c>
      <c r="M2" s="36" t="s">
        <v>928</v>
      </c>
      <c r="N2" s="31" t="s">
        <v>250</v>
      </c>
    </row>
    <row r="3" spans="2:21" ht="16" customHeight="1" x14ac:dyDescent="0.15">
      <c r="B3" s="31" t="s">
        <v>248</v>
      </c>
      <c r="C3" s="31">
        <f>COUNTIF(ReadingList!$G$2:$G$122,C2)</f>
        <v>1</v>
      </c>
      <c r="D3" s="31">
        <f>COUNTIF(ReadingList!$G$2:$G$122,D2)</f>
        <v>1</v>
      </c>
      <c r="E3" s="31">
        <f>COUNTIF(ReadingList!$G$2:$G$122,E2)</f>
        <v>3</v>
      </c>
      <c r="F3" s="31">
        <f>COUNTIF(ReadingList!G1:G122,"Abstract")</f>
        <v>0</v>
      </c>
      <c r="G3" s="31">
        <f>COUNTIF(ReadingList!G1:G122,"Stand-by")</f>
        <v>8</v>
      </c>
      <c r="H3" s="31">
        <f>COUNTIF(ReadingList!G1:G122,"Literature review")</f>
        <v>9</v>
      </c>
      <c r="I3" s="31">
        <f>COUNTIF(ReadingList!G1:G122,"No access")</f>
        <v>0</v>
      </c>
      <c r="K3" s="37" t="s">
        <v>884</v>
      </c>
      <c r="L3" s="36">
        <f>COUNTIFS(ReadingList!$D$2:$D$127,"No",ReadingList!$N$2:$N$127,"GoogleScholar")</f>
        <v>39</v>
      </c>
      <c r="M3" s="36">
        <f>COUNTIFS(ReadingList!$C$2:$C$127,"No",ReadingList!$N$2:$N$127,"GoogleScholar")</f>
        <v>71</v>
      </c>
      <c r="N3" s="31">
        <f>COUNTIFS(ReadingList!$C$2:$C$127,"No",ReadingList!$D$2:$D$127,"No",ReadingList!$N$2:$N$127,"GoogleScholar")</f>
        <v>27</v>
      </c>
    </row>
    <row r="4" spans="2:21" ht="16" customHeight="1" x14ac:dyDescent="0.15">
      <c r="K4" s="37" t="s">
        <v>303</v>
      </c>
      <c r="L4" s="36">
        <f>COUNTIFS(ReadingList!$D$2:$D$127,"No",ReadingList!$N$2:$N$127,"WoS")</f>
        <v>9</v>
      </c>
      <c r="M4" s="36">
        <f>COUNTIFS(ReadingList!$C$2:$C$127,"No",ReadingList!$N$2:$N$127,"WoS")</f>
        <v>0</v>
      </c>
      <c r="N4" s="31">
        <f>COUNTIFS(ReadingList!$C$2:$C$127,"No",ReadingList!$D$2:$D$127,"No",ReadingList!$N$2:$N$127,"WoS")</f>
        <v>0</v>
      </c>
    </row>
    <row r="5" spans="2:21" ht="16" customHeight="1" x14ac:dyDescent="0.2">
      <c r="B5" s="31" t="s">
        <v>250</v>
      </c>
      <c r="C5" s="38" t="s">
        <v>249</v>
      </c>
      <c r="D5" s="38"/>
      <c r="E5" s="31" t="s">
        <v>251</v>
      </c>
      <c r="F5" s="31" t="s">
        <v>311</v>
      </c>
      <c r="G5" s="31" t="s">
        <v>328</v>
      </c>
      <c r="H5" s="31" t="s">
        <v>912</v>
      </c>
      <c r="I5" s="31" t="s">
        <v>910</v>
      </c>
      <c r="J5" s="32"/>
      <c r="K5" s="37" t="s">
        <v>376</v>
      </c>
      <c r="L5" s="36">
        <f>COUNTIFS(ReadingList!$D$2:$D$127,"No",ReadingList!$N$2:$N$127,"Scopus")</f>
        <v>8</v>
      </c>
      <c r="M5" s="36">
        <f>COUNTIFS(ReadingList!$C$2:$C$127,"No",ReadingList!$N$2:$N$127,"Scopus")</f>
        <v>0</v>
      </c>
      <c r="N5" s="31">
        <f>COUNTIFS(ReadingList!$C$2:$C$127,"No",ReadingList!$D$2:$D$127,"No",ReadingList!$N$2:$N$127,"Scopus")</f>
        <v>0</v>
      </c>
      <c r="O5" s="30"/>
      <c r="P5" s="30"/>
      <c r="Q5" s="30"/>
      <c r="R5" s="30"/>
      <c r="S5" s="30"/>
      <c r="T5" s="30"/>
      <c r="U5" s="30"/>
    </row>
    <row r="6" spans="2:21" ht="16" customHeight="1" x14ac:dyDescent="0.2">
      <c r="B6" s="31">
        <f>COUNT(ReadingList!A:A)</f>
        <v>126</v>
      </c>
      <c r="C6" s="31">
        <f>COUNTIF(ReadingList!G2:G122,C2) + COUNTIF(ReadingList!G2:G122,D2) + COUNTIF(ReadingList!G2:G122,E2) + COUNTIF(ReadingList!G1:G122,"Body")</f>
        <v>104</v>
      </c>
      <c r="D6" s="6">
        <f>C6/F6</f>
        <v>0.88888888888888884</v>
      </c>
      <c r="E6" s="6">
        <f>IFERROR(SUM(C3:E3)/F6, 0)</f>
        <v>4.2735042735042736E-2</v>
      </c>
      <c r="F6" s="31">
        <f>B6-F3-H3-I3</f>
        <v>117</v>
      </c>
      <c r="G6" s="31">
        <f>E6*F6</f>
        <v>5</v>
      </c>
      <c r="H6" s="31">
        <v>10</v>
      </c>
      <c r="I6" s="33">
        <f ca="1">OFFSET(B9,ROUNDUP(F6/AVERAGEIF(D9:D33,"&gt;0"),0)-1,0)</f>
        <v>44922</v>
      </c>
      <c r="J6" s="32"/>
      <c r="K6" s="37" t="s">
        <v>7</v>
      </c>
      <c r="L6" s="36">
        <f>COUNTIFS(ReadingList!$D$2:$D$127,"No",ReadingList!$N$2:$N$127,"Compendex")</f>
        <v>3</v>
      </c>
      <c r="M6" s="36">
        <f>COUNTIFS(ReadingList!$C$2:$C$127,"No",ReadingList!$N$2:$N$127,"Compendex")</f>
        <v>1</v>
      </c>
      <c r="N6" s="31">
        <f>COUNTIFS(ReadingList!$C$2:$C$127,"No",ReadingList!$D$2:$D$127,"No",ReadingList!$N$2:$N$127,"Compendex")</f>
        <v>0</v>
      </c>
      <c r="O6" s="30"/>
      <c r="P6" s="30"/>
      <c r="Q6" s="30"/>
      <c r="R6" s="30"/>
      <c r="S6" s="30"/>
      <c r="T6" s="30"/>
      <c r="U6" s="30"/>
    </row>
    <row r="7" spans="2:21" ht="16" customHeight="1" x14ac:dyDescent="0.2">
      <c r="K7" s="37" t="s">
        <v>9</v>
      </c>
      <c r="L7" s="36">
        <f>COUNTIFS(ReadingList!$D$2:$D$127,"No",ReadingList!$N$2:$N$127,"Inspec")</f>
        <v>1</v>
      </c>
      <c r="M7" s="36">
        <f>COUNTIFS(ReadingList!$C$2:$C$127,"No",ReadingList!$N$2:$N$127,"Inspec")</f>
        <v>2</v>
      </c>
      <c r="N7" s="31">
        <f>COUNTIFS(ReadingList!$C$2:$C$127,"No",ReadingList!$D$2:$D$127,"No",ReadingList!$N$2:$N$127,"Inspec")</f>
        <v>1</v>
      </c>
      <c r="O7" s="30"/>
      <c r="P7" s="30"/>
      <c r="Q7" s="30"/>
      <c r="R7" s="30"/>
      <c r="S7" s="30"/>
      <c r="T7" s="30"/>
      <c r="U7" s="30"/>
    </row>
    <row r="8" spans="2:21" ht="16" customHeight="1" x14ac:dyDescent="0.2">
      <c r="B8" s="31" t="s">
        <v>252</v>
      </c>
      <c r="C8" s="31" t="s">
        <v>244</v>
      </c>
      <c r="D8" s="31" t="s">
        <v>249</v>
      </c>
      <c r="E8" s="31" t="s">
        <v>243</v>
      </c>
      <c r="F8" s="31" t="s">
        <v>250</v>
      </c>
      <c r="G8" s="31" t="s">
        <v>251</v>
      </c>
      <c r="H8" s="31" t="s">
        <v>326</v>
      </c>
      <c r="I8" s="34"/>
      <c r="J8" s="32"/>
      <c r="K8" s="30"/>
      <c r="L8" s="30"/>
      <c r="M8" s="30"/>
      <c r="N8" s="30"/>
      <c r="O8" s="30"/>
      <c r="P8" s="30"/>
      <c r="Q8" s="30"/>
      <c r="R8" s="30"/>
      <c r="S8" s="30"/>
      <c r="T8" s="30"/>
      <c r="U8" s="30"/>
    </row>
    <row r="9" spans="2:21" ht="16" customHeight="1" x14ac:dyDescent="0.2">
      <c r="B9" s="33">
        <v>44916</v>
      </c>
      <c r="C9" s="31">
        <f>COUNTIFS(ReadingList!$B$2:$B$122,"&lt;="&amp;B9, ReadingList!$G$2:$G$122, "Abstract") + COUNTIFS(ReadingList!$B$2:$B$122,"&lt;="&amp;B9, ReadingList!$G$2:$G$122, "No access")</f>
        <v>0</v>
      </c>
      <c r="D9" s="31">
        <f>COUNTIFS(ReadingList!$B$2:$B$122,"&lt;="&amp;B9, ReadingList!$G$2:$G$122, C2) + COUNTIFS(ReadingList!$B$2:$B$122,"&lt;="&amp;B9, ReadingList!$G$2:$G$122, D2) + COUNTIFS(ReadingList!$B$2:$B$122,"&lt;="&amp;B9, ReadingList!$G$2:$G$122, E2) + COUNTIFS(ReadingList!$B$2:$B$122,"&lt;="&amp;B9, ReadingList!$G$2:$G$122, "Body")</f>
        <v>5</v>
      </c>
      <c r="E9" s="31">
        <f>COUNTIFS(ReadingList!$B$2:$B$122,"&lt;="&amp;B9,ReadingList!$G$2:$G$122,C2)+COUNTIFS(ReadingList!$B$2:$B$122,"&lt;="&amp;B9,ReadingList!$G$2:$G$122,D2)+COUNTIFS(ReadingList!$B$2:$B$122,"&lt;="&amp;B9,ReadingList!$G$2:$G$122,E2)</f>
        <v>1</v>
      </c>
      <c r="F9" s="14">
        <f>SUM(C9:D9)/$B$6</f>
        <v>3.968253968253968E-2</v>
      </c>
      <c r="G9" s="6">
        <f>IFERROR(E9/D9, 0)</f>
        <v>0.2</v>
      </c>
      <c r="H9" s="31" t="s">
        <v>271</v>
      </c>
      <c r="I9" s="32"/>
      <c r="J9" s="32"/>
      <c r="K9" s="30"/>
      <c r="L9" s="30"/>
      <c r="M9" s="30"/>
      <c r="N9" s="30"/>
      <c r="O9" s="30"/>
      <c r="P9" s="30"/>
      <c r="Q9" s="30"/>
      <c r="R9" s="30"/>
      <c r="S9" s="30"/>
      <c r="T9" s="30"/>
      <c r="U9" s="30"/>
    </row>
    <row r="10" spans="2:21" ht="16" customHeight="1" x14ac:dyDescent="0.2">
      <c r="B10" s="33">
        <f>B9+IF(WEEKDAY(B9)=6, 3, 1)</f>
        <v>44917</v>
      </c>
      <c r="C10" s="31">
        <f>COUNTIFS(ReadingList!$B$2:$B$122,"&lt;="&amp;B10, ReadingList!$B$2:$B$122,"&gt;"&amp;B9, ReadingList!$G$2:$G$122, "Abstract") + COUNTIFS(ReadingList!$B$2:$B$122,"&lt;="&amp;B10, ReadingList!$B$2:$B$122,"&gt;"&amp;B9, ReadingList!$G$2:$G$122, "No access")</f>
        <v>0</v>
      </c>
      <c r="D10" s="31">
        <f>COUNTIFS(ReadingList!$B$2:$B$122,"&lt;="&amp;B10, ReadingList!$B$2:$B$122,"&gt;"&amp;B9, ReadingList!$G$2:$G$122, $C$2) + COUNTIFS(ReadingList!$B$2:$B$122,"&lt;="&amp;B10, ReadingList!$B$2:$B$122,"&gt;"&amp;B9, ReadingList!$G$2:$G$122, $D$2) + COUNTIFS(ReadingList!$B$2:$B$122,"&lt;="&amp;B10, ReadingList!$B$2:$B$122,"&gt;"&amp;B9, ReadingList!$G$2:$G$122, $E$2) + COUNTIFS(ReadingList!$B$2:$B$122,"&lt;="&amp;B10, ReadingList!$B$2:$B$122,"&gt;"&amp;B9, ReadingList!$G$2:$G$122, "Body")</f>
        <v>6</v>
      </c>
      <c r="E10" s="31">
        <f>COUNTIFS(ReadingList!$B$2:$B$122,"&lt;="&amp;B10, ReadingList!$B$2:$B$122,"&gt;"&amp;B9,ReadingList!$G$2:$G$122,$C$2) + COUNTIFS(ReadingList!$B$2:$B$122,"&lt;="&amp;B10, ReadingList!$B$2:$B$122,"&gt;"&amp;B9,ReadingList!$G$2:$G$122,$D$2) + COUNTIFS(ReadingList!$B$2:$B$122,"&lt;="&amp;B10, ReadingList!$B$2:$B$122,"&gt;"&amp;B9,ReadingList!$G$2:$G$122,$E$2)</f>
        <v>1</v>
      </c>
      <c r="F10" s="14">
        <f t="shared" ref="F10:F33" si="0">SUM(C10:D10)/$B$6</f>
        <v>4.7619047619047616E-2</v>
      </c>
      <c r="G10" s="6">
        <f t="shared" ref="G10:G33" si="1">IFERROR(E10/D10, 0)</f>
        <v>0.16666666666666666</v>
      </c>
      <c r="H10" s="31" t="str">
        <f>IF(SUM($D$9:D10)&gt;=$F$6,"Finished",IF(SUM($D$9:D10)&gt;=$H$6*COUNT($B$9:B10), "Yes", "No"))</f>
        <v>No</v>
      </c>
      <c r="I10" s="32"/>
      <c r="K10" s="30"/>
      <c r="L10" s="30"/>
      <c r="M10" s="30"/>
      <c r="N10" s="30"/>
      <c r="O10" s="30"/>
      <c r="P10" s="30"/>
      <c r="Q10" s="30"/>
      <c r="R10" s="30"/>
      <c r="S10" s="30"/>
      <c r="T10" s="30"/>
      <c r="U10" s="30"/>
    </row>
    <row r="11" spans="2:21" ht="16" customHeight="1" x14ac:dyDescent="0.2">
      <c r="B11" s="33">
        <f t="shared" ref="B11:B33" si="2">B10+IF(WEEKDAY(B10)=6, 3, 1)</f>
        <v>44918</v>
      </c>
      <c r="C11" s="31">
        <f>COUNTIFS(ReadingList!$B$2:$B$122,"&lt;="&amp;B11, ReadingList!$B$2:$B$122,"&gt;"&amp;B10, ReadingList!$G$2:$G$122, "Abstract") + COUNTIFS(ReadingList!$B$2:$B$122,"&lt;="&amp;B11, ReadingList!$B$2:$B$122,"&gt;"&amp;B10, ReadingList!$G$2:$G$122, "No access")</f>
        <v>0</v>
      </c>
      <c r="D11" s="31">
        <f>COUNTIFS(ReadingList!$B$2:$B$122,"&lt;="&amp;B11, ReadingList!$B$2:$B$122,"&gt;"&amp;B10, ReadingList!$G$2:$G$122, $C$2) + COUNTIFS(ReadingList!$B$2:$B$122,"&lt;="&amp;B11, ReadingList!$B$2:$B$122,"&gt;"&amp;B10, ReadingList!$G$2:$G$122, $D$2) + COUNTIFS(ReadingList!$B$2:$B$122,"&lt;="&amp;B11, ReadingList!$B$2:$B$122,"&gt;"&amp;B10, ReadingList!$G$2:$G$122, $E$2) + COUNTIFS(ReadingList!$B$2:$B$122,"&lt;="&amp;B11, ReadingList!$B$2:$B$122,"&gt;"&amp;B10, ReadingList!$G$2:$G$122, "Body")</f>
        <v>27</v>
      </c>
      <c r="E11" s="31">
        <f>COUNTIFS(ReadingList!$B$2:$B$122,"&lt;="&amp;B11, ReadingList!$B$2:$B$122,"&gt;"&amp;B10,ReadingList!$G$2:$G$122,$C$2) + COUNTIFS(ReadingList!$B$2:$B$122,"&lt;="&amp;B11, ReadingList!$B$2:$B$122,"&gt;"&amp;B10,ReadingList!$G$2:$G$122,$D$2) + COUNTIFS(ReadingList!$B$2:$B$122,"&lt;="&amp;B11, ReadingList!$B$2:$B$122,"&gt;"&amp;B10,ReadingList!$G$2:$G$122,$E$2)</f>
        <v>0</v>
      </c>
      <c r="F11" s="14">
        <f t="shared" si="0"/>
        <v>0.21428571428571427</v>
      </c>
      <c r="G11" s="6">
        <f t="shared" si="1"/>
        <v>0</v>
      </c>
      <c r="H11" s="31" t="str">
        <f>IF(SUM($D$9:D11)&gt;=$F$6,"Finished",IF(SUM($D$9:D11)&gt;=$H$6*COUNT($B$9:B11), "Yes", "No"))</f>
        <v>Yes</v>
      </c>
      <c r="I11" s="32"/>
      <c r="J11" s="32"/>
      <c r="K11" s="30"/>
      <c r="L11" s="30"/>
      <c r="M11" s="30"/>
      <c r="N11" s="30"/>
      <c r="O11" s="30"/>
      <c r="P11" s="30"/>
      <c r="Q11" s="30"/>
      <c r="R11" s="30"/>
      <c r="S11" s="30"/>
      <c r="T11" s="30"/>
      <c r="U11" s="30"/>
    </row>
    <row r="12" spans="2:21" ht="16" customHeight="1" x14ac:dyDescent="0.2">
      <c r="B12" s="33">
        <f t="shared" si="2"/>
        <v>44921</v>
      </c>
      <c r="C12" s="31">
        <f>COUNTIFS(ReadingList!$B$2:$B$122,"&lt;="&amp;B12, ReadingList!$B$2:$B$122,"&gt;"&amp;B11, ReadingList!$G$2:$G$122, "Abstract") + COUNTIFS(ReadingList!$B$2:$B$122,"&lt;="&amp;B12, ReadingList!$B$2:$B$122,"&gt;"&amp;B11, ReadingList!$G$2:$G$122, "No access")</f>
        <v>0</v>
      </c>
      <c r="D12" s="31">
        <f>COUNTIFS(ReadingList!$B$2:$B$122,"&lt;="&amp;B12, ReadingList!$B$2:$B$122,"&gt;"&amp;B11, ReadingList!$G$2:$G$122, $C$2) + COUNTIFS(ReadingList!$B$2:$B$122,"&lt;="&amp;B12, ReadingList!$B$2:$B$122,"&gt;"&amp;B11, ReadingList!$G$2:$G$122, $D$2) + COUNTIFS(ReadingList!$B$2:$B$122,"&lt;="&amp;B12, ReadingList!$B$2:$B$122,"&gt;"&amp;B11, ReadingList!$G$2:$G$122, $E$2) + COUNTIFS(ReadingList!$B$2:$B$122,"&lt;="&amp;B12, ReadingList!$B$2:$B$122,"&gt;"&amp;B11, ReadingList!$G$2:$G$122, "Body")</f>
        <v>66</v>
      </c>
      <c r="E12" s="31">
        <f>COUNTIFS(ReadingList!$B$2:$B$122,"&lt;="&amp;B12, ReadingList!$B$2:$B$122,"&gt;"&amp;B11,ReadingList!$G$2:$G$122,$C$2) + COUNTIFS(ReadingList!$B$2:$B$122,"&lt;="&amp;B12, ReadingList!$B$2:$B$122,"&gt;"&amp;B11,ReadingList!$G$2:$G$122,$D$2) + COUNTIFS(ReadingList!$B$2:$B$122,"&lt;="&amp;B12, ReadingList!$B$2:$B$122,"&gt;"&amp;B11,ReadingList!$G$2:$G$122,$E$2)</f>
        <v>3</v>
      </c>
      <c r="F12" s="14">
        <f t="shared" si="0"/>
        <v>0.52380952380952384</v>
      </c>
      <c r="G12" s="6">
        <f t="shared" si="1"/>
        <v>4.5454545454545456E-2</v>
      </c>
      <c r="H12" s="31" t="str">
        <f>IF(SUM($D$9:D12)&gt;=$F$6,"Finished",IF(SUM($D$9:D12)&gt;=$H$6*COUNT($B$9:B12), "Yes", "No"))</f>
        <v>Yes</v>
      </c>
      <c r="I12" s="32"/>
      <c r="J12" s="32"/>
      <c r="K12" s="30"/>
      <c r="L12" s="30"/>
      <c r="M12" s="30"/>
      <c r="N12" s="30"/>
      <c r="O12" s="30"/>
      <c r="P12" s="30"/>
      <c r="Q12" s="30"/>
      <c r="R12" s="30"/>
      <c r="S12" s="30"/>
      <c r="T12" s="30"/>
      <c r="U12" s="30"/>
    </row>
    <row r="13" spans="2:21" ht="16" customHeight="1" x14ac:dyDescent="0.2">
      <c r="B13" s="33">
        <f t="shared" si="2"/>
        <v>44922</v>
      </c>
      <c r="C13" s="31">
        <f>COUNTIFS(ReadingList!$B$2:$B$122,"&lt;="&amp;B13, ReadingList!$B$2:$B$122,"&gt;"&amp;B12, ReadingList!$G$2:$G$122, "Abstract") + COUNTIFS(ReadingList!$B$2:$B$122,"&lt;="&amp;B13, ReadingList!$B$2:$B$122,"&gt;"&amp;B12, ReadingList!$G$2:$G$122, "No access")</f>
        <v>0</v>
      </c>
      <c r="D13" s="31">
        <f>COUNTIFS(ReadingList!$B$2:$B$122,"&lt;="&amp;B13, ReadingList!$B$2:$B$122,"&gt;"&amp;B12, ReadingList!$G$2:$G$122, $C$2) + COUNTIFS(ReadingList!$B$2:$B$122,"&lt;="&amp;B13, ReadingList!$B$2:$B$122,"&gt;"&amp;B12, ReadingList!$G$2:$G$122, $D$2) + COUNTIFS(ReadingList!$B$2:$B$122,"&lt;="&amp;B13, ReadingList!$B$2:$B$122,"&gt;"&amp;B12, ReadingList!$G$2:$G$122, $E$2) + COUNTIFS(ReadingList!$B$2:$B$122,"&lt;="&amp;B13, ReadingList!$B$2:$B$122,"&gt;"&amp;B12, ReadingList!$G$2:$G$122, "Body")</f>
        <v>0</v>
      </c>
      <c r="E13" s="31">
        <f>COUNTIFS(ReadingList!$B$2:$B$122,"&lt;="&amp;B13, ReadingList!$B$2:$B$122,"&gt;"&amp;B12,ReadingList!$G$2:$G$122,$C$2) + COUNTIFS(ReadingList!$B$2:$B$122,"&lt;="&amp;B13, ReadingList!$B$2:$B$122,"&gt;"&amp;B12,ReadingList!$G$2:$G$122,$D$2) + COUNTIFS(ReadingList!$B$2:$B$122,"&lt;="&amp;B13, ReadingList!$B$2:$B$122,"&gt;"&amp;B12,ReadingList!$G$2:$G$122,$E$2)</f>
        <v>0</v>
      </c>
      <c r="F13" s="14">
        <f t="shared" si="0"/>
        <v>0</v>
      </c>
      <c r="G13" s="6">
        <f t="shared" si="1"/>
        <v>0</v>
      </c>
      <c r="H13" s="31" t="str">
        <f>IF(SUM($D$9:D13)&gt;=$F$6,"Finished",IF(SUM($D$9:D13)&gt;=$H$6*COUNT($B$9:B13), "Yes", "No"))</f>
        <v>Yes</v>
      </c>
      <c r="I13" s="32"/>
      <c r="J13" s="32"/>
      <c r="K13" s="30"/>
      <c r="L13" s="30"/>
      <c r="M13" s="30"/>
      <c r="N13" s="30"/>
      <c r="O13" s="30"/>
      <c r="P13" s="30"/>
      <c r="Q13" s="30"/>
      <c r="R13" s="30"/>
      <c r="S13" s="30"/>
      <c r="T13" s="30"/>
      <c r="U13" s="30"/>
    </row>
    <row r="14" spans="2:21" ht="16" customHeight="1" x14ac:dyDescent="0.2">
      <c r="B14" s="33">
        <f t="shared" si="2"/>
        <v>44923</v>
      </c>
      <c r="C14" s="31">
        <f>COUNTIFS(ReadingList!$B$2:$B$122,"&lt;="&amp;B14, ReadingList!$B$2:$B$122,"&gt;"&amp;B13, ReadingList!$G$2:$G$122, "Abstract") + COUNTIFS(ReadingList!$B$2:$B$122,"&lt;="&amp;B14, ReadingList!$B$2:$B$122,"&gt;"&amp;B13, ReadingList!$G$2:$G$122, "No access")</f>
        <v>0</v>
      </c>
      <c r="D14" s="31">
        <f>COUNTIFS(ReadingList!$B$2:$B$122,"&lt;="&amp;B14, ReadingList!$B$2:$B$122,"&gt;"&amp;B13, ReadingList!$G$2:$G$122, $C$2) + COUNTIFS(ReadingList!$B$2:$B$122,"&lt;="&amp;B14, ReadingList!$B$2:$B$122,"&gt;"&amp;B13, ReadingList!$G$2:$G$122, $D$2) + COUNTIFS(ReadingList!$B$2:$B$122,"&lt;="&amp;B14, ReadingList!$B$2:$B$122,"&gt;"&amp;B13, ReadingList!$G$2:$G$122, $E$2) + COUNTIFS(ReadingList!$B$2:$B$122,"&lt;="&amp;B14, ReadingList!$B$2:$B$122,"&gt;"&amp;B13, ReadingList!$G$2:$G$122, "Body")</f>
        <v>0</v>
      </c>
      <c r="E14" s="31">
        <f>COUNTIFS(ReadingList!$B$2:$B$122,"&lt;="&amp;B14, ReadingList!$B$2:$B$122,"&gt;"&amp;B13,ReadingList!$G$2:$G$122,$C$2) + COUNTIFS(ReadingList!$B$2:$B$122,"&lt;="&amp;B14, ReadingList!$B$2:$B$122,"&gt;"&amp;B13,ReadingList!$G$2:$G$122,$D$2) + COUNTIFS(ReadingList!$B$2:$B$122,"&lt;="&amp;B14, ReadingList!$B$2:$B$122,"&gt;"&amp;B13,ReadingList!$G$2:$G$122,$E$2)</f>
        <v>0</v>
      </c>
      <c r="F14" s="14">
        <f t="shared" si="0"/>
        <v>0</v>
      </c>
      <c r="G14" s="6">
        <f t="shared" si="1"/>
        <v>0</v>
      </c>
      <c r="H14" s="31" t="str">
        <f>IF(SUM($D$9:D14)&gt;=$F$6,"Finished",IF(SUM($D$9:D14)&gt;=$H$6*COUNT($B$9:B14), "Yes", "No"))</f>
        <v>Yes</v>
      </c>
      <c r="I14" s="32"/>
      <c r="J14" s="32"/>
      <c r="K14" s="30"/>
      <c r="L14" s="30"/>
      <c r="M14" s="30"/>
      <c r="N14" s="30"/>
      <c r="O14" s="30"/>
      <c r="P14" s="30"/>
      <c r="Q14" s="30"/>
      <c r="R14" s="30"/>
      <c r="S14" s="30"/>
      <c r="T14" s="30"/>
      <c r="U14" s="30"/>
    </row>
    <row r="15" spans="2:21" ht="16" customHeight="1" x14ac:dyDescent="0.2">
      <c r="B15" s="33">
        <f t="shared" si="2"/>
        <v>44924</v>
      </c>
      <c r="C15" s="31">
        <f>COUNTIFS(ReadingList!$B$2:$B$122,"&lt;="&amp;B15, ReadingList!$B$2:$B$122,"&gt;"&amp;B14, ReadingList!$G$2:$G$122, "Abstract") + COUNTIFS(ReadingList!$B$2:$B$122,"&lt;="&amp;B15, ReadingList!$B$2:$B$122,"&gt;"&amp;B14, ReadingList!$G$2:$G$122, "No access")</f>
        <v>0</v>
      </c>
      <c r="D15" s="31">
        <f>COUNTIFS(ReadingList!$B$2:$B$122,"&lt;="&amp;B15, ReadingList!$B$2:$B$122,"&gt;"&amp;B14, ReadingList!$G$2:$G$122, $C$2) + COUNTIFS(ReadingList!$B$2:$B$122,"&lt;="&amp;B15, ReadingList!$B$2:$B$122,"&gt;"&amp;B14, ReadingList!$G$2:$G$122, $D$2) + COUNTIFS(ReadingList!$B$2:$B$122,"&lt;="&amp;B15, ReadingList!$B$2:$B$122,"&gt;"&amp;B14, ReadingList!$G$2:$G$122, $E$2) + COUNTIFS(ReadingList!$B$2:$B$122,"&lt;="&amp;B15, ReadingList!$B$2:$B$122,"&gt;"&amp;B14, ReadingList!$G$2:$G$122, "Body")</f>
        <v>0</v>
      </c>
      <c r="E15" s="31">
        <f>COUNTIFS(ReadingList!$B$2:$B$122,"&lt;="&amp;B15, ReadingList!$B$2:$B$122,"&gt;"&amp;B14,ReadingList!$G$2:$G$122,$C$2) + COUNTIFS(ReadingList!$B$2:$B$122,"&lt;="&amp;B15, ReadingList!$B$2:$B$122,"&gt;"&amp;B14,ReadingList!$G$2:$G$122,$D$2) + COUNTIFS(ReadingList!$B$2:$B$122,"&lt;="&amp;B15, ReadingList!$B$2:$B$122,"&gt;"&amp;B14,ReadingList!$G$2:$G$122,$E$2)</f>
        <v>0</v>
      </c>
      <c r="F15" s="14">
        <f t="shared" si="0"/>
        <v>0</v>
      </c>
      <c r="G15" s="6">
        <f t="shared" si="1"/>
        <v>0</v>
      </c>
      <c r="H15" s="31" t="str">
        <f>IF(SUM($D$9:D15)&gt;=$F$6,"Finished",IF(SUM($D$9:D15)&gt;=$H$6*COUNT($B$9:B15), "Yes", "No"))</f>
        <v>Yes</v>
      </c>
      <c r="I15" s="32"/>
      <c r="J15" s="32"/>
      <c r="K15" s="30"/>
      <c r="L15" s="30"/>
      <c r="M15" s="30"/>
      <c r="N15" s="30"/>
      <c r="O15" s="30"/>
      <c r="P15" s="30"/>
      <c r="Q15" s="30"/>
      <c r="R15" s="30"/>
      <c r="S15" s="30"/>
      <c r="T15" s="30"/>
      <c r="U15" s="30"/>
    </row>
    <row r="16" spans="2:21" ht="16" customHeight="1" x14ac:dyDescent="0.2">
      <c r="B16" s="33">
        <f t="shared" si="2"/>
        <v>44925</v>
      </c>
      <c r="C16" s="31">
        <f>COUNTIFS(ReadingList!$B$2:$B$122,"&lt;="&amp;B16, ReadingList!$B$2:$B$122,"&gt;"&amp;B15, ReadingList!$G$2:$G$122, "Abstract") + COUNTIFS(ReadingList!$B$2:$B$122,"&lt;="&amp;B16, ReadingList!$B$2:$B$122,"&gt;"&amp;B15, ReadingList!$G$2:$G$122, "No access")</f>
        <v>0</v>
      </c>
      <c r="D16" s="31">
        <f>COUNTIFS(ReadingList!$B$2:$B$122,"&lt;="&amp;B16, ReadingList!$B$2:$B$122,"&gt;"&amp;B15, ReadingList!$G$2:$G$122, $C$2) + COUNTIFS(ReadingList!$B$2:$B$122,"&lt;="&amp;B16, ReadingList!$B$2:$B$122,"&gt;"&amp;B15, ReadingList!$G$2:$G$122, $D$2) + COUNTIFS(ReadingList!$B$2:$B$122,"&lt;="&amp;B16, ReadingList!$B$2:$B$122,"&gt;"&amp;B15, ReadingList!$G$2:$G$122, $E$2) + COUNTIFS(ReadingList!$B$2:$B$122,"&lt;="&amp;B16, ReadingList!$B$2:$B$122,"&gt;"&amp;B15, ReadingList!$G$2:$G$122, "Body")</f>
        <v>0</v>
      </c>
      <c r="E16" s="31">
        <f>COUNTIFS(ReadingList!$B$2:$B$122,"&lt;="&amp;B16, ReadingList!$B$2:$B$122,"&gt;"&amp;B15,ReadingList!$G$2:$G$122,$C$2) + COUNTIFS(ReadingList!$B$2:$B$122,"&lt;="&amp;B16, ReadingList!$B$2:$B$122,"&gt;"&amp;B15,ReadingList!$G$2:$G$122,$D$2) + COUNTIFS(ReadingList!$B$2:$B$122,"&lt;="&amp;B16, ReadingList!$B$2:$B$122,"&gt;"&amp;B15,ReadingList!$G$2:$G$122,$E$2)</f>
        <v>0</v>
      </c>
      <c r="F16" s="14">
        <f t="shared" si="0"/>
        <v>0</v>
      </c>
      <c r="G16" s="6">
        <f t="shared" si="1"/>
        <v>0</v>
      </c>
      <c r="H16" s="31" t="str">
        <f>IF(SUM($D$9:D16)&gt;=$F$6,"Finished",IF(SUM($D$9:D16)&gt;=$H$6*COUNT($B$9:B16), "Yes", "No"))</f>
        <v>Yes</v>
      </c>
      <c r="I16" s="32"/>
      <c r="J16" s="32"/>
      <c r="K16" s="30"/>
      <c r="L16" s="30"/>
      <c r="M16" s="30"/>
      <c r="N16" s="30"/>
      <c r="O16" s="30"/>
      <c r="P16" s="30"/>
      <c r="Q16" s="30"/>
      <c r="R16" s="30"/>
      <c r="S16" s="30"/>
      <c r="T16" s="30"/>
      <c r="U16" s="30"/>
    </row>
    <row r="17" spans="2:21" ht="16" customHeight="1" x14ac:dyDescent="0.2">
      <c r="B17" s="33">
        <f t="shared" si="2"/>
        <v>44928</v>
      </c>
      <c r="C17" s="31">
        <f>COUNTIFS(ReadingList!$B$2:$B$122,"&lt;="&amp;B17, ReadingList!$B$2:$B$122,"&gt;"&amp;B16, ReadingList!$G$2:$G$122, "Abstract") + COUNTIFS(ReadingList!$B$2:$B$122,"&lt;="&amp;B17, ReadingList!$B$2:$B$122,"&gt;"&amp;B16, ReadingList!$G$2:$G$122, "No access")</f>
        <v>0</v>
      </c>
      <c r="D17" s="31">
        <f>COUNTIFS(ReadingList!$B$2:$B$122,"&lt;="&amp;B17, ReadingList!$B$2:$B$122,"&gt;"&amp;B16, ReadingList!$G$2:$G$122, $C$2) + COUNTIFS(ReadingList!$B$2:$B$122,"&lt;="&amp;B17, ReadingList!$B$2:$B$122,"&gt;"&amp;B16, ReadingList!$G$2:$G$122, $D$2) + COUNTIFS(ReadingList!$B$2:$B$122,"&lt;="&amp;B17, ReadingList!$B$2:$B$122,"&gt;"&amp;B16, ReadingList!$G$2:$G$122, $E$2) + COUNTIFS(ReadingList!$B$2:$B$122,"&lt;="&amp;B17, ReadingList!$B$2:$B$122,"&gt;"&amp;B16, ReadingList!$G$2:$G$122, "Body")</f>
        <v>0</v>
      </c>
      <c r="E17" s="31">
        <f>COUNTIFS(ReadingList!$B$2:$B$122,"&lt;="&amp;B17, ReadingList!$B$2:$B$122,"&gt;"&amp;B16,ReadingList!$G$2:$G$122,$C$2) + COUNTIFS(ReadingList!$B$2:$B$122,"&lt;="&amp;B17, ReadingList!$B$2:$B$122,"&gt;"&amp;B16,ReadingList!$G$2:$G$122,$D$2) + COUNTIFS(ReadingList!$B$2:$B$122,"&lt;="&amp;B17, ReadingList!$B$2:$B$122,"&gt;"&amp;B16,ReadingList!$G$2:$G$122,$E$2)</f>
        <v>0</v>
      </c>
      <c r="F17" s="14">
        <f t="shared" si="0"/>
        <v>0</v>
      </c>
      <c r="G17" s="6">
        <f t="shared" si="1"/>
        <v>0</v>
      </c>
      <c r="H17" s="31" t="str">
        <f>IF(SUM($D$9:D17)&gt;=$F$6,"Finished",IF(SUM($D$9:D17)&gt;=$H$6*COUNT($B$9:B17), "Yes", "No"))</f>
        <v>Yes</v>
      </c>
      <c r="I17" s="32"/>
      <c r="J17" s="32"/>
      <c r="K17" s="30"/>
      <c r="L17" s="30"/>
      <c r="M17" s="30"/>
      <c r="N17" s="30"/>
      <c r="O17" s="30"/>
      <c r="P17" s="30"/>
      <c r="Q17" s="30"/>
      <c r="R17" s="30"/>
      <c r="S17" s="30"/>
      <c r="T17" s="30"/>
      <c r="U17" s="30"/>
    </row>
    <row r="18" spans="2:21" ht="16" customHeight="1" x14ac:dyDescent="0.2">
      <c r="B18" s="33">
        <f t="shared" si="2"/>
        <v>44929</v>
      </c>
      <c r="C18" s="31">
        <f>COUNTIFS(ReadingList!$B$2:$B$122,"&lt;="&amp;B18, ReadingList!$B$2:$B$122,"&gt;"&amp;B17, ReadingList!$G$2:$G$122, "Abstract") + COUNTIFS(ReadingList!$B$2:$B$122,"&lt;="&amp;B18, ReadingList!$B$2:$B$122,"&gt;"&amp;B17, ReadingList!$G$2:$G$122, "No access")</f>
        <v>0</v>
      </c>
      <c r="D18" s="31">
        <f>COUNTIFS(ReadingList!$B$2:$B$122,"&lt;="&amp;B18, ReadingList!$B$2:$B$122,"&gt;"&amp;B17, ReadingList!$G$2:$G$122, $C$2) + COUNTIFS(ReadingList!$B$2:$B$122,"&lt;="&amp;B18, ReadingList!$B$2:$B$122,"&gt;"&amp;B17, ReadingList!$G$2:$G$122, $D$2) + COUNTIFS(ReadingList!$B$2:$B$122,"&lt;="&amp;B18, ReadingList!$B$2:$B$122,"&gt;"&amp;B17, ReadingList!$G$2:$G$122, $E$2) + COUNTIFS(ReadingList!$B$2:$B$122,"&lt;="&amp;B18, ReadingList!$B$2:$B$122,"&gt;"&amp;B17, ReadingList!$G$2:$G$122, "Body")</f>
        <v>0</v>
      </c>
      <c r="E18" s="31">
        <f>COUNTIFS(ReadingList!$B$2:$B$122,"&lt;="&amp;B18, ReadingList!$B$2:$B$122,"&gt;"&amp;B17,ReadingList!$G$2:$G$122,$C$2) + COUNTIFS(ReadingList!$B$2:$B$122,"&lt;="&amp;B18, ReadingList!$B$2:$B$122,"&gt;"&amp;B17,ReadingList!$G$2:$G$122,$D$2) + COUNTIFS(ReadingList!$B$2:$B$122,"&lt;="&amp;B18, ReadingList!$B$2:$B$122,"&gt;"&amp;B17,ReadingList!$G$2:$G$122,$E$2)</f>
        <v>0</v>
      </c>
      <c r="F18" s="14">
        <f t="shared" si="0"/>
        <v>0</v>
      </c>
      <c r="G18" s="6">
        <f t="shared" si="1"/>
        <v>0</v>
      </c>
      <c r="H18" s="31" t="str">
        <f>IF(SUM($D$9:D18)&gt;=$F$6,"Finished",IF(SUM($D$9:D18)&gt;=$H$6*COUNT($B$9:B18), "Yes", "No"))</f>
        <v>Yes</v>
      </c>
      <c r="I18" s="32"/>
      <c r="J18" s="32"/>
      <c r="K18" s="30"/>
      <c r="L18" s="30"/>
      <c r="M18" s="30"/>
      <c r="N18" s="30"/>
      <c r="O18" s="30"/>
      <c r="P18" s="30"/>
      <c r="Q18" s="30"/>
      <c r="R18" s="30"/>
      <c r="S18" s="30"/>
      <c r="T18" s="30"/>
      <c r="U18" s="30"/>
    </row>
    <row r="19" spans="2:21" ht="16" customHeight="1" x14ac:dyDescent="0.2">
      <c r="B19" s="33">
        <f t="shared" si="2"/>
        <v>44930</v>
      </c>
      <c r="C19" s="31">
        <f>COUNTIFS(ReadingList!$B$2:$B$122,"&lt;="&amp;B19, ReadingList!$B$2:$B$122,"&gt;"&amp;B18, ReadingList!$G$2:$G$122, "Abstract") + COUNTIFS(ReadingList!$B$2:$B$122,"&lt;="&amp;B19, ReadingList!$B$2:$B$122,"&gt;"&amp;B18, ReadingList!$G$2:$G$122, "No access")</f>
        <v>0</v>
      </c>
      <c r="D19" s="31">
        <f>COUNTIFS(ReadingList!$B$2:$B$122,"&lt;="&amp;B19, ReadingList!$B$2:$B$122,"&gt;"&amp;B18, ReadingList!$G$2:$G$122, $C$2) + COUNTIFS(ReadingList!$B$2:$B$122,"&lt;="&amp;B19, ReadingList!$B$2:$B$122,"&gt;"&amp;B18, ReadingList!$G$2:$G$122, $D$2) + COUNTIFS(ReadingList!$B$2:$B$122,"&lt;="&amp;B19, ReadingList!$B$2:$B$122,"&gt;"&amp;B18, ReadingList!$G$2:$G$122, $E$2) + COUNTIFS(ReadingList!$B$2:$B$122,"&lt;="&amp;B19, ReadingList!$B$2:$B$122,"&gt;"&amp;B18, ReadingList!$G$2:$G$122, "Body")</f>
        <v>0</v>
      </c>
      <c r="E19" s="31">
        <f>COUNTIFS(ReadingList!$B$2:$B$122,"&lt;="&amp;B19, ReadingList!$B$2:$B$122,"&gt;"&amp;B18,ReadingList!$G$2:$G$122,$C$2) + COUNTIFS(ReadingList!$B$2:$B$122,"&lt;="&amp;B19, ReadingList!$B$2:$B$122,"&gt;"&amp;B18,ReadingList!$G$2:$G$122,$D$2) + COUNTIFS(ReadingList!$B$2:$B$122,"&lt;="&amp;B19, ReadingList!$B$2:$B$122,"&gt;"&amp;B18,ReadingList!$G$2:$G$122,$E$2)</f>
        <v>0</v>
      </c>
      <c r="F19" s="14">
        <f t="shared" si="0"/>
        <v>0</v>
      </c>
      <c r="G19" s="6">
        <f t="shared" si="1"/>
        <v>0</v>
      </c>
      <c r="H19" s="31" t="str">
        <f>IF(SUM($D$9:D19)&gt;=$F$6,"Finished",IF(SUM($D$9:D19)&gt;=$H$6*COUNT($B$9:B19), "Yes", "No"))</f>
        <v>No</v>
      </c>
      <c r="I19" s="32"/>
      <c r="J19" s="32"/>
      <c r="K19" s="30"/>
      <c r="L19" s="30"/>
      <c r="M19" s="30"/>
      <c r="N19" s="30"/>
      <c r="O19" s="30"/>
      <c r="P19" s="30"/>
      <c r="Q19" s="30"/>
      <c r="R19" s="30"/>
      <c r="S19" s="30"/>
      <c r="T19" s="30"/>
      <c r="U19" s="30"/>
    </row>
    <row r="20" spans="2:21" ht="16" customHeight="1" x14ac:dyDescent="0.2">
      <c r="B20" s="33">
        <f t="shared" si="2"/>
        <v>44931</v>
      </c>
      <c r="C20" s="31">
        <f>COUNTIFS(ReadingList!$B$2:$B$122,"&lt;="&amp;B20, ReadingList!$B$2:$B$122,"&gt;"&amp;B19, ReadingList!$G$2:$G$122, "Abstract") + COUNTIFS(ReadingList!$B$2:$B$122,"&lt;="&amp;B20, ReadingList!$B$2:$B$122,"&gt;"&amp;B19, ReadingList!$G$2:$G$122, "No access")</f>
        <v>0</v>
      </c>
      <c r="D20" s="31">
        <f>COUNTIFS(ReadingList!$B$2:$B$122,"&lt;="&amp;B20, ReadingList!$B$2:$B$122,"&gt;"&amp;B19, ReadingList!$G$2:$G$122, $C$2) + COUNTIFS(ReadingList!$B$2:$B$122,"&lt;="&amp;B20, ReadingList!$B$2:$B$122,"&gt;"&amp;B19, ReadingList!$G$2:$G$122, $D$2) + COUNTIFS(ReadingList!$B$2:$B$122,"&lt;="&amp;B20, ReadingList!$B$2:$B$122,"&gt;"&amp;B19, ReadingList!$G$2:$G$122, $E$2) + COUNTIFS(ReadingList!$B$2:$B$122,"&lt;="&amp;B20, ReadingList!$B$2:$B$122,"&gt;"&amp;B19, ReadingList!$G$2:$G$122, "Body")</f>
        <v>0</v>
      </c>
      <c r="E20" s="31">
        <f>COUNTIFS(ReadingList!$B$2:$B$122,"&lt;="&amp;B20, ReadingList!$B$2:$B$122,"&gt;"&amp;B19,ReadingList!$G$2:$G$122,$C$2) + COUNTIFS(ReadingList!$B$2:$B$122,"&lt;="&amp;B20, ReadingList!$B$2:$B$122,"&gt;"&amp;B19,ReadingList!$G$2:$G$122,$D$2) + COUNTIFS(ReadingList!$B$2:$B$122,"&lt;="&amp;B20, ReadingList!$B$2:$B$122,"&gt;"&amp;B19,ReadingList!$G$2:$G$122,$E$2)</f>
        <v>0</v>
      </c>
      <c r="F20" s="14">
        <f t="shared" si="0"/>
        <v>0</v>
      </c>
      <c r="G20" s="6">
        <f t="shared" si="1"/>
        <v>0</v>
      </c>
      <c r="H20" s="31" t="str">
        <f>IF(SUM($D$9:D20)&gt;=$F$6,"Finished",IF(SUM($D$9:D20)&gt;=$H$6*COUNT($B$9:B20), "Yes", "No"))</f>
        <v>No</v>
      </c>
      <c r="I20" s="32"/>
      <c r="J20" s="32"/>
      <c r="K20" s="30"/>
      <c r="L20" s="30"/>
      <c r="M20" s="30"/>
      <c r="N20" s="30"/>
      <c r="O20" s="30"/>
      <c r="P20" s="30"/>
      <c r="Q20" s="30"/>
    </row>
    <row r="21" spans="2:21" ht="16" customHeight="1" x14ac:dyDescent="0.2">
      <c r="B21" s="33">
        <f t="shared" si="2"/>
        <v>44932</v>
      </c>
      <c r="C21" s="31">
        <f>COUNTIFS(ReadingList!$B$2:$B$122,"&lt;="&amp;B21, ReadingList!$B$2:$B$122,"&gt;"&amp;B20, ReadingList!$G$2:$G$122, "Abstract") + COUNTIFS(ReadingList!$B$2:$B$122,"&lt;="&amp;B21, ReadingList!$B$2:$B$122,"&gt;"&amp;B20, ReadingList!$G$2:$G$122, "No access")</f>
        <v>0</v>
      </c>
      <c r="D21" s="31">
        <f>COUNTIFS(ReadingList!$B$2:$B$122,"&lt;="&amp;B21, ReadingList!$B$2:$B$122,"&gt;"&amp;B20, ReadingList!$G$2:$G$122, $C$2) + COUNTIFS(ReadingList!$B$2:$B$122,"&lt;="&amp;B21, ReadingList!$B$2:$B$122,"&gt;"&amp;B20, ReadingList!$G$2:$G$122, $D$2) + COUNTIFS(ReadingList!$B$2:$B$122,"&lt;="&amp;B21, ReadingList!$B$2:$B$122,"&gt;"&amp;B20, ReadingList!$G$2:$G$122, $E$2) + COUNTIFS(ReadingList!$B$2:$B$122,"&lt;="&amp;B21, ReadingList!$B$2:$B$122,"&gt;"&amp;B20, ReadingList!$G$2:$G$122, "Body")</f>
        <v>0</v>
      </c>
      <c r="E21" s="31">
        <f>COUNTIFS(ReadingList!$B$2:$B$122,"&lt;="&amp;B21, ReadingList!$B$2:$B$122,"&gt;"&amp;B20,ReadingList!$G$2:$G$122,$C$2) + COUNTIFS(ReadingList!$B$2:$B$122,"&lt;="&amp;B21, ReadingList!$B$2:$B$122,"&gt;"&amp;B20,ReadingList!$G$2:$G$122,$D$2) + COUNTIFS(ReadingList!$B$2:$B$122,"&lt;="&amp;B21, ReadingList!$B$2:$B$122,"&gt;"&amp;B20,ReadingList!$G$2:$G$122,$E$2)</f>
        <v>0</v>
      </c>
      <c r="F21" s="14">
        <f t="shared" si="0"/>
        <v>0</v>
      </c>
      <c r="G21" s="6">
        <f t="shared" si="1"/>
        <v>0</v>
      </c>
      <c r="H21" s="31" t="str">
        <f>IF(SUM($D$9:D21)&gt;=$F$6,"Finished",IF(SUM($D$9:D21)&gt;=$H$6*COUNT($B$9:B21), "Yes", "No"))</f>
        <v>No</v>
      </c>
      <c r="I21" s="32"/>
      <c r="J21" s="32"/>
      <c r="K21" s="30"/>
      <c r="L21" s="30"/>
      <c r="M21" s="30"/>
    </row>
    <row r="22" spans="2:21" ht="16" customHeight="1" x14ac:dyDescent="0.2">
      <c r="B22" s="33">
        <f t="shared" si="2"/>
        <v>44935</v>
      </c>
      <c r="C22" s="31">
        <f>COUNTIFS(ReadingList!$B$2:$B$122,"&lt;="&amp;B22, ReadingList!$B$2:$B$122,"&gt;"&amp;B21, ReadingList!$G$2:$G$122, "Abstract") + COUNTIFS(ReadingList!$B$2:$B$122,"&lt;="&amp;B22, ReadingList!$B$2:$B$122,"&gt;"&amp;B21, ReadingList!$G$2:$G$122, "No access")</f>
        <v>0</v>
      </c>
      <c r="D22" s="31">
        <f>COUNTIFS(ReadingList!$B$2:$B$122,"&lt;="&amp;B22, ReadingList!$B$2:$B$122,"&gt;"&amp;B21, ReadingList!$G$2:$G$122, $C$2) + COUNTIFS(ReadingList!$B$2:$B$122,"&lt;="&amp;B22, ReadingList!$B$2:$B$122,"&gt;"&amp;B21, ReadingList!$G$2:$G$122, $D$2) + COUNTIFS(ReadingList!$B$2:$B$122,"&lt;="&amp;B22, ReadingList!$B$2:$B$122,"&gt;"&amp;B21, ReadingList!$G$2:$G$122, $E$2) + COUNTIFS(ReadingList!$B$2:$B$122,"&lt;="&amp;B22, ReadingList!$B$2:$B$122,"&gt;"&amp;B21, ReadingList!$G$2:$G$122, "Body")</f>
        <v>0</v>
      </c>
      <c r="E22" s="31">
        <f>COUNTIFS(ReadingList!$B$2:$B$122,"&lt;="&amp;B22, ReadingList!$B$2:$B$122,"&gt;"&amp;B21,ReadingList!$G$2:$G$122,$C$2) + COUNTIFS(ReadingList!$B$2:$B$122,"&lt;="&amp;B22, ReadingList!$B$2:$B$122,"&gt;"&amp;B21,ReadingList!$G$2:$G$122,$D$2) + COUNTIFS(ReadingList!$B$2:$B$122,"&lt;="&amp;B22, ReadingList!$B$2:$B$122,"&gt;"&amp;B21,ReadingList!$G$2:$G$122,$E$2)</f>
        <v>0</v>
      </c>
      <c r="F22" s="14">
        <f t="shared" si="0"/>
        <v>0</v>
      </c>
      <c r="G22" s="6">
        <f t="shared" si="1"/>
        <v>0</v>
      </c>
      <c r="H22" s="31" t="str">
        <f>IF(SUM($D$9:D22)&gt;=$F$6,"Finished",IF(SUM($D$9:D22)&gt;=$H$6*COUNT($B$9:B22), "Yes", "No"))</f>
        <v>No</v>
      </c>
      <c r="I22" s="32"/>
      <c r="J22" s="32"/>
      <c r="K22" s="30"/>
      <c r="L22" s="30"/>
      <c r="M22" s="30"/>
    </row>
    <row r="23" spans="2:21" ht="16" customHeight="1" x14ac:dyDescent="0.15">
      <c r="B23" s="33">
        <f t="shared" si="2"/>
        <v>44936</v>
      </c>
      <c r="C23" s="31">
        <f>COUNTIFS(ReadingList!$B$2:$B$122,"&lt;="&amp;B23, ReadingList!$B$2:$B$122,"&gt;"&amp;B22, ReadingList!$G$2:$G$122, "Abstract") + COUNTIFS(ReadingList!$B$2:$B$122,"&lt;="&amp;B23, ReadingList!$B$2:$B$122,"&gt;"&amp;B22, ReadingList!$G$2:$G$122, "No access")</f>
        <v>0</v>
      </c>
      <c r="D23" s="31">
        <f>COUNTIFS(ReadingList!$B$2:$B$122,"&lt;="&amp;B23, ReadingList!$B$2:$B$122,"&gt;"&amp;B22, ReadingList!$G$2:$G$122, $C$2) + COUNTIFS(ReadingList!$B$2:$B$122,"&lt;="&amp;B23, ReadingList!$B$2:$B$122,"&gt;"&amp;B22, ReadingList!$G$2:$G$122, $D$2) + COUNTIFS(ReadingList!$B$2:$B$122,"&lt;="&amp;B23, ReadingList!$B$2:$B$122,"&gt;"&amp;B22, ReadingList!$G$2:$G$122, $E$2) + COUNTIFS(ReadingList!$B$2:$B$122,"&lt;="&amp;B23, ReadingList!$B$2:$B$122,"&gt;"&amp;B22, ReadingList!$G$2:$G$122, "Body")</f>
        <v>0</v>
      </c>
      <c r="E23" s="31">
        <f>COUNTIFS(ReadingList!$B$2:$B$122,"&lt;="&amp;B23, ReadingList!$B$2:$B$122,"&gt;"&amp;B22,ReadingList!$G$2:$G$122,$C$2) + COUNTIFS(ReadingList!$B$2:$B$122,"&lt;="&amp;B23, ReadingList!$B$2:$B$122,"&gt;"&amp;B22,ReadingList!$G$2:$G$122,$D$2) + COUNTIFS(ReadingList!$B$2:$B$122,"&lt;="&amp;B23, ReadingList!$B$2:$B$122,"&gt;"&amp;B22,ReadingList!$G$2:$G$122,$E$2)</f>
        <v>0</v>
      </c>
      <c r="F23" s="14">
        <f t="shared" si="0"/>
        <v>0</v>
      </c>
      <c r="G23" s="6">
        <f t="shared" si="1"/>
        <v>0</v>
      </c>
      <c r="H23" s="31" t="str">
        <f>IF(SUM($D$9:D23)&gt;=$F$6,"Finished",IF(SUM($D$9:D23)&gt;=$H$6*COUNT($B$9:B23), "Yes", "No"))</f>
        <v>No</v>
      </c>
      <c r="I23" s="32"/>
      <c r="J23" s="32"/>
    </row>
    <row r="24" spans="2:21" ht="16" customHeight="1" x14ac:dyDescent="0.15">
      <c r="B24" s="33">
        <f t="shared" si="2"/>
        <v>44937</v>
      </c>
      <c r="C24" s="31">
        <f>COUNTIFS(ReadingList!$B$2:$B$122,"&lt;="&amp;B24, ReadingList!$B$2:$B$122,"&gt;"&amp;B23, ReadingList!$G$2:$G$122, "Abstract") + COUNTIFS(ReadingList!$B$2:$B$122,"&lt;="&amp;B24, ReadingList!$B$2:$B$122,"&gt;"&amp;B23, ReadingList!$G$2:$G$122, "No access")</f>
        <v>0</v>
      </c>
      <c r="D24" s="31">
        <f>COUNTIFS(ReadingList!$B$2:$B$122,"&lt;="&amp;B24, ReadingList!$B$2:$B$122,"&gt;"&amp;B23, ReadingList!$G$2:$G$122, $C$2) + COUNTIFS(ReadingList!$B$2:$B$122,"&lt;="&amp;B24, ReadingList!$B$2:$B$122,"&gt;"&amp;B23, ReadingList!$G$2:$G$122, $D$2) + COUNTIFS(ReadingList!$B$2:$B$122,"&lt;="&amp;B24, ReadingList!$B$2:$B$122,"&gt;"&amp;B23, ReadingList!$G$2:$G$122, $E$2) + COUNTIFS(ReadingList!$B$2:$B$122,"&lt;="&amp;B24, ReadingList!$B$2:$B$122,"&gt;"&amp;B23, ReadingList!$G$2:$G$122, "Body")</f>
        <v>0</v>
      </c>
      <c r="E24" s="31">
        <f>COUNTIFS(ReadingList!$B$2:$B$122,"&lt;="&amp;B24, ReadingList!$B$2:$B$122,"&gt;"&amp;B23,ReadingList!$G$2:$G$122,$C$2) + COUNTIFS(ReadingList!$B$2:$B$122,"&lt;="&amp;B24, ReadingList!$B$2:$B$122,"&gt;"&amp;B23,ReadingList!$G$2:$G$122,$D$2) + COUNTIFS(ReadingList!$B$2:$B$122,"&lt;="&amp;B24, ReadingList!$B$2:$B$122,"&gt;"&amp;B23,ReadingList!$G$2:$G$122,$E$2)</f>
        <v>0</v>
      </c>
      <c r="F24" s="14">
        <f t="shared" si="0"/>
        <v>0</v>
      </c>
      <c r="G24" s="6">
        <f t="shared" si="1"/>
        <v>0</v>
      </c>
      <c r="H24" s="31" t="str">
        <f>IF(SUM($D$9:D24)&gt;=$F$6,"Finished",IF(SUM($D$9:D24)&gt;=$H$6*COUNT($B$9:B24), "Yes", "No"))</f>
        <v>No</v>
      </c>
      <c r="I24" s="32"/>
      <c r="J24" s="32"/>
    </row>
    <row r="25" spans="2:21" ht="16" customHeight="1" x14ac:dyDescent="0.15">
      <c r="B25" s="33">
        <f t="shared" si="2"/>
        <v>44938</v>
      </c>
      <c r="C25" s="31">
        <f>COUNTIFS(ReadingList!$B$2:$B$122,"&lt;="&amp;B25, ReadingList!$B$2:$B$122,"&gt;"&amp;B24, ReadingList!$G$2:$G$122, "Abstract") + COUNTIFS(ReadingList!$B$2:$B$122,"&lt;="&amp;B25, ReadingList!$B$2:$B$122,"&gt;"&amp;B24, ReadingList!$G$2:$G$122, "No access")</f>
        <v>0</v>
      </c>
      <c r="D25" s="31">
        <f>COUNTIFS(ReadingList!$B$2:$B$122,"&lt;="&amp;B25, ReadingList!$B$2:$B$122,"&gt;"&amp;B24, ReadingList!$G$2:$G$122, $C$2) + COUNTIFS(ReadingList!$B$2:$B$122,"&lt;="&amp;B25, ReadingList!$B$2:$B$122,"&gt;"&amp;B24, ReadingList!$G$2:$G$122, $D$2) + COUNTIFS(ReadingList!$B$2:$B$122,"&lt;="&amp;B25, ReadingList!$B$2:$B$122,"&gt;"&amp;B24, ReadingList!$G$2:$G$122, $E$2) + COUNTIFS(ReadingList!$B$2:$B$122,"&lt;="&amp;B25, ReadingList!$B$2:$B$122,"&gt;"&amp;B24, ReadingList!$G$2:$G$122, "Body")</f>
        <v>0</v>
      </c>
      <c r="E25" s="31">
        <f>COUNTIFS(ReadingList!$B$2:$B$122,"&lt;="&amp;B25, ReadingList!$B$2:$B$122,"&gt;"&amp;B24,ReadingList!$G$2:$G$122,$C$2) + COUNTIFS(ReadingList!$B$2:$B$122,"&lt;="&amp;B25, ReadingList!$B$2:$B$122,"&gt;"&amp;B24,ReadingList!$G$2:$G$122,$D$2) + COUNTIFS(ReadingList!$B$2:$B$122,"&lt;="&amp;B25, ReadingList!$B$2:$B$122,"&gt;"&amp;B24,ReadingList!$G$2:$G$122,$E$2)</f>
        <v>0</v>
      </c>
      <c r="F25" s="14">
        <f t="shared" si="0"/>
        <v>0</v>
      </c>
      <c r="G25" s="6">
        <f t="shared" si="1"/>
        <v>0</v>
      </c>
      <c r="H25" s="31" t="str">
        <f>IF(SUM($D$9:D25)&gt;=$F$6,"Finished",IF(SUM($D$9:D25)&gt;=$H$6*COUNT($B$9:B25), "Yes", "No"))</f>
        <v>No</v>
      </c>
      <c r="I25" s="32"/>
      <c r="J25" s="32"/>
    </row>
    <row r="26" spans="2:21" ht="16" customHeight="1" x14ac:dyDescent="0.15">
      <c r="B26" s="33">
        <f t="shared" si="2"/>
        <v>44939</v>
      </c>
      <c r="C26" s="31">
        <f>COUNTIFS(ReadingList!$B$2:$B$122,"&lt;="&amp;B26, ReadingList!$B$2:$B$122,"&gt;"&amp;B25, ReadingList!$G$2:$G$122, "Abstract") + COUNTIFS(ReadingList!$B$2:$B$122,"&lt;="&amp;B26, ReadingList!$B$2:$B$122,"&gt;"&amp;B25, ReadingList!$G$2:$G$122, "No access")</f>
        <v>0</v>
      </c>
      <c r="D26" s="31">
        <f>COUNTIFS(ReadingList!$B$2:$B$122,"&lt;="&amp;B26, ReadingList!$B$2:$B$122,"&gt;"&amp;B25, ReadingList!$G$2:$G$122, $C$2) + COUNTIFS(ReadingList!$B$2:$B$122,"&lt;="&amp;B26, ReadingList!$B$2:$B$122,"&gt;"&amp;B25, ReadingList!$G$2:$G$122, $D$2) + COUNTIFS(ReadingList!$B$2:$B$122,"&lt;="&amp;B26, ReadingList!$B$2:$B$122,"&gt;"&amp;B25, ReadingList!$G$2:$G$122, $E$2) + COUNTIFS(ReadingList!$B$2:$B$122,"&lt;="&amp;B26, ReadingList!$B$2:$B$122,"&gt;"&amp;B25, ReadingList!$G$2:$G$122, "Body")</f>
        <v>0</v>
      </c>
      <c r="E26" s="31">
        <f>COUNTIFS(ReadingList!$B$2:$B$122,"&lt;="&amp;B26, ReadingList!$B$2:$B$122,"&gt;"&amp;B25,ReadingList!$G$2:$G$122,$C$2) + COUNTIFS(ReadingList!$B$2:$B$122,"&lt;="&amp;B26, ReadingList!$B$2:$B$122,"&gt;"&amp;B25,ReadingList!$G$2:$G$122,$D$2) + COUNTIFS(ReadingList!$B$2:$B$122,"&lt;="&amp;B26, ReadingList!$B$2:$B$122,"&gt;"&amp;B25,ReadingList!$G$2:$G$122,$E$2)</f>
        <v>0</v>
      </c>
      <c r="F26" s="14">
        <f t="shared" si="0"/>
        <v>0</v>
      </c>
      <c r="G26" s="6">
        <f t="shared" si="1"/>
        <v>0</v>
      </c>
      <c r="H26" s="31" t="str">
        <f>IF(SUM($D$9:D26)&gt;=$F$6,"Finished",IF(SUM($D$9:D26)&gt;=$H$6*COUNT($B$9:B26), "Yes", "No"))</f>
        <v>No</v>
      </c>
      <c r="I26" s="32"/>
      <c r="J26" s="32"/>
    </row>
    <row r="27" spans="2:21" ht="16" customHeight="1" x14ac:dyDescent="0.15">
      <c r="B27" s="33">
        <f t="shared" si="2"/>
        <v>44942</v>
      </c>
      <c r="C27" s="31">
        <f>COUNTIFS(ReadingList!$B$2:$B$122,"&lt;="&amp;B27, ReadingList!$B$2:$B$122,"&gt;"&amp;B26, ReadingList!$G$2:$G$122, "Abstract") + COUNTIFS(ReadingList!$B$2:$B$122,"&lt;="&amp;B27, ReadingList!$B$2:$B$122,"&gt;"&amp;B26, ReadingList!$G$2:$G$122, "No access")</f>
        <v>0</v>
      </c>
      <c r="D27" s="31">
        <f>COUNTIFS(ReadingList!$B$2:$B$122,"&lt;="&amp;B27, ReadingList!$B$2:$B$122,"&gt;"&amp;B26, ReadingList!$G$2:$G$122, $C$2) + COUNTIFS(ReadingList!$B$2:$B$122,"&lt;="&amp;B27, ReadingList!$B$2:$B$122,"&gt;"&amp;B26, ReadingList!$G$2:$G$122, $D$2) + COUNTIFS(ReadingList!$B$2:$B$122,"&lt;="&amp;B27, ReadingList!$B$2:$B$122,"&gt;"&amp;B26, ReadingList!$G$2:$G$122, $E$2) + COUNTIFS(ReadingList!$B$2:$B$122,"&lt;="&amp;B27, ReadingList!$B$2:$B$122,"&gt;"&amp;B26, ReadingList!$G$2:$G$122, "Body")</f>
        <v>0</v>
      </c>
      <c r="E27" s="31">
        <f>COUNTIFS(ReadingList!$B$2:$B$122,"&lt;="&amp;B27, ReadingList!$B$2:$B$122,"&gt;"&amp;B26,ReadingList!$G$2:$G$122,$C$2) + COUNTIFS(ReadingList!$B$2:$B$122,"&lt;="&amp;B27, ReadingList!$B$2:$B$122,"&gt;"&amp;B26,ReadingList!$G$2:$G$122,$D$2) + COUNTIFS(ReadingList!$B$2:$B$122,"&lt;="&amp;B27, ReadingList!$B$2:$B$122,"&gt;"&amp;B26,ReadingList!$G$2:$G$122,$E$2)</f>
        <v>0</v>
      </c>
      <c r="F27" s="14">
        <f t="shared" si="0"/>
        <v>0</v>
      </c>
      <c r="G27" s="6">
        <f t="shared" si="1"/>
        <v>0</v>
      </c>
      <c r="H27" s="31" t="str">
        <f>IF(SUM($D$9:D27)&gt;=$F$6,"Finished",IF(SUM($D$9:D27)&gt;=$H$6*COUNT($B$9:B27), "Yes", "No"))</f>
        <v>No</v>
      </c>
      <c r="I27" s="32"/>
      <c r="J27" s="32"/>
    </row>
    <row r="28" spans="2:21" ht="16" customHeight="1" x14ac:dyDescent="0.15">
      <c r="B28" s="33">
        <f t="shared" si="2"/>
        <v>44943</v>
      </c>
      <c r="C28" s="31">
        <f>COUNTIFS(ReadingList!$B$2:$B$122,"&lt;="&amp;B28, ReadingList!$B$2:$B$122,"&gt;"&amp;B27, ReadingList!$G$2:$G$122, "Abstract") + COUNTIFS(ReadingList!$B$2:$B$122,"&lt;="&amp;B28, ReadingList!$B$2:$B$122,"&gt;"&amp;B27, ReadingList!$G$2:$G$122, "No access")</f>
        <v>0</v>
      </c>
      <c r="D28" s="31">
        <f>COUNTIFS(ReadingList!$B$2:$B$122,"&lt;="&amp;B28, ReadingList!$B$2:$B$122,"&gt;"&amp;B27, ReadingList!$G$2:$G$122, $C$2) + COUNTIFS(ReadingList!$B$2:$B$122,"&lt;="&amp;B28, ReadingList!$B$2:$B$122,"&gt;"&amp;B27, ReadingList!$G$2:$G$122, $D$2) + COUNTIFS(ReadingList!$B$2:$B$122,"&lt;="&amp;B28, ReadingList!$B$2:$B$122,"&gt;"&amp;B27, ReadingList!$G$2:$G$122, $E$2) + COUNTIFS(ReadingList!$B$2:$B$122,"&lt;="&amp;B28, ReadingList!$B$2:$B$122,"&gt;"&amp;B27, ReadingList!$G$2:$G$122, "Body")</f>
        <v>0</v>
      </c>
      <c r="E28" s="31">
        <f>COUNTIFS(ReadingList!$B$2:$B$122,"&lt;="&amp;B28, ReadingList!$B$2:$B$122,"&gt;"&amp;B27,ReadingList!$G$2:$G$122,$C$2) + COUNTIFS(ReadingList!$B$2:$B$122,"&lt;="&amp;B28, ReadingList!$B$2:$B$122,"&gt;"&amp;B27,ReadingList!$G$2:$G$122,$D$2) + COUNTIFS(ReadingList!$B$2:$B$122,"&lt;="&amp;B28, ReadingList!$B$2:$B$122,"&gt;"&amp;B27,ReadingList!$G$2:$G$122,$E$2)</f>
        <v>0</v>
      </c>
      <c r="F28" s="14">
        <f t="shared" si="0"/>
        <v>0</v>
      </c>
      <c r="G28" s="6">
        <f t="shared" si="1"/>
        <v>0</v>
      </c>
      <c r="H28" s="31" t="str">
        <f>IF(SUM($D$9:D28)&gt;=$F$6,"Finished",IF(SUM($D$9:D28)&gt;=$H$6*COUNT($B$9:B28), "Yes", "No"))</f>
        <v>No</v>
      </c>
      <c r="I28" s="32"/>
      <c r="J28" s="32"/>
    </row>
    <row r="29" spans="2:21" ht="16" customHeight="1" x14ac:dyDescent="0.15">
      <c r="B29" s="33">
        <f t="shared" si="2"/>
        <v>44944</v>
      </c>
      <c r="C29" s="31">
        <f>COUNTIFS(ReadingList!$B$2:$B$122,"&lt;="&amp;B29, ReadingList!$B$2:$B$122,"&gt;"&amp;B28, ReadingList!$G$2:$G$122, "Abstract") + COUNTIFS(ReadingList!$B$2:$B$122,"&lt;="&amp;B29, ReadingList!$B$2:$B$122,"&gt;"&amp;B28, ReadingList!$G$2:$G$122, "No access")</f>
        <v>0</v>
      </c>
      <c r="D29" s="31">
        <f>COUNTIFS(ReadingList!$B$2:$B$122,"&lt;="&amp;B29, ReadingList!$B$2:$B$122,"&gt;"&amp;B28, ReadingList!$G$2:$G$122, $C$2) + COUNTIFS(ReadingList!$B$2:$B$122,"&lt;="&amp;B29, ReadingList!$B$2:$B$122,"&gt;"&amp;B28, ReadingList!$G$2:$G$122, $D$2) + COUNTIFS(ReadingList!$B$2:$B$122,"&lt;="&amp;B29, ReadingList!$B$2:$B$122,"&gt;"&amp;B28, ReadingList!$G$2:$G$122, $E$2) + COUNTIFS(ReadingList!$B$2:$B$122,"&lt;="&amp;B29, ReadingList!$B$2:$B$122,"&gt;"&amp;B28, ReadingList!$G$2:$G$122, "Body")</f>
        <v>0</v>
      </c>
      <c r="E29" s="31">
        <f>COUNTIFS(ReadingList!$B$2:$B$122,"&lt;="&amp;B29, ReadingList!$B$2:$B$122,"&gt;"&amp;B28,ReadingList!$G$2:$G$122,$C$2) + COUNTIFS(ReadingList!$B$2:$B$122,"&lt;="&amp;B29, ReadingList!$B$2:$B$122,"&gt;"&amp;B28,ReadingList!$G$2:$G$122,$D$2) + COUNTIFS(ReadingList!$B$2:$B$122,"&lt;="&amp;B29, ReadingList!$B$2:$B$122,"&gt;"&amp;B28,ReadingList!$G$2:$G$122,$E$2)</f>
        <v>0</v>
      </c>
      <c r="F29" s="14">
        <f t="shared" si="0"/>
        <v>0</v>
      </c>
      <c r="G29" s="6">
        <f t="shared" si="1"/>
        <v>0</v>
      </c>
      <c r="H29" s="31" t="str">
        <f>IF(SUM($D$9:D29)&gt;=$F$6,"Finished",IF(SUM($D$9:D29)&gt;=$H$6*COUNT($B$9:B29), "Yes", "No"))</f>
        <v>No</v>
      </c>
      <c r="I29" s="32"/>
      <c r="J29" s="32"/>
    </row>
    <row r="30" spans="2:21" ht="16" customHeight="1" x14ac:dyDescent="0.15">
      <c r="B30" s="33">
        <f t="shared" si="2"/>
        <v>44945</v>
      </c>
      <c r="C30" s="31">
        <f>COUNTIFS(ReadingList!$B$2:$B$122,"&lt;="&amp;B30, ReadingList!$B$2:$B$122,"&gt;"&amp;B29, ReadingList!$G$2:$G$122, "Abstract") + COUNTIFS(ReadingList!$B$2:$B$122,"&lt;="&amp;B30, ReadingList!$B$2:$B$122,"&gt;"&amp;B29, ReadingList!$G$2:$G$122, "No access")</f>
        <v>0</v>
      </c>
      <c r="D30" s="31">
        <f>COUNTIFS(ReadingList!$B$2:$B$122,"&lt;="&amp;B30, ReadingList!$B$2:$B$122,"&gt;"&amp;B29, ReadingList!$G$2:$G$122, $C$2) + COUNTIFS(ReadingList!$B$2:$B$122,"&lt;="&amp;B30, ReadingList!$B$2:$B$122,"&gt;"&amp;B29, ReadingList!$G$2:$G$122, $D$2) + COUNTIFS(ReadingList!$B$2:$B$122,"&lt;="&amp;B30, ReadingList!$B$2:$B$122,"&gt;"&amp;B29, ReadingList!$G$2:$G$122, $E$2) + COUNTIFS(ReadingList!$B$2:$B$122,"&lt;="&amp;B30, ReadingList!$B$2:$B$122,"&gt;"&amp;B29, ReadingList!$G$2:$G$122, "Body")</f>
        <v>0</v>
      </c>
      <c r="E30" s="31">
        <f>COUNTIFS(ReadingList!$B$2:$B$122,"&lt;="&amp;B30, ReadingList!$B$2:$B$122,"&gt;"&amp;B29,ReadingList!$G$2:$G$122,$C$2) + COUNTIFS(ReadingList!$B$2:$B$122,"&lt;="&amp;B30, ReadingList!$B$2:$B$122,"&gt;"&amp;B29,ReadingList!$G$2:$G$122,$D$2) + COUNTIFS(ReadingList!$B$2:$B$122,"&lt;="&amp;B30, ReadingList!$B$2:$B$122,"&gt;"&amp;B29,ReadingList!$G$2:$G$122,$E$2)</f>
        <v>0</v>
      </c>
      <c r="F30" s="14">
        <f t="shared" si="0"/>
        <v>0</v>
      </c>
      <c r="G30" s="6">
        <f t="shared" si="1"/>
        <v>0</v>
      </c>
      <c r="H30" s="31" t="str">
        <f>IF(SUM($D$9:D30)&gt;=$F$6,"Finished",IF(SUM($D$9:D30)&gt;=$H$6*COUNT($B$9:B30), "Yes", "No"))</f>
        <v>No</v>
      </c>
      <c r="I30" s="32"/>
      <c r="J30" s="32"/>
    </row>
    <row r="31" spans="2:21" ht="16" customHeight="1" x14ac:dyDescent="0.15">
      <c r="B31" s="33">
        <f t="shared" si="2"/>
        <v>44946</v>
      </c>
      <c r="C31" s="31">
        <f>COUNTIFS(ReadingList!$B$2:$B$122,"&lt;="&amp;B31, ReadingList!$B$2:$B$122,"&gt;"&amp;B30, ReadingList!$G$2:$G$122, "Abstract") + COUNTIFS(ReadingList!$B$2:$B$122,"&lt;="&amp;B31, ReadingList!$B$2:$B$122,"&gt;"&amp;B30, ReadingList!$G$2:$G$122, "No access")</f>
        <v>0</v>
      </c>
      <c r="D31" s="31">
        <f>COUNTIFS(ReadingList!$B$2:$B$122,"&lt;="&amp;B31, ReadingList!$B$2:$B$122,"&gt;"&amp;B30, ReadingList!$G$2:$G$122, $C$2) + COUNTIFS(ReadingList!$B$2:$B$122,"&lt;="&amp;B31, ReadingList!$B$2:$B$122,"&gt;"&amp;B30, ReadingList!$G$2:$G$122, $D$2) + COUNTIFS(ReadingList!$B$2:$B$122,"&lt;="&amp;B31, ReadingList!$B$2:$B$122,"&gt;"&amp;B30, ReadingList!$G$2:$G$122, $E$2) + COUNTIFS(ReadingList!$B$2:$B$122,"&lt;="&amp;B31, ReadingList!$B$2:$B$122,"&gt;"&amp;B30, ReadingList!$G$2:$G$122, "Body")</f>
        <v>0</v>
      </c>
      <c r="E31" s="31">
        <f>COUNTIFS(ReadingList!$B$2:$B$122,"&lt;="&amp;B31, ReadingList!$B$2:$B$122,"&gt;"&amp;B30,ReadingList!$G$2:$G$122,$C$2) + COUNTIFS(ReadingList!$B$2:$B$122,"&lt;="&amp;B31, ReadingList!$B$2:$B$122,"&gt;"&amp;B30,ReadingList!$G$2:$G$122,$D$2) + COUNTIFS(ReadingList!$B$2:$B$122,"&lt;="&amp;B31, ReadingList!$B$2:$B$122,"&gt;"&amp;B30,ReadingList!$G$2:$G$122,$E$2)</f>
        <v>0</v>
      </c>
      <c r="F31" s="14">
        <f t="shared" si="0"/>
        <v>0</v>
      </c>
      <c r="G31" s="6">
        <f t="shared" si="1"/>
        <v>0</v>
      </c>
      <c r="H31" s="31" t="str">
        <f>IF(SUM($D$9:D31)&gt;=$F$6,"Finished",IF(SUM($D$9:D31)&gt;=$H$6*COUNT($B$9:B31), "Yes", "No"))</f>
        <v>No</v>
      </c>
      <c r="I31" s="32"/>
      <c r="J31" s="32"/>
    </row>
    <row r="32" spans="2:21" ht="16" customHeight="1" x14ac:dyDescent="0.15">
      <c r="B32" s="33">
        <f t="shared" si="2"/>
        <v>44949</v>
      </c>
      <c r="C32" s="31">
        <f>COUNTIFS(ReadingList!$B$2:$B$122,"&lt;="&amp;B32, ReadingList!$B$2:$B$122,"&gt;"&amp;B31, ReadingList!$G$2:$G$122, "Abstract") + COUNTIFS(ReadingList!$B$2:$B$122,"&lt;="&amp;B32, ReadingList!$B$2:$B$122,"&gt;"&amp;B31, ReadingList!$G$2:$G$122, "No access")</f>
        <v>0</v>
      </c>
      <c r="D32" s="31">
        <f>COUNTIFS(ReadingList!$B$2:$B$122,"&lt;="&amp;B32, ReadingList!$B$2:$B$122,"&gt;"&amp;B31, ReadingList!$G$2:$G$122, $C$2) + COUNTIFS(ReadingList!$B$2:$B$122,"&lt;="&amp;B32, ReadingList!$B$2:$B$122,"&gt;"&amp;B31, ReadingList!$G$2:$G$122, $D$2) + COUNTIFS(ReadingList!$B$2:$B$122,"&lt;="&amp;B32, ReadingList!$B$2:$B$122,"&gt;"&amp;B31, ReadingList!$G$2:$G$122, $E$2) + COUNTIFS(ReadingList!$B$2:$B$122,"&lt;="&amp;B32, ReadingList!$B$2:$B$122,"&gt;"&amp;B31, ReadingList!$G$2:$G$122, "Body")</f>
        <v>0</v>
      </c>
      <c r="E32" s="31">
        <f>COUNTIFS(ReadingList!$B$2:$B$122,"&lt;="&amp;B32, ReadingList!$B$2:$B$122,"&gt;"&amp;B31,ReadingList!$G$2:$G$122,$C$2) + COUNTIFS(ReadingList!$B$2:$B$122,"&lt;="&amp;B32, ReadingList!$B$2:$B$122,"&gt;"&amp;B31,ReadingList!$G$2:$G$122,$D$2) + COUNTIFS(ReadingList!$B$2:$B$122,"&lt;="&amp;B32, ReadingList!$B$2:$B$122,"&gt;"&amp;B31,ReadingList!$G$2:$G$122,$E$2)</f>
        <v>0</v>
      </c>
      <c r="F32" s="14">
        <f t="shared" si="0"/>
        <v>0</v>
      </c>
      <c r="G32" s="6">
        <f t="shared" si="1"/>
        <v>0</v>
      </c>
      <c r="H32" s="31" t="str">
        <f>IF(SUM($D$9:D32)&gt;=$F$6,"Finished",IF(SUM($D$9:D32)&gt;=$H$6*COUNT($B$9:B32), "Yes", "No"))</f>
        <v>No</v>
      </c>
      <c r="I32" s="32"/>
      <c r="J32" s="32"/>
    </row>
    <row r="33" spans="2:10" ht="16" customHeight="1" x14ac:dyDescent="0.15">
      <c r="B33" s="33">
        <f t="shared" si="2"/>
        <v>44950</v>
      </c>
      <c r="C33" s="31">
        <f>COUNTIFS(ReadingList!$B$2:$B$122,"&lt;="&amp;B33, ReadingList!$B$2:$B$122,"&gt;"&amp;B32, ReadingList!$G$2:$G$122, "Abstract") + COUNTIFS(ReadingList!$B$2:$B$122,"&lt;="&amp;B33, ReadingList!$B$2:$B$122,"&gt;"&amp;B32, ReadingList!$G$2:$G$122, "No access")</f>
        <v>0</v>
      </c>
      <c r="D33" s="31">
        <f>COUNTIFS(ReadingList!$B$2:$B$122,"&lt;="&amp;B33, ReadingList!$B$2:$B$122,"&gt;"&amp;B32, ReadingList!$G$2:$G$122, $C$2) + COUNTIFS(ReadingList!$B$2:$B$122,"&lt;="&amp;B33, ReadingList!$B$2:$B$122,"&gt;"&amp;B32, ReadingList!$G$2:$G$122, $D$2) + COUNTIFS(ReadingList!$B$2:$B$122,"&lt;="&amp;B33, ReadingList!$B$2:$B$122,"&gt;"&amp;B32, ReadingList!$G$2:$G$122, $E$2) + COUNTIFS(ReadingList!$B$2:$B$122,"&lt;="&amp;B33, ReadingList!$B$2:$B$122,"&gt;"&amp;B32, ReadingList!$G$2:$G$122, "Body")</f>
        <v>0</v>
      </c>
      <c r="E33" s="31">
        <f>COUNTIFS(ReadingList!$B$2:$B$122,"&lt;="&amp;B33, ReadingList!$B$2:$B$122,"&gt;"&amp;B32,ReadingList!$G$2:$G$122,$C$2) + COUNTIFS(ReadingList!$B$2:$B$122,"&lt;="&amp;B33, ReadingList!$B$2:$B$122,"&gt;"&amp;B32,ReadingList!$G$2:$G$122,$D$2) + COUNTIFS(ReadingList!$B$2:$B$122,"&lt;="&amp;B33, ReadingList!$B$2:$B$122,"&gt;"&amp;B32,ReadingList!$G$2:$G$122,$E$2)</f>
        <v>0</v>
      </c>
      <c r="F33" s="14">
        <f t="shared" si="0"/>
        <v>0</v>
      </c>
      <c r="G33" s="6">
        <f t="shared" si="1"/>
        <v>0</v>
      </c>
      <c r="H33" s="31" t="str">
        <f>IF(SUM($D$9:D33)&gt;=$F$6,"Finished",IF(SUM($D$9:D33)&gt;=$H$6*COUNT($B$9:B33), "Yes", "No"))</f>
        <v>No</v>
      </c>
      <c r="I33" s="32"/>
      <c r="J33" s="32"/>
    </row>
    <row r="34" spans="2:10" ht="16" customHeight="1" x14ac:dyDescent="0.15">
      <c r="B34" s="35"/>
    </row>
  </sheetData>
  <mergeCells count="3">
    <mergeCell ref="C5:D5"/>
    <mergeCell ref="C1:E1"/>
    <mergeCell ref="K1:N1"/>
  </mergeCells>
  <conditionalFormatting sqref="H9:H33">
    <cfRule type="containsText" dxfId="1" priority="2" operator="containsText" text="No">
      <formula>NOT(ISERROR(SEARCH("No",H9)))</formula>
    </cfRule>
    <cfRule type="containsText" dxfId="0" priority="3" operator="containsText" text="Yes">
      <formula>NOT(ISERROR(SEARCH("Yes",H9)))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C3C5-7958-B14E-AA23-D9A138ADD30B}">
  <dimension ref="A1:L15"/>
  <sheetViews>
    <sheetView zoomScale="108" workbookViewId="0"/>
  </sheetViews>
  <sheetFormatPr baseColWidth="10" defaultRowHeight="16" x14ac:dyDescent="0.2"/>
  <cols>
    <col min="1" max="1" width="5" customWidth="1"/>
    <col min="2" max="2" width="2.1640625" bestFit="1" customWidth="1"/>
    <col min="3" max="3" width="23.6640625" bestFit="1" customWidth="1"/>
    <col min="4" max="4" width="22.6640625" bestFit="1" customWidth="1"/>
    <col min="5" max="5" width="15.6640625" bestFit="1" customWidth="1"/>
    <col min="6" max="6" width="27.5" bestFit="1" customWidth="1"/>
    <col min="7" max="7" width="12.33203125" bestFit="1" customWidth="1"/>
    <col min="8" max="8" width="13.5" bestFit="1" customWidth="1"/>
    <col min="11" max="11" width="18.6640625" bestFit="1" customWidth="1"/>
  </cols>
  <sheetData>
    <row r="1" spans="1:12" x14ac:dyDescent="0.2">
      <c r="A1" s="19"/>
      <c r="B1" s="19"/>
      <c r="C1" s="19"/>
      <c r="D1" s="19"/>
      <c r="E1" s="19"/>
      <c r="F1" s="19"/>
      <c r="G1" s="19"/>
      <c r="H1" s="19"/>
      <c r="I1" s="19"/>
      <c r="J1" s="19"/>
      <c r="K1" s="19"/>
      <c r="L1" s="19"/>
    </row>
    <row r="2" spans="1:12" x14ac:dyDescent="0.2">
      <c r="A2" s="19"/>
      <c r="B2" s="19"/>
      <c r="C2" s="19"/>
      <c r="D2" s="19"/>
      <c r="E2" s="20"/>
      <c r="F2" s="20"/>
      <c r="G2" s="19"/>
      <c r="H2" s="44" t="s">
        <v>879</v>
      </c>
      <c r="I2" s="44"/>
      <c r="J2" s="44"/>
      <c r="K2" s="44"/>
      <c r="L2" s="19"/>
    </row>
    <row r="3" spans="1:12" x14ac:dyDescent="0.2">
      <c r="A3" s="19"/>
      <c r="B3" s="19"/>
      <c r="C3" s="19"/>
      <c r="D3" s="19"/>
      <c r="E3" s="20"/>
      <c r="F3" s="20"/>
      <c r="G3" s="19"/>
      <c r="H3" s="21" t="s">
        <v>884</v>
      </c>
      <c r="I3" s="21" t="s">
        <v>303</v>
      </c>
      <c r="J3" s="21" t="s">
        <v>376</v>
      </c>
      <c r="K3" s="21" t="s">
        <v>885</v>
      </c>
      <c r="L3" s="19"/>
    </row>
    <row r="4" spans="1:12" x14ac:dyDescent="0.2">
      <c r="A4" s="19"/>
      <c r="B4" s="22">
        <v>1</v>
      </c>
      <c r="C4" s="22" t="s">
        <v>869</v>
      </c>
      <c r="D4" s="23" t="s">
        <v>0</v>
      </c>
      <c r="E4" s="23" t="s">
        <v>36</v>
      </c>
      <c r="F4" s="23" t="s">
        <v>138</v>
      </c>
      <c r="G4" s="23"/>
      <c r="H4" s="24">
        <v>18300</v>
      </c>
      <c r="I4" s="24">
        <v>5607</v>
      </c>
      <c r="J4" s="24">
        <v>88992</v>
      </c>
      <c r="K4" s="24">
        <v>38348</v>
      </c>
      <c r="L4" s="19"/>
    </row>
    <row r="5" spans="1:12" x14ac:dyDescent="0.2">
      <c r="A5" s="19"/>
      <c r="B5" s="19"/>
      <c r="C5" s="19"/>
      <c r="D5" s="19" t="s">
        <v>35</v>
      </c>
      <c r="E5" s="19" t="s">
        <v>886</v>
      </c>
      <c r="F5" s="42" t="s">
        <v>888</v>
      </c>
      <c r="G5" s="42" t="s">
        <v>878</v>
      </c>
      <c r="H5" s="25"/>
      <c r="I5" s="25"/>
      <c r="J5" s="25"/>
      <c r="K5" s="25"/>
      <c r="L5" s="19"/>
    </row>
    <row r="6" spans="1:12" x14ac:dyDescent="0.2">
      <c r="A6" s="19"/>
      <c r="B6" s="26"/>
      <c r="C6" s="26"/>
      <c r="D6" s="26"/>
      <c r="E6" s="26" t="s">
        <v>887</v>
      </c>
      <c r="F6" s="43"/>
      <c r="G6" s="43"/>
      <c r="H6" s="27">
        <v>10400</v>
      </c>
      <c r="I6" s="27">
        <v>27</v>
      </c>
      <c r="J6" s="27">
        <v>53</v>
      </c>
      <c r="K6" s="27">
        <v>59</v>
      </c>
      <c r="L6" s="19"/>
    </row>
    <row r="7" spans="1:12" x14ac:dyDescent="0.2">
      <c r="A7" s="19"/>
      <c r="B7" s="19">
        <v>2</v>
      </c>
      <c r="C7" s="19" t="s">
        <v>872</v>
      </c>
      <c r="D7" s="19" t="s">
        <v>873</v>
      </c>
      <c r="E7" s="19" t="s">
        <v>870</v>
      </c>
      <c r="F7" s="19"/>
      <c r="G7" s="19"/>
      <c r="H7" s="25"/>
      <c r="I7" s="25"/>
      <c r="J7" s="25"/>
      <c r="K7" s="25"/>
      <c r="L7" s="19"/>
    </row>
    <row r="8" spans="1:12" x14ac:dyDescent="0.2">
      <c r="A8" s="19"/>
      <c r="B8" s="19"/>
      <c r="C8" s="19"/>
      <c r="D8" s="26"/>
      <c r="E8" s="26" t="s">
        <v>871</v>
      </c>
      <c r="F8" s="26"/>
      <c r="G8" s="26"/>
      <c r="H8" s="27">
        <v>7780</v>
      </c>
      <c r="I8" s="27">
        <v>27</v>
      </c>
      <c r="J8" s="27">
        <v>53</v>
      </c>
      <c r="K8" s="27">
        <v>58</v>
      </c>
      <c r="L8" s="19"/>
    </row>
    <row r="9" spans="1:12" x14ac:dyDescent="0.2">
      <c r="A9" s="19"/>
      <c r="B9" s="19"/>
      <c r="C9" s="19"/>
      <c r="D9" s="19" t="s">
        <v>930</v>
      </c>
      <c r="E9" s="19" t="s">
        <v>874</v>
      </c>
      <c r="F9" s="19" t="s">
        <v>875</v>
      </c>
      <c r="G9" s="19"/>
      <c r="H9" s="25">
        <v>150</v>
      </c>
      <c r="I9" s="25">
        <v>18</v>
      </c>
      <c r="J9" s="25">
        <v>30</v>
      </c>
      <c r="K9" s="25">
        <v>26</v>
      </c>
      <c r="L9" s="19"/>
    </row>
    <row r="10" spans="1:12" x14ac:dyDescent="0.2">
      <c r="A10" s="19"/>
      <c r="B10" s="22">
        <v>3</v>
      </c>
      <c r="C10" s="22" t="s">
        <v>876</v>
      </c>
      <c r="D10" s="22" t="s">
        <v>877</v>
      </c>
      <c r="E10" s="22"/>
      <c r="F10" s="22"/>
      <c r="G10" s="22"/>
      <c r="H10" s="28"/>
      <c r="I10" s="28"/>
      <c r="J10" s="28"/>
      <c r="K10" s="28"/>
      <c r="L10" s="19"/>
    </row>
    <row r="11" spans="1:12" x14ac:dyDescent="0.2">
      <c r="A11" s="19"/>
      <c r="B11" s="26"/>
      <c r="C11" s="26"/>
      <c r="D11" s="26" t="s">
        <v>127</v>
      </c>
      <c r="E11" s="26"/>
      <c r="F11" s="26"/>
      <c r="G11" s="26"/>
      <c r="H11" s="27">
        <f>SUM(H12:H14)</f>
        <v>2</v>
      </c>
      <c r="I11" s="27">
        <f t="shared" ref="I11:K11" si="0">SUM(I12:I14)</f>
        <v>2</v>
      </c>
      <c r="J11" s="27">
        <f t="shared" si="0"/>
        <v>1</v>
      </c>
      <c r="K11" s="27">
        <f t="shared" si="0"/>
        <v>0</v>
      </c>
      <c r="L11" s="19"/>
    </row>
    <row r="12" spans="1:12" x14ac:dyDescent="0.2">
      <c r="A12" s="19"/>
      <c r="B12" s="19">
        <v>4</v>
      </c>
      <c r="C12" s="19" t="s">
        <v>883</v>
      </c>
      <c r="D12" s="19"/>
      <c r="E12" s="19"/>
      <c r="F12" s="23" t="s">
        <v>880</v>
      </c>
      <c r="G12" s="23"/>
      <c r="H12" s="23">
        <f>COUNTIFS(ReadingList!$G$2:$G$127,"SingleProblem",ReadingList!$N$2:$N$127,"GoogleScholar")</f>
        <v>0</v>
      </c>
      <c r="I12" s="23">
        <f>COUNTIFS(ReadingList!$G$2:$G$127,"SingleProblem",ReadingList!$N$2:$N$127,"WoS")</f>
        <v>1</v>
      </c>
      <c r="J12" s="23">
        <f>COUNTIFS(ReadingList!$G$2:$G$127,"SingleProblem",ReadingList!$N$2:$N$127,"Scopus")</f>
        <v>0</v>
      </c>
      <c r="K12" s="23">
        <f>COUNTIFS(ReadingList!$G$2:$G$127,"SingleProblem",ReadingList!$N$2:$N$127,"Compendex") + COUNTIFS(ReadingList!$G$2:$G$127,"SingleProblem",ReadingList!$N$2:$N$127,"Inspec")</f>
        <v>0</v>
      </c>
      <c r="L12" s="19"/>
    </row>
    <row r="13" spans="1:12" x14ac:dyDescent="0.2">
      <c r="A13" s="19"/>
      <c r="B13" s="19"/>
      <c r="C13" s="19"/>
      <c r="D13" s="19"/>
      <c r="E13" s="19"/>
      <c r="F13" s="23" t="s">
        <v>881</v>
      </c>
      <c r="G13" s="23"/>
      <c r="H13" s="23">
        <f>COUNTIFS(ReadingList!$G$2:$G$127,"MultiProblem",ReadingList!$N$2:$N$127,"GoogleScholar")</f>
        <v>1</v>
      </c>
      <c r="I13" s="23">
        <f>COUNTIFS(ReadingList!$G$2:$G$127,"MultiProblem",ReadingList!$N$2:$N$127,"WoS")</f>
        <v>0</v>
      </c>
      <c r="J13" s="23">
        <f>COUNTIFS(ReadingList!$G$2:$G$127,"MultiProblem",ReadingList!$N$2:$N$127,"Scopus")</f>
        <v>0</v>
      </c>
      <c r="K13" s="23">
        <f>COUNTIFS(ReadingList!$G$2:$G$127,"MultiProblem",ReadingList!$N$2:$N$127,"Compendex") + COUNTIFS(ReadingList!$G$2:$G$127,"MultiProblem",ReadingList!$N$2:$N$127,"Inspec")</f>
        <v>0</v>
      </c>
      <c r="L13" s="19"/>
    </row>
    <row r="14" spans="1:12" x14ac:dyDescent="0.2">
      <c r="A14" s="19"/>
      <c r="B14" s="26"/>
      <c r="C14" s="26"/>
      <c r="D14" s="26"/>
      <c r="E14" s="26"/>
      <c r="F14" s="26" t="s">
        <v>882</v>
      </c>
      <c r="G14" s="26"/>
      <c r="H14" s="23">
        <f>COUNTIFS(ReadingList!$G$2:$G$127,"NetworkProblem",ReadingList!$N$2:$N$127,"GoogleScholar")</f>
        <v>1</v>
      </c>
      <c r="I14" s="23">
        <f>COUNTIFS(ReadingList!$G$2:$G$127,"NetworkProblem",ReadingList!$N$2:$N$127,"WoS")</f>
        <v>1</v>
      </c>
      <c r="J14" s="23">
        <f>COUNTIFS(ReadingList!$G$2:$G$127,"NetworkProblem",ReadingList!$N$2:$N$127,"Scopus")</f>
        <v>1</v>
      </c>
      <c r="K14" s="23">
        <f>COUNTIFS(ReadingList!$G$2:$G$127,"NetworkProblem",ReadingList!$N$2:$N$127,"Compendex") + COUNTIFS(ReadingList!$G$2:$G$127,"NetworkProblem",ReadingList!$N$2:$N$127,"Inspec")</f>
        <v>0</v>
      </c>
      <c r="L14" s="19"/>
    </row>
    <row r="15" spans="1:12" x14ac:dyDescent="0.2">
      <c r="A15" s="19"/>
      <c r="B15" s="45" t="str">
        <f>_xlfn.CONCAT("*There exist ",Dashboard!B6," unique articles. Of those articles, ",COUNTIF(ReadingList!$G$2:$G$127,"Literature review")," correspond to literature reviews.")</f>
        <v>*There exist 126 unique articles. Of those articles, 11 correspond to literature reviews.</v>
      </c>
      <c r="C15" s="45"/>
      <c r="D15" s="45"/>
      <c r="E15" s="45"/>
      <c r="F15" s="45"/>
      <c r="G15" s="45"/>
      <c r="H15" s="45"/>
      <c r="I15" s="45"/>
      <c r="J15" s="45"/>
      <c r="K15" s="45"/>
      <c r="L15" s="19"/>
    </row>
  </sheetData>
  <mergeCells count="4">
    <mergeCell ref="F5:F6"/>
    <mergeCell ref="G5:G6"/>
    <mergeCell ref="H2:K2"/>
    <mergeCell ref="B15:K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6BFF-F978-3448-AFC7-F090CA25BADE}">
  <dimension ref="A1:BB2"/>
  <sheetViews>
    <sheetView zoomScale="125" workbookViewId="0">
      <selection activeCell="A2" sqref="A2:BB2"/>
    </sheetView>
  </sheetViews>
  <sheetFormatPr baseColWidth="10" defaultColWidth="10.83203125" defaultRowHeight="16" x14ac:dyDescent="0.2"/>
  <cols>
    <col min="1" max="1" width="3.1640625" style="1" bestFit="1" customWidth="1"/>
    <col min="2" max="2" width="10.83203125" style="1"/>
    <col min="3" max="3" width="8.83203125" style="1" customWidth="1"/>
    <col min="4" max="4" width="13"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2.1640625" style="1" bestFit="1" customWidth="1"/>
    <col min="13" max="13" width="12.83203125" style="1" bestFit="1" customWidth="1"/>
    <col min="14" max="14" width="12.1640625" style="1" bestFit="1" customWidth="1"/>
    <col min="15" max="15" width="19.6640625" style="1" bestFit="1" customWidth="1"/>
    <col min="16" max="17" width="19.6640625" style="1" customWidth="1"/>
    <col min="18" max="18" width="20.6640625" style="1" bestFit="1" customWidth="1"/>
    <col min="19" max="20" width="20.6640625" style="1" customWidth="1"/>
    <col min="21" max="21" width="11.83203125" style="1" bestFit="1" customWidth="1"/>
    <col min="22" max="22" width="4.6640625" style="1" bestFit="1" customWidth="1"/>
    <col min="23" max="23" width="11.83203125" style="1" bestFit="1" customWidth="1"/>
    <col min="24" max="24" width="17.33203125" style="1" bestFit="1" customWidth="1"/>
    <col min="25" max="25" width="12.5" style="1" bestFit="1" customWidth="1"/>
    <col min="26" max="26" width="38.6640625" style="1" bestFit="1" customWidth="1"/>
    <col min="27" max="27" width="36.33203125" style="1" bestFit="1" customWidth="1"/>
    <col min="28" max="29" width="23.33203125" style="1" bestFit="1" customWidth="1"/>
    <col min="30" max="30" width="13.1640625" style="1" bestFit="1" customWidth="1"/>
    <col min="31" max="31" width="14" style="1" bestFit="1" customWidth="1"/>
    <col min="32" max="32" width="21.83203125" style="1" bestFit="1" customWidth="1"/>
    <col min="33" max="33" width="13" style="1" bestFit="1" customWidth="1"/>
    <col min="34" max="34" width="13" style="1" customWidth="1"/>
    <col min="35" max="35" width="31.5" style="1" bestFit="1" customWidth="1"/>
    <col min="36" max="37" width="31.5" style="1" customWidth="1"/>
    <col min="38" max="38" width="20.83203125" style="1" bestFit="1" customWidth="1"/>
    <col min="39" max="40" width="23.83203125" style="1" bestFit="1" customWidth="1"/>
    <col min="41" max="41" width="24" style="1" bestFit="1" customWidth="1"/>
    <col min="42" max="42" width="11.83203125" style="1" bestFit="1" customWidth="1"/>
    <col min="43" max="43" width="11.83203125" style="1" customWidth="1"/>
    <col min="44" max="44" width="18" style="1" bestFit="1" customWidth="1"/>
    <col min="45" max="45" width="19.83203125" style="1" bestFit="1" customWidth="1"/>
    <col min="46" max="46" width="19.83203125" style="1" customWidth="1"/>
    <col min="47" max="47" width="25.83203125" style="1" bestFit="1" customWidth="1"/>
    <col min="48" max="49" width="25.83203125" style="1" customWidth="1"/>
    <col min="50" max="50" width="35.5" style="1" customWidth="1"/>
    <col min="51" max="51" width="34.5" style="1" customWidth="1"/>
    <col min="52" max="52" width="40" style="1" customWidth="1"/>
    <col min="53" max="53" width="21.1640625" style="1" bestFit="1" customWidth="1"/>
    <col min="54" max="54" width="26"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27</v>
      </c>
      <c r="B2" s="8">
        <f>VLOOKUP($A2,ReadingList!$A:$N,2,FALSE)</f>
        <v>44921</v>
      </c>
      <c r="C2" s="3" t="s">
        <v>844</v>
      </c>
      <c r="D2" s="15" t="str">
        <f>VLOOKUP($A2,ReadingList!$A:$N,14,FALSE)</f>
        <v>GoogleScholar</v>
      </c>
      <c r="E2" s="3">
        <f>VLOOKUP($A2,ReadingList!$A:$N,11,FALSE)</f>
        <v>2019</v>
      </c>
      <c r="F2" s="3" t="str">
        <f>VLOOKUP($A2,ReadingList!$A:$N,8,FALSE)</f>
        <v>A Two-Layer Model For Dynamic Pricing Of Electricity And Optimal Charging Of Electric Vehicles Under Price Spikes</v>
      </c>
      <c r="G2" s="3" t="str">
        <f>VLOOKUP($A2,ReadingList!$A:$N,10,FALSE)</f>
        <v>Energy</v>
      </c>
      <c r="H2" s="3" t="str">
        <f>VLOOKUP($A2,ReadingList!$A:$N,9,FALSE)</f>
        <v>V Subramanian, TK Das</v>
      </c>
      <c r="I2" s="3" t="str">
        <f>VLOOKUP($A2,ReadingList!$A:$N,13,FALSE)</f>
        <v>Pilot projects in power networks conducted across continents have established the benefits of dynamic pricing by inducing increased demand response. However, a key hurdle in the growth of demand response is the lack of widespread availability of advanced metering infrastructure, which has stymied the adoption of dynamic pricing. We believe that this hurdle will be partially addressed by the growth of electric vehicles (EVs), as smart and connected EV parking lots will be a provider of demand response. We develop a two-layer optimization model that simultaneously determines dynamic pricing policy for the system operator and demand response strategies for the EV parking lots. The model minimizes the cost to consumers, while ensuring the system operator's revenue neutral status and addressing real-time price uncertainties. A variant of the 5-bus PJM network is used to demonstrate model implementation. Numerical results show that for a low to moderate price spike scenario, dynamic pricing with demand response from EVs alone can lower the daily average consumer cost of 1.42% compared to the cost of flat pricing. A cost reduction of 6.5% is achieved when price spikes are relatively high. Computational challenges of implementing our model for real networks are discussed in the concluding remarks.</v>
      </c>
      <c r="J2" s="3" t="s">
        <v>979</v>
      </c>
      <c r="K2" s="3" t="s">
        <v>845</v>
      </c>
      <c r="L2" s="3" t="s">
        <v>271</v>
      </c>
      <c r="M2" s="3" t="s">
        <v>135</v>
      </c>
      <c r="N2" s="3" t="s">
        <v>107</v>
      </c>
      <c r="O2" s="3" t="s">
        <v>271</v>
      </c>
      <c r="P2" s="3">
        <v>1</v>
      </c>
      <c r="Q2" s="3">
        <v>2</v>
      </c>
      <c r="R2" s="3" t="s">
        <v>271</v>
      </c>
      <c r="S2" s="3" t="s">
        <v>850</v>
      </c>
      <c r="T2" s="3" t="s">
        <v>850</v>
      </c>
      <c r="U2" s="3" t="s">
        <v>896</v>
      </c>
      <c r="V2" s="3" t="s">
        <v>844</v>
      </c>
      <c r="W2" s="3" t="s">
        <v>233</v>
      </c>
      <c r="X2" s="3" t="s">
        <v>845</v>
      </c>
      <c r="Y2" s="12" t="s">
        <v>853</v>
      </c>
      <c r="Z2" s="3" t="s">
        <v>981</v>
      </c>
      <c r="AA2" s="4">
        <v>1000</v>
      </c>
      <c r="AB2" s="4" t="s">
        <v>855</v>
      </c>
      <c r="AC2" s="3" t="s">
        <v>982</v>
      </c>
      <c r="AD2" s="3" t="s">
        <v>984</v>
      </c>
      <c r="AE2" s="3" t="s">
        <v>845</v>
      </c>
      <c r="AF2" s="3" t="s">
        <v>902</v>
      </c>
      <c r="AG2" s="3" t="s">
        <v>980</v>
      </c>
      <c r="AH2" s="3" t="s">
        <v>960</v>
      </c>
      <c r="AI2" s="3" t="s">
        <v>207</v>
      </c>
      <c r="AJ2" s="3" t="s">
        <v>844</v>
      </c>
      <c r="AK2" s="3" t="s">
        <v>845</v>
      </c>
      <c r="AL2" s="3" t="s">
        <v>858</v>
      </c>
      <c r="AM2" s="3" t="s">
        <v>271</v>
      </c>
      <c r="AN2" s="3" t="s">
        <v>271</v>
      </c>
      <c r="AO2" s="3" t="s">
        <v>271</v>
      </c>
      <c r="AP2" s="3" t="s">
        <v>271</v>
      </c>
      <c r="AQ2" s="3" t="s">
        <v>271</v>
      </c>
      <c r="AR2" s="3" t="s">
        <v>899</v>
      </c>
      <c r="AS2" s="3" t="s">
        <v>860</v>
      </c>
      <c r="AT2" s="3" t="s">
        <v>845</v>
      </c>
      <c r="AU2" s="3" t="s">
        <v>861</v>
      </c>
      <c r="AV2" s="3" t="s">
        <v>845</v>
      </c>
      <c r="AW2" s="3" t="s">
        <v>845</v>
      </c>
      <c r="AX2" s="3" t="s">
        <v>845</v>
      </c>
      <c r="AY2" s="3" t="s">
        <v>985</v>
      </c>
      <c r="AZ2" s="3" t="s">
        <v>986</v>
      </c>
      <c r="BA2" s="3" t="s">
        <v>983</v>
      </c>
      <c r="BB2" s="5" t="s">
        <v>978</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D34D-E0D9-C545-B1E5-3E3CE99D9564}">
  <dimension ref="A1:BB2"/>
  <sheetViews>
    <sheetView topLeftCell="I1" zoomScale="101" workbookViewId="0">
      <selection activeCell="A2" sqref="A2"/>
    </sheetView>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1.83203125" style="1" bestFit="1" customWidth="1"/>
    <col min="17" max="17" width="18.6640625" style="1" bestFit="1" customWidth="1"/>
    <col min="18" max="18" width="28.83203125" style="1" bestFit="1" customWidth="1"/>
    <col min="19" max="19" width="24.83203125" style="1" bestFit="1" customWidth="1"/>
    <col min="20" max="20" width="11.832031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18</v>
      </c>
      <c r="B2" s="8">
        <v>44921</v>
      </c>
      <c r="C2" s="3" t="s">
        <v>844</v>
      </c>
      <c r="D2" s="3" t="s">
        <v>303</v>
      </c>
      <c r="E2" s="3">
        <v>2018</v>
      </c>
      <c r="F2" s="3" t="s">
        <v>340</v>
      </c>
      <c r="G2" s="3" t="s">
        <v>25</v>
      </c>
      <c r="H2" s="3" t="s">
        <v>341</v>
      </c>
      <c r="I2" s="3" t="s">
        <v>342</v>
      </c>
      <c r="J2" s="3" t="s">
        <v>959</v>
      </c>
      <c r="K2" s="3" t="s">
        <v>845</v>
      </c>
      <c r="L2" s="3" t="s">
        <v>271</v>
      </c>
      <c r="M2" s="3" t="s">
        <v>847</v>
      </c>
      <c r="N2" s="3" t="s">
        <v>39</v>
      </c>
      <c r="O2" s="3" t="s">
        <v>271</v>
      </c>
      <c r="P2" s="3">
        <v>1</v>
      </c>
      <c r="Q2" s="3">
        <v>10</v>
      </c>
      <c r="R2" s="3" t="s">
        <v>271</v>
      </c>
      <c r="S2" s="3" t="s">
        <v>849</v>
      </c>
      <c r="T2" s="12" t="s">
        <v>849</v>
      </c>
      <c r="U2" s="3" t="s">
        <v>896</v>
      </c>
      <c r="V2" s="4" t="s">
        <v>844</v>
      </c>
      <c r="W2" s="4" t="s">
        <v>233</v>
      </c>
      <c r="X2" s="3" t="s">
        <v>845</v>
      </c>
      <c r="Y2" s="3" t="s">
        <v>853</v>
      </c>
      <c r="Z2" s="3" t="s">
        <v>854</v>
      </c>
      <c r="AA2" s="3">
        <v>289</v>
      </c>
      <c r="AB2" s="3" t="s">
        <v>855</v>
      </c>
      <c r="AC2" s="3" t="s">
        <v>963</v>
      </c>
      <c r="AD2" s="3" t="s">
        <v>845</v>
      </c>
      <c r="AE2" s="3" t="s">
        <v>957</v>
      </c>
      <c r="AF2" s="3" t="s">
        <v>962</v>
      </c>
      <c r="AG2" s="3" t="s">
        <v>139</v>
      </c>
      <c r="AH2" s="3" t="s">
        <v>960</v>
      </c>
      <c r="AI2" s="3" t="s">
        <v>214</v>
      </c>
      <c r="AJ2" s="3" t="s">
        <v>844</v>
      </c>
      <c r="AK2" s="3" t="s">
        <v>845</v>
      </c>
      <c r="AL2" s="3" t="s">
        <v>858</v>
      </c>
      <c r="AM2" s="3" t="s">
        <v>271</v>
      </c>
      <c r="AN2" s="3" t="s">
        <v>271</v>
      </c>
      <c r="AO2" s="3" t="s">
        <v>271</v>
      </c>
      <c r="AP2" s="3" t="s">
        <v>271</v>
      </c>
      <c r="AQ2" s="3" t="s">
        <v>271</v>
      </c>
      <c r="AR2" s="3" t="s">
        <v>899</v>
      </c>
      <c r="AS2" s="3" t="s">
        <v>961</v>
      </c>
      <c r="AT2" s="3" t="s">
        <v>845</v>
      </c>
      <c r="AU2" s="3" t="s">
        <v>966</v>
      </c>
      <c r="AV2" s="5" t="s">
        <v>845</v>
      </c>
      <c r="AW2" s="3" t="s">
        <v>845</v>
      </c>
      <c r="AX2" s="3" t="s">
        <v>965</v>
      </c>
      <c r="AY2" s="3" t="s">
        <v>967</v>
      </c>
      <c r="AZ2" s="3" t="s">
        <v>968</v>
      </c>
      <c r="BA2" s="3" t="s">
        <v>964</v>
      </c>
      <c r="BB2" s="3" t="s">
        <v>958</v>
      </c>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8410-DE0A-2D4F-A8FA-57B8B72B657E}">
  <dimension ref="A1:BB2"/>
  <sheetViews>
    <sheetView zoomScale="101" workbookViewId="0">
      <selection activeCell="K2" sqref="K2"/>
    </sheetView>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4.33203125" style="1" bestFit="1" customWidth="1"/>
    <col min="17" max="17" width="18.6640625" style="1" bestFit="1" customWidth="1"/>
    <col min="18" max="18" width="28.83203125" style="1" bestFit="1" customWidth="1"/>
    <col min="19" max="19" width="24.83203125" style="1" bestFit="1" customWidth="1"/>
    <col min="20" max="20" width="8.66406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50" width="10.83203125" style="1"/>
    <col min="51" max="51" width="27.5" style="1" customWidth="1"/>
    <col min="52" max="52" width="20.5" style="1" customWidth="1"/>
    <col min="53" max="53" width="20.1640625" style="1" customWidth="1"/>
    <col min="54" max="54" width="18.5"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5</v>
      </c>
      <c r="B2" s="8">
        <v>44917</v>
      </c>
      <c r="C2" s="3" t="s">
        <v>844</v>
      </c>
      <c r="D2" s="3" t="s">
        <v>336</v>
      </c>
      <c r="E2" s="3">
        <v>2015</v>
      </c>
      <c r="F2" s="3" t="s">
        <v>430</v>
      </c>
      <c r="G2" s="3" t="s">
        <v>684</v>
      </c>
      <c r="H2" s="3" t="s">
        <v>431</v>
      </c>
      <c r="I2" s="3" t="s">
        <v>669</v>
      </c>
      <c r="J2" s="3" t="s">
        <v>894</v>
      </c>
      <c r="K2" s="3" t="s">
        <v>845</v>
      </c>
      <c r="L2" s="3" t="s">
        <v>271</v>
      </c>
      <c r="M2" s="3" t="s">
        <v>135</v>
      </c>
      <c r="N2" s="3" t="s">
        <v>107</v>
      </c>
      <c r="O2" s="3" t="s">
        <v>271</v>
      </c>
      <c r="P2" s="3">
        <v>1</v>
      </c>
      <c r="Q2" s="3">
        <v>5</v>
      </c>
      <c r="R2" s="3" t="s">
        <v>271</v>
      </c>
      <c r="S2" s="3" t="s">
        <v>895</v>
      </c>
      <c r="T2" s="12" t="s">
        <v>850</v>
      </c>
      <c r="U2" s="3" t="s">
        <v>896</v>
      </c>
      <c r="V2" s="4" t="s">
        <v>845</v>
      </c>
      <c r="W2" s="4" t="s">
        <v>237</v>
      </c>
      <c r="X2" s="3" t="s">
        <v>845</v>
      </c>
      <c r="Y2" s="3" t="s">
        <v>853</v>
      </c>
      <c r="Z2" s="3" t="s">
        <v>901</v>
      </c>
      <c r="AA2" s="3">
        <v>2000</v>
      </c>
      <c r="AB2" s="3" t="s">
        <v>855</v>
      </c>
      <c r="AC2" s="3" t="s">
        <v>900</v>
      </c>
      <c r="AD2" s="3" t="s">
        <v>845</v>
      </c>
      <c r="AE2" s="3" t="s">
        <v>845</v>
      </c>
      <c r="AF2" s="3" t="s">
        <v>902</v>
      </c>
      <c r="AG2" s="3" t="s">
        <v>903</v>
      </c>
      <c r="AH2" s="3" t="s">
        <v>898</v>
      </c>
      <c r="AI2" s="3" t="s">
        <v>207</v>
      </c>
      <c r="AJ2" s="3" t="s">
        <v>844</v>
      </c>
      <c r="AK2" s="3" t="s">
        <v>845</v>
      </c>
      <c r="AL2" s="3" t="s">
        <v>858</v>
      </c>
      <c r="AM2" s="3" t="s">
        <v>904</v>
      </c>
      <c r="AN2" s="3" t="s">
        <v>271</v>
      </c>
      <c r="AO2" s="3" t="s">
        <v>271</v>
      </c>
      <c r="AP2" s="3" t="s">
        <v>271</v>
      </c>
      <c r="AQ2" s="3" t="s">
        <v>271</v>
      </c>
      <c r="AR2" s="3" t="s">
        <v>899</v>
      </c>
      <c r="AS2" s="3" t="s">
        <v>860</v>
      </c>
      <c r="AT2" s="3" t="s">
        <v>845</v>
      </c>
      <c r="AU2" s="3" t="s">
        <v>845</v>
      </c>
      <c r="AV2" s="5" t="s">
        <v>845</v>
      </c>
      <c r="AW2" s="3" t="s">
        <v>862</v>
      </c>
      <c r="AX2" s="3" t="s">
        <v>845</v>
      </c>
      <c r="AY2" s="3" t="s">
        <v>906</v>
      </c>
      <c r="AZ2" s="3" t="s">
        <v>907</v>
      </c>
      <c r="BA2" s="3" t="s">
        <v>905</v>
      </c>
      <c r="BB2" s="3" t="s">
        <v>893</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4D8B-4133-484F-ABD6-81FC95802664}">
  <dimension ref="A1:BB5"/>
  <sheetViews>
    <sheetView zoomScale="101" workbookViewId="0"/>
  </sheetViews>
  <sheetFormatPr baseColWidth="10" defaultColWidth="10.83203125" defaultRowHeight="16" x14ac:dyDescent="0.2"/>
  <cols>
    <col min="1" max="1" width="2.832031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3" width="15.5" style="1" customWidth="1"/>
    <col min="14" max="14" width="16.6640625" style="1" bestFit="1" customWidth="1"/>
    <col min="15" max="15" width="19.6640625" style="1" bestFit="1" customWidth="1"/>
    <col min="16" max="16" width="20.33203125" style="1" bestFit="1" customWidth="1"/>
    <col min="17" max="17" width="19.5" style="1" bestFit="1" customWidth="1"/>
    <col min="18" max="18" width="20.6640625" style="1" bestFit="1" customWidth="1"/>
    <col min="19" max="19" width="21.5" style="1" bestFit="1" customWidth="1"/>
    <col min="20" max="20" width="20.6640625" style="1" bestFit="1" customWidth="1"/>
    <col min="21" max="21" width="18.6640625" style="1" bestFit="1" customWidth="1"/>
    <col min="22" max="22" width="28.83203125" style="1" bestFit="1" customWidth="1"/>
    <col min="23" max="23" width="24.83203125" style="1" bestFit="1" customWidth="1"/>
    <col min="24" max="24" width="17.33203125" style="1" bestFit="1" customWidth="1"/>
    <col min="25" max="25" width="38.6640625" style="1" bestFit="1" customWidth="1"/>
    <col min="26" max="26" width="36.33203125" style="1" bestFit="1" customWidth="1"/>
    <col min="27" max="28" width="23.33203125" style="1" bestFit="1" customWidth="1"/>
    <col min="29" max="29" width="13.1640625" style="1" bestFit="1" customWidth="1"/>
    <col min="30" max="30" width="14" style="1" bestFit="1" customWidth="1"/>
    <col min="31" max="31" width="22" style="1" bestFit="1" customWidth="1"/>
    <col min="32" max="32" width="31.5" style="1" bestFit="1" customWidth="1"/>
    <col min="33" max="34" width="31.5" style="1" customWidth="1"/>
    <col min="35" max="35" width="20.83203125" style="1" bestFit="1" customWidth="1"/>
    <col min="36" max="37" width="23.83203125" style="1" bestFit="1" customWidth="1"/>
    <col min="38" max="38" width="13.5" style="1" customWidth="1"/>
    <col min="39" max="39" width="11.83203125" style="1" bestFit="1" customWidth="1"/>
    <col min="40" max="40" width="11.83203125" style="1" customWidth="1"/>
    <col min="41" max="41" width="18" style="1" bestFit="1" customWidth="1"/>
    <col min="42" max="42" width="19.83203125" style="1" bestFit="1" customWidth="1"/>
    <col min="43" max="43" width="19.83203125" style="1" customWidth="1"/>
    <col min="44" max="44" width="25.83203125" style="1" bestFit="1" customWidth="1"/>
    <col min="45" max="45" width="50.33203125" style="1" customWidth="1"/>
    <col min="46" max="46" width="35.5" style="1" customWidth="1"/>
    <col min="47" max="47" width="34.5" style="1" customWidth="1"/>
    <col min="48" max="48" width="40" style="1" customWidth="1"/>
    <col min="49" max="49" width="21.1640625" style="1" bestFit="1" customWidth="1"/>
    <col min="50" max="50" width="19.5" style="1" bestFit="1" customWidth="1"/>
    <col min="51" max="51" width="46.5" style="1" customWidth="1"/>
    <col min="52" max="52" width="31.5" style="1" customWidth="1"/>
    <col min="53" max="53" width="22.33203125" style="1" bestFit="1" customWidth="1"/>
    <col min="54" max="54" width="29"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ht="323" x14ac:dyDescent="0.2">
      <c r="A2" s="13">
        <v>19</v>
      </c>
      <c r="B2" s="8">
        <v>44921</v>
      </c>
      <c r="C2" s="3" t="s">
        <v>845</v>
      </c>
      <c r="D2" s="15" t="s">
        <v>376</v>
      </c>
      <c r="E2" s="3">
        <v>2018</v>
      </c>
      <c r="F2" s="3" t="s">
        <v>458</v>
      </c>
      <c r="G2" s="3" t="s">
        <v>14</v>
      </c>
      <c r="H2" s="3" t="s">
        <v>459</v>
      </c>
      <c r="I2" s="3" t="s">
        <v>461</v>
      </c>
      <c r="J2" s="3" t="s">
        <v>969</v>
      </c>
      <c r="K2" s="3" t="s">
        <v>845</v>
      </c>
      <c r="L2" s="3" t="s">
        <v>135</v>
      </c>
      <c r="M2" s="3" t="s">
        <v>903</v>
      </c>
      <c r="N2" s="3" t="s">
        <v>139</v>
      </c>
      <c r="O2" s="3">
        <v>1</v>
      </c>
      <c r="P2" s="3">
        <v>2</v>
      </c>
      <c r="Q2" s="3">
        <v>2</v>
      </c>
      <c r="R2" s="3" t="s">
        <v>850</v>
      </c>
      <c r="S2" s="3" t="s">
        <v>849</v>
      </c>
      <c r="T2" s="3" t="s">
        <v>849</v>
      </c>
      <c r="U2" s="3" t="s">
        <v>896</v>
      </c>
      <c r="V2" s="3" t="s">
        <v>845</v>
      </c>
      <c r="W2" s="3" t="s">
        <v>973</v>
      </c>
      <c r="X2" s="3" t="s">
        <v>845</v>
      </c>
      <c r="Y2" s="12" t="s">
        <v>853</v>
      </c>
      <c r="Z2" s="3" t="s">
        <v>972</v>
      </c>
      <c r="AA2" s="4">
        <v>2</v>
      </c>
      <c r="AB2" s="4" t="s">
        <v>855</v>
      </c>
      <c r="AC2" s="3" t="s">
        <v>854</v>
      </c>
      <c r="AD2" s="3" t="s">
        <v>845</v>
      </c>
      <c r="AE2" s="3" t="s">
        <v>845</v>
      </c>
      <c r="AF2" s="3" t="s">
        <v>962</v>
      </c>
      <c r="AG2" s="3" t="s">
        <v>139</v>
      </c>
      <c r="AH2" s="3" t="s">
        <v>845</v>
      </c>
      <c r="AI2" s="3" t="s">
        <v>207</v>
      </c>
      <c r="AJ2" s="3" t="s">
        <v>845</v>
      </c>
      <c r="AK2" s="3" t="s">
        <v>845</v>
      </c>
      <c r="AL2" s="3" t="s">
        <v>858</v>
      </c>
      <c r="AM2" s="3" t="s">
        <v>271</v>
      </c>
      <c r="AN2" s="3" t="s">
        <v>271</v>
      </c>
      <c r="AO2" s="3" t="s">
        <v>271</v>
      </c>
      <c r="AP2" s="3" t="s">
        <v>271</v>
      </c>
      <c r="AQ2" s="3" t="s">
        <v>271</v>
      </c>
      <c r="AR2" s="3" t="s">
        <v>271</v>
      </c>
      <c r="AS2" s="3" t="s">
        <v>271</v>
      </c>
      <c r="AT2" s="3" t="s">
        <v>845</v>
      </c>
      <c r="AU2" s="3" t="s">
        <v>966</v>
      </c>
      <c r="AV2" s="3" t="s">
        <v>845</v>
      </c>
      <c r="AW2" s="3" t="s">
        <v>845</v>
      </c>
      <c r="AX2" s="3" t="s">
        <v>845</v>
      </c>
      <c r="AY2" s="3" t="s">
        <v>974</v>
      </c>
      <c r="AZ2" s="3" t="s">
        <v>975</v>
      </c>
      <c r="BA2" s="3" t="s">
        <v>970</v>
      </c>
      <c r="BB2" s="5" t="s">
        <v>971</v>
      </c>
    </row>
    <row r="3" spans="1:54" ht="238" x14ac:dyDescent="0.2">
      <c r="A3" s="3">
        <v>27</v>
      </c>
      <c r="B3" s="8">
        <v>44921</v>
      </c>
      <c r="C3" s="3" t="s">
        <v>844</v>
      </c>
      <c r="D3" s="3" t="s">
        <v>336</v>
      </c>
      <c r="E3" s="3">
        <v>2019</v>
      </c>
      <c r="F3" s="3" t="s">
        <v>471</v>
      </c>
      <c r="G3" s="3" t="s">
        <v>12</v>
      </c>
      <c r="H3" s="3" t="s">
        <v>472</v>
      </c>
      <c r="I3" s="3" t="s">
        <v>695</v>
      </c>
      <c r="J3" s="3" t="s">
        <v>979</v>
      </c>
      <c r="K3" s="3" t="s">
        <v>845</v>
      </c>
      <c r="L3" s="3" t="s">
        <v>271</v>
      </c>
      <c r="M3" s="3" t="s">
        <v>135</v>
      </c>
      <c r="N3" s="3" t="s">
        <v>107</v>
      </c>
      <c r="O3" s="3" t="s">
        <v>271</v>
      </c>
      <c r="P3" s="3">
        <v>1</v>
      </c>
      <c r="Q3" s="3">
        <v>2</v>
      </c>
      <c r="R3" s="3" t="s">
        <v>271</v>
      </c>
      <c r="S3" s="3" t="s">
        <v>850</v>
      </c>
      <c r="T3" s="3" t="s">
        <v>850</v>
      </c>
      <c r="U3" s="3" t="s">
        <v>896</v>
      </c>
      <c r="V3" s="3" t="s">
        <v>844</v>
      </c>
      <c r="W3" s="3" t="s">
        <v>233</v>
      </c>
      <c r="X3" s="3" t="s">
        <v>845</v>
      </c>
      <c r="Y3" s="3" t="s">
        <v>853</v>
      </c>
      <c r="Z3" s="3" t="s">
        <v>981</v>
      </c>
      <c r="AA3" s="3">
        <v>1000</v>
      </c>
      <c r="AB3" s="3" t="s">
        <v>855</v>
      </c>
      <c r="AC3" s="3" t="s">
        <v>982</v>
      </c>
      <c r="AD3" s="3" t="s">
        <v>984</v>
      </c>
      <c r="AE3" s="3" t="s">
        <v>845</v>
      </c>
      <c r="AF3" s="3" t="s">
        <v>902</v>
      </c>
      <c r="AG3" s="3" t="s">
        <v>980</v>
      </c>
      <c r="AH3" s="3" t="s">
        <v>960</v>
      </c>
      <c r="AI3" s="3" t="s">
        <v>207</v>
      </c>
      <c r="AJ3" s="3" t="s">
        <v>844</v>
      </c>
      <c r="AK3" s="3" t="s">
        <v>845</v>
      </c>
      <c r="AL3" s="3" t="s">
        <v>858</v>
      </c>
      <c r="AM3" s="3" t="s">
        <v>271</v>
      </c>
      <c r="AN3" s="3" t="s">
        <v>271</v>
      </c>
      <c r="AO3" s="3" t="s">
        <v>271</v>
      </c>
      <c r="AP3" s="3" t="s">
        <v>271</v>
      </c>
      <c r="AQ3" s="3" t="s">
        <v>271</v>
      </c>
      <c r="AR3" s="3" t="s">
        <v>899</v>
      </c>
      <c r="AS3" s="3" t="s">
        <v>860</v>
      </c>
      <c r="AT3" s="3" t="s">
        <v>845</v>
      </c>
      <c r="AU3" s="3" t="s">
        <v>861</v>
      </c>
      <c r="AV3" s="3" t="s">
        <v>845</v>
      </c>
      <c r="AW3" s="3" t="s">
        <v>845</v>
      </c>
      <c r="AX3" s="3" t="s">
        <v>845</v>
      </c>
      <c r="AY3" s="3" t="s">
        <v>985</v>
      </c>
      <c r="AZ3" s="3" t="s">
        <v>986</v>
      </c>
      <c r="BA3" s="3" t="s">
        <v>983</v>
      </c>
      <c r="BB3" s="3" t="s">
        <v>978</v>
      </c>
    </row>
    <row r="4" spans="1:54" s="3" customFormat="1" ht="409" customHeight="1" x14ac:dyDescent="0.2">
      <c r="A4" s="13">
        <v>73</v>
      </c>
      <c r="B4" s="8">
        <v>44916</v>
      </c>
      <c r="C4" s="3" t="s">
        <v>844</v>
      </c>
      <c r="D4" s="15" t="s">
        <v>303</v>
      </c>
      <c r="E4" s="3">
        <v>2021</v>
      </c>
      <c r="F4" s="3" t="s">
        <v>562</v>
      </c>
      <c r="G4" s="3" t="s">
        <v>25</v>
      </c>
      <c r="H4" s="3" t="s">
        <v>563</v>
      </c>
      <c r="I4" s="3" t="s">
        <v>565</v>
      </c>
      <c r="J4" s="3" t="s">
        <v>846</v>
      </c>
      <c r="K4" s="3" t="s">
        <v>845</v>
      </c>
      <c r="L4" s="3" t="s">
        <v>135</v>
      </c>
      <c r="M4" s="3" t="s">
        <v>847</v>
      </c>
      <c r="N4" s="3" t="s">
        <v>848</v>
      </c>
      <c r="O4" s="3">
        <v>1</v>
      </c>
      <c r="P4" s="3">
        <v>4</v>
      </c>
      <c r="Q4" s="3">
        <v>3000</v>
      </c>
      <c r="R4" s="3" t="s">
        <v>849</v>
      </c>
      <c r="S4" s="3" t="s">
        <v>849</v>
      </c>
      <c r="T4" s="3" t="s">
        <v>850</v>
      </c>
      <c r="U4" s="3" t="s">
        <v>851</v>
      </c>
      <c r="V4" s="3" t="s">
        <v>845</v>
      </c>
      <c r="W4" s="3" t="s">
        <v>233</v>
      </c>
      <c r="X4" s="3" t="s">
        <v>852</v>
      </c>
      <c r="Y4" s="12" t="s">
        <v>853</v>
      </c>
      <c r="Z4" s="3" t="s">
        <v>854</v>
      </c>
      <c r="AA4" s="4">
        <v>3000</v>
      </c>
      <c r="AB4" s="4" t="s">
        <v>855</v>
      </c>
      <c r="AC4" s="3" t="s">
        <v>854</v>
      </c>
      <c r="AD4" s="3" t="s">
        <v>856</v>
      </c>
      <c r="AE4" s="3" t="s">
        <v>845</v>
      </c>
      <c r="AF4" s="3" t="s">
        <v>857</v>
      </c>
      <c r="AG4" s="3" t="s">
        <v>135</v>
      </c>
      <c r="AH4" s="3" t="s">
        <v>845</v>
      </c>
      <c r="AI4" s="3" t="s">
        <v>207</v>
      </c>
      <c r="AJ4" s="3" t="s">
        <v>844</v>
      </c>
      <c r="AK4" s="3" t="s">
        <v>845</v>
      </c>
      <c r="AL4" s="3" t="s">
        <v>858</v>
      </c>
      <c r="AM4" s="3" t="s">
        <v>845</v>
      </c>
      <c r="AN4" s="3" t="s">
        <v>845</v>
      </c>
      <c r="AO4" s="3" t="s">
        <v>845</v>
      </c>
      <c r="AP4" s="3" t="s">
        <v>845</v>
      </c>
      <c r="AQ4" s="3" t="s">
        <v>845</v>
      </c>
      <c r="AR4" s="3" t="s">
        <v>859</v>
      </c>
      <c r="AS4" s="3" t="s">
        <v>860</v>
      </c>
      <c r="AT4" s="3" t="s">
        <v>845</v>
      </c>
      <c r="AU4" s="3" t="s">
        <v>845</v>
      </c>
      <c r="AV4" s="3" t="s">
        <v>861</v>
      </c>
      <c r="AW4" s="3" t="s">
        <v>862</v>
      </c>
      <c r="AX4" s="3" t="s">
        <v>845</v>
      </c>
      <c r="AY4" s="5" t="s">
        <v>863</v>
      </c>
      <c r="AZ4" s="3" t="s">
        <v>864</v>
      </c>
      <c r="BA4" s="3" t="s">
        <v>865</v>
      </c>
      <c r="BB4" s="3" t="s">
        <v>866</v>
      </c>
    </row>
    <row r="5" spans="1:54" x14ac:dyDescent="0.2">
      <c r="A5" s="3"/>
      <c r="B5" s="8"/>
      <c r="C5" s="3"/>
      <c r="D5" s="3"/>
      <c r="E5" s="3"/>
      <c r="F5" s="3"/>
      <c r="G5" s="3"/>
      <c r="H5" s="3"/>
      <c r="I5" s="3"/>
      <c r="J5" s="3"/>
      <c r="K5" s="3"/>
      <c r="L5" s="3"/>
      <c r="M5" s="3"/>
      <c r="N5" s="3"/>
      <c r="O5" s="3"/>
      <c r="P5" s="3"/>
      <c r="Q5" s="3"/>
      <c r="R5" s="3"/>
      <c r="S5" s="3"/>
      <c r="T5" s="3"/>
      <c r="U5" s="3"/>
      <c r="V5" s="3"/>
      <c r="W5" s="3"/>
      <c r="X5" s="3"/>
      <c r="Y5" s="18"/>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F589-8DD5-CA4E-83FA-C9D3C63259AF}">
  <dimension ref="A1:H63"/>
  <sheetViews>
    <sheetView topLeftCell="A36" zoomScale="136" workbookViewId="0">
      <selection activeCell="B55" sqref="B55"/>
    </sheetView>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51</v>
      </c>
      <c r="B1" t="s">
        <v>52</v>
      </c>
      <c r="C1" t="s">
        <v>53</v>
      </c>
      <c r="D1" t="s">
        <v>54</v>
      </c>
      <c r="E1" t="s">
        <v>55</v>
      </c>
      <c r="F1" t="s">
        <v>56</v>
      </c>
      <c r="H1" t="s">
        <v>57</v>
      </c>
    </row>
    <row r="2" spans="1:8" x14ac:dyDescent="0.2">
      <c r="A2" t="s">
        <v>104</v>
      </c>
      <c r="B2" t="s">
        <v>105</v>
      </c>
      <c r="C2" t="s">
        <v>106</v>
      </c>
      <c r="D2" t="s">
        <v>107</v>
      </c>
      <c r="E2" t="s">
        <v>108</v>
      </c>
      <c r="F2" t="s">
        <v>109</v>
      </c>
      <c r="H2" t="str">
        <f>_xlfn.CONCAT(C2," &amp; ",D2," &amp; ",E2," &amp; ",F2," \\ ")</f>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3" spans="1:8" x14ac:dyDescent="0.2">
      <c r="A3" t="s">
        <v>187</v>
      </c>
      <c r="B3" t="s">
        <v>110</v>
      </c>
      <c r="C3" t="s">
        <v>188</v>
      </c>
      <c r="D3" t="s">
        <v>189</v>
      </c>
      <c r="E3" t="s">
        <v>190</v>
      </c>
      <c r="H3" t="str">
        <f t="shared" ref="H3:H59" si="0">_xlfn.CONCAT(C3," &amp; ",D3," &amp; ",E3," &amp; ",F3," \\ ")</f>
        <v xml:space="preserve">Aging acceleration factor &amp; AAF &amp; Is a metric for determining how much a charging load impacts transformer life &amp;  \\ </v>
      </c>
    </row>
    <row r="4" spans="1:8" x14ac:dyDescent="0.2">
      <c r="A4" t="s">
        <v>217</v>
      </c>
      <c r="B4" t="s">
        <v>126</v>
      </c>
      <c r="C4" t="s">
        <v>218</v>
      </c>
      <c r="D4" t="s">
        <v>219</v>
      </c>
      <c r="E4" t="s">
        <v>220</v>
      </c>
      <c r="H4" t="str">
        <f t="shared" si="0"/>
        <v xml:space="preserve">Alternating direction method of multipliers &amp; ADMM &amp; This approach solves the cooperative charging problem decomposing the original problem into smaller subproblems that are assigned to each PEV and an aggregator &amp;  \\ </v>
      </c>
    </row>
    <row r="5" spans="1:8" x14ac:dyDescent="0.2">
      <c r="A5" t="s">
        <v>58</v>
      </c>
      <c r="B5" t="s">
        <v>59</v>
      </c>
      <c r="C5" t="s">
        <v>60</v>
      </c>
      <c r="D5" t="s">
        <v>61</v>
      </c>
      <c r="E5" t="s">
        <v>62</v>
      </c>
      <c r="H5" t="str">
        <f t="shared" si="0"/>
        <v xml:space="preserve">Average rate &amp; AR &amp; Scheduling algorithm that supply the minimum power of the EVSE capacity. &amp;  \\ </v>
      </c>
    </row>
    <row r="6" spans="1:8" x14ac:dyDescent="0.2">
      <c r="A6" t="s">
        <v>58</v>
      </c>
      <c r="B6" t="s">
        <v>63</v>
      </c>
      <c r="C6" s="2" t="s">
        <v>64</v>
      </c>
      <c r="D6" t="s">
        <v>65</v>
      </c>
      <c r="E6" t="s">
        <v>66</v>
      </c>
      <c r="H6" t="str">
        <f t="shared" si="0"/>
        <v xml:space="preserve">Backward-forward sweep &amp; BFS &amp; Algorithm to compute the power flow in a network &amp;  \\ </v>
      </c>
    </row>
    <row r="7" spans="1:8" x14ac:dyDescent="0.2">
      <c r="A7" t="s">
        <v>104</v>
      </c>
      <c r="B7" t="s">
        <v>110</v>
      </c>
      <c r="C7" t="s">
        <v>111</v>
      </c>
      <c r="E7" t="s">
        <v>112</v>
      </c>
      <c r="F7" t="s">
        <v>113</v>
      </c>
      <c r="H7" t="str">
        <f t="shared" si="0"/>
        <v xml:space="preserve">Battery capacity (kWh) &amp;  &amp; It is the maximum energy the battery can save &amp; Battery health, state of the battery. \\ </v>
      </c>
    </row>
    <row r="8" spans="1:8" x14ac:dyDescent="0.2">
      <c r="A8" t="s">
        <v>104</v>
      </c>
      <c r="B8" t="s">
        <v>110</v>
      </c>
      <c r="C8" t="s">
        <v>114</v>
      </c>
      <c r="E8" t="s">
        <v>115</v>
      </c>
      <c r="H8" t="str">
        <f t="shared" si="0"/>
        <v xml:space="preserve">Blackout &amp;  &amp; It is the loss of the electrical power network supply to an end user (a.k.a. power outage, powercut, a power out, a power blackout, a power failure or a power loss). &amp;  \\ </v>
      </c>
    </row>
    <row r="9" spans="1:8" x14ac:dyDescent="0.2">
      <c r="A9" t="s">
        <v>187</v>
      </c>
      <c r="B9" t="s">
        <v>110</v>
      </c>
      <c r="C9" t="s">
        <v>191</v>
      </c>
      <c r="E9" t="s">
        <v>192</v>
      </c>
      <c r="H9" t="str">
        <f t="shared" si="0"/>
        <v xml:space="preserve">Bottleneck &amp;  &amp; Line limits and transformer capacities across different voltage levels. &amp;  \\ </v>
      </c>
    </row>
    <row r="10" spans="1:8" x14ac:dyDescent="0.2">
      <c r="A10" t="s">
        <v>104</v>
      </c>
      <c r="B10" t="s">
        <v>110</v>
      </c>
      <c r="C10" t="s">
        <v>116</v>
      </c>
      <c r="E10" t="s">
        <v>117</v>
      </c>
      <c r="H10" t="str">
        <f t="shared" si="0"/>
        <v xml:space="preserve">Brownout &amp;  &amp; Phemonenon when there is an intentional or unintentional drop in the voltage. &amp;  \\ </v>
      </c>
    </row>
    <row r="11" spans="1:8" x14ac:dyDescent="0.2">
      <c r="A11" t="s">
        <v>217</v>
      </c>
      <c r="B11" t="s">
        <v>126</v>
      </c>
      <c r="C11" t="s">
        <v>221</v>
      </c>
      <c r="E11" t="s">
        <v>222</v>
      </c>
      <c r="F11" t="s">
        <v>223</v>
      </c>
      <c r="H11" t="str">
        <f t="shared" si="0"/>
        <v xml:space="preserve">Centralized charging &amp;  &amp; The AU decides when and how much to charge each EV by gathering the information of all EVs that demand energy. &amp; Centralized control, Direct control. \\ </v>
      </c>
    </row>
    <row r="12" spans="1:8" x14ac:dyDescent="0.2">
      <c r="A12" t="s">
        <v>104</v>
      </c>
      <c r="B12" t="s">
        <v>110</v>
      </c>
      <c r="C12" t="s">
        <v>118</v>
      </c>
      <c r="E12" t="s">
        <v>119</v>
      </c>
      <c r="H12" t="str">
        <f t="shared" si="0"/>
        <v xml:space="preserve">Charging capacity (kW) &amp;  &amp; It is the maximum power the battery stands &amp;  \\ </v>
      </c>
    </row>
    <row r="13" spans="1:8" x14ac:dyDescent="0.2">
      <c r="A13" t="s">
        <v>104</v>
      </c>
      <c r="B13" t="s">
        <v>110</v>
      </c>
      <c r="C13" t="s">
        <v>120</v>
      </c>
      <c r="H13" t="str">
        <f t="shared" si="0"/>
        <v xml:space="preserve">Charging efficiency &amp;  &amp;  &amp;  \\ </v>
      </c>
    </row>
    <row r="14" spans="1:8" x14ac:dyDescent="0.2">
      <c r="A14" t="s">
        <v>104</v>
      </c>
      <c r="B14" t="s">
        <v>105</v>
      </c>
      <c r="C14" t="s">
        <v>46</v>
      </c>
      <c r="E14" t="s">
        <v>121</v>
      </c>
      <c r="H14" t="str">
        <f t="shared" si="0"/>
        <v xml:space="preserve">Charging facility &amp;  &amp; Place where there is an EVSE. It can be either a station, a home, a parking and a workplace. &amp;  \\ </v>
      </c>
    </row>
    <row r="15" spans="1:8" x14ac:dyDescent="0.2">
      <c r="A15" t="s">
        <v>104</v>
      </c>
      <c r="B15" t="s">
        <v>105</v>
      </c>
      <c r="C15" t="s">
        <v>122</v>
      </c>
      <c r="E15" t="s">
        <v>123</v>
      </c>
      <c r="F15" t="s">
        <v>897</v>
      </c>
      <c r="H15"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Charger pilot \\ </v>
      </c>
    </row>
    <row r="16" spans="1:8" x14ac:dyDescent="0.2">
      <c r="A16" t="s">
        <v>104</v>
      </c>
      <c r="B16" t="s">
        <v>110</v>
      </c>
      <c r="C16" t="s">
        <v>124</v>
      </c>
      <c r="E16" t="s">
        <v>125</v>
      </c>
      <c r="H16" t="str">
        <f t="shared" si="0"/>
        <v xml:space="preserve">Charging power modulation &amp;  &amp; It is the capability of the AU to control the power supplied. &amp;  \\ </v>
      </c>
    </row>
    <row r="17" spans="1:8" x14ac:dyDescent="0.2">
      <c r="A17" t="s">
        <v>104</v>
      </c>
      <c r="B17" t="s">
        <v>126</v>
      </c>
      <c r="C17" t="s">
        <v>127</v>
      </c>
      <c r="E17" t="s">
        <v>128</v>
      </c>
      <c r="F17" t="s">
        <v>313</v>
      </c>
      <c r="H17" t="str">
        <f t="shared" si="0"/>
        <v xml:space="preserve">Coordinated charging &amp;  &amp; Energy supplied is controled under power availability and/or power grid constraints. &amp; Controlled charging, smart charging, charge management (CM), Optimized charging (OC), EV charging scheduling (EVCS), EV charging charging coordination (EVCC) \\ </v>
      </c>
    </row>
    <row r="18" spans="1:8" x14ac:dyDescent="0.2">
      <c r="A18" t="s">
        <v>217</v>
      </c>
      <c r="B18" t="s">
        <v>126</v>
      </c>
      <c r="C18" t="s">
        <v>224</v>
      </c>
      <c r="E18" t="s">
        <v>225</v>
      </c>
      <c r="F18" t="s">
        <v>226</v>
      </c>
      <c r="H18"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19" spans="1:8" x14ac:dyDescent="0.2">
      <c r="A19" t="s">
        <v>217</v>
      </c>
      <c r="B19" t="s">
        <v>126</v>
      </c>
      <c r="C19" t="s">
        <v>227</v>
      </c>
      <c r="E19" t="s">
        <v>228</v>
      </c>
      <c r="F19" t="s">
        <v>229</v>
      </c>
      <c r="H19" t="str">
        <f t="shared" si="0"/>
        <v xml:space="preserve">Distributed charging &amp;  &amp; EVs schedule their charging by themselves based on information provided by the AU about other EVs. &amp; Hierarchical charging, Aggregator-assisted charging. \\ </v>
      </c>
    </row>
    <row r="20" spans="1:8" x14ac:dyDescent="0.2">
      <c r="A20" t="s">
        <v>104</v>
      </c>
      <c r="B20" t="s">
        <v>129</v>
      </c>
      <c r="C20" t="s">
        <v>130</v>
      </c>
      <c r="D20" t="s">
        <v>131</v>
      </c>
      <c r="E20" t="s">
        <v>132</v>
      </c>
      <c r="F20" t="s">
        <v>133</v>
      </c>
      <c r="H20" t="str">
        <f t="shared" si="0"/>
        <v xml:space="preserve">Distributed energy resource &amp; DER &amp; It refers to those energies that are not generated and distributed by the distribution network, e.g. renewable energy resources. &amp; Intermittent energy resource (IER) \\ </v>
      </c>
    </row>
    <row r="21" spans="1:8" x14ac:dyDescent="0.2">
      <c r="A21" t="s">
        <v>104</v>
      </c>
      <c r="B21" t="s">
        <v>105</v>
      </c>
      <c r="C21" t="s">
        <v>134</v>
      </c>
      <c r="D21" t="s">
        <v>135</v>
      </c>
      <c r="E21" t="s">
        <v>136</v>
      </c>
      <c r="F21" t="s">
        <v>938</v>
      </c>
      <c r="H21"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Electrical/Electricity Network Operator (ENO), Charging network operator (CNO), Distribution company (DISCO) \\ </v>
      </c>
    </row>
    <row r="22" spans="1:8" x14ac:dyDescent="0.2">
      <c r="A22" t="s">
        <v>104</v>
      </c>
      <c r="B22" t="s">
        <v>126</v>
      </c>
      <c r="C22" t="s">
        <v>307</v>
      </c>
      <c r="E22" t="s">
        <v>308</v>
      </c>
      <c r="H22" t="str">
        <f t="shared" si="0"/>
        <v xml:space="preserve">Dynamic charging infrastructure &amp;  &amp; The problem of electrified roads &amp;  \\ </v>
      </c>
    </row>
    <row r="23" spans="1:8" x14ac:dyDescent="0.2">
      <c r="A23" t="s">
        <v>58</v>
      </c>
      <c r="B23" t="s">
        <v>59</v>
      </c>
      <c r="C23" t="s">
        <v>67</v>
      </c>
      <c r="D23" t="s">
        <v>68</v>
      </c>
      <c r="E23" t="s">
        <v>69</v>
      </c>
      <c r="H23" t="str">
        <f t="shared" si="0"/>
        <v xml:space="preserve">Earliest deadline first &amp; EDF &amp; Scheduling algorithm that schedules the charge of the vehicle with earliest departure time first. &amp;  \\ </v>
      </c>
    </row>
    <row r="24" spans="1:8" x14ac:dyDescent="0.2">
      <c r="A24" t="s">
        <v>58</v>
      </c>
      <c r="B24" t="s">
        <v>59</v>
      </c>
      <c r="C24" t="s">
        <v>70</v>
      </c>
      <c r="D24" t="s">
        <v>71</v>
      </c>
      <c r="E24" t="s">
        <v>72</v>
      </c>
      <c r="H24" t="str">
        <f t="shared" si="0"/>
        <v xml:space="preserve">Earliest start time &amp; EST &amp; Scheduling algorithm that dispatches the EVSE firsly available with no spatial consideration. &amp;  \\ </v>
      </c>
    </row>
    <row r="25" spans="1:8" x14ac:dyDescent="0.2">
      <c r="A25" t="s">
        <v>104</v>
      </c>
      <c r="B25" t="s">
        <v>137</v>
      </c>
      <c r="C25" t="s">
        <v>138</v>
      </c>
      <c r="D25" t="s">
        <v>139</v>
      </c>
      <c r="E25" t="s">
        <v>140</v>
      </c>
      <c r="F25" t="s">
        <v>141</v>
      </c>
      <c r="H25" t="str">
        <f t="shared" si="0"/>
        <v xml:space="preserve">Electric vehicle &amp; EV &amp; Light-weight vehicles that require a rechargeable battery. &amp; Plug-in electric vehicle (PEV), Battery electric vehicle (BEV), Full electric vehicle (FEV), Pure electric cars (PEC). \\ </v>
      </c>
    </row>
    <row r="26" spans="1:8" x14ac:dyDescent="0.2">
      <c r="A26" t="s">
        <v>104</v>
      </c>
      <c r="B26" t="s">
        <v>105</v>
      </c>
      <c r="C26" t="s">
        <v>142</v>
      </c>
      <c r="D26" t="s">
        <v>40</v>
      </c>
      <c r="E26" t="s">
        <v>143</v>
      </c>
      <c r="F26" t="s">
        <v>144</v>
      </c>
      <c r="H26" t="str">
        <f t="shared" si="0"/>
        <v xml:space="preserve">Electric vehicle supply equiment &amp; EVSE &amp; It is the cable to connect the EV to the charging pile where the power energy flows through. &amp; Charging equipment, Connector \\ </v>
      </c>
    </row>
    <row r="27" spans="1:8" x14ac:dyDescent="0.2">
      <c r="A27" t="s">
        <v>104</v>
      </c>
      <c r="B27" t="s">
        <v>105</v>
      </c>
      <c r="C27" t="s">
        <v>145</v>
      </c>
      <c r="D27" t="s">
        <v>146</v>
      </c>
      <c r="E27" t="s">
        <v>147</v>
      </c>
      <c r="F27" t="s">
        <v>148</v>
      </c>
      <c r="H27" t="str">
        <f t="shared" si="0"/>
        <v xml:space="preserve">Electric vehicle supply equipement port &amp; EVSE port &amp; It the plug where the EVSE is plugged-in. &amp; Charging port \\ </v>
      </c>
    </row>
    <row r="28" spans="1:8" x14ac:dyDescent="0.2">
      <c r="A28" t="s">
        <v>187</v>
      </c>
      <c r="B28" t="s">
        <v>110</v>
      </c>
      <c r="C28" t="s">
        <v>193</v>
      </c>
      <c r="E28" t="s">
        <v>194</v>
      </c>
      <c r="H28" t="str">
        <f t="shared" si="0"/>
        <v xml:space="preserve">Equivalent aging factor &amp;  &amp; It is the aggregation of the AAF product of computing it at each time interval. &amp;  \\ </v>
      </c>
    </row>
    <row r="29" spans="1:8" x14ac:dyDescent="0.2">
      <c r="A29" t="s">
        <v>104</v>
      </c>
      <c r="B29" t="s">
        <v>110</v>
      </c>
      <c r="C29" t="s">
        <v>149</v>
      </c>
      <c r="E29" t="s">
        <v>150</v>
      </c>
      <c r="H29" t="str">
        <f t="shared" si="0"/>
        <v xml:space="preserve">EV load &amp;  &amp; It is the power or energy consumed at EVSEs over time. &amp;  \\ </v>
      </c>
    </row>
    <row r="30" spans="1:8" x14ac:dyDescent="0.2">
      <c r="A30" t="s">
        <v>58</v>
      </c>
      <c r="B30" t="s">
        <v>59</v>
      </c>
      <c r="C30" t="s">
        <v>73</v>
      </c>
      <c r="D30" t="s">
        <v>74</v>
      </c>
      <c r="E30" t="s">
        <v>75</v>
      </c>
      <c r="F30" t="s">
        <v>76</v>
      </c>
      <c r="H30" t="str">
        <f t="shared" si="0"/>
        <v xml:space="preserve">First-in First-served &amp; FIFS &amp; Scheduling algorithm that dispatches EVs according to their arrival times. &amp; First-come first-served (FCFS) \\ </v>
      </c>
    </row>
    <row r="31" spans="1:8" x14ac:dyDescent="0.2">
      <c r="A31" t="s">
        <v>104</v>
      </c>
      <c r="B31" t="s">
        <v>137</v>
      </c>
      <c r="C31" t="s">
        <v>151</v>
      </c>
      <c r="D31" t="s">
        <v>152</v>
      </c>
      <c r="E31" t="s">
        <v>153</v>
      </c>
      <c r="H31" t="str">
        <f t="shared" si="0"/>
        <v xml:space="preserve">Fuel cell electric vehicle &amp; FCEV &amp; Vehicles that work with hydrogen fuel. &amp;  \\ </v>
      </c>
    </row>
    <row r="32" spans="1:8" x14ac:dyDescent="0.2">
      <c r="A32" t="s">
        <v>104</v>
      </c>
      <c r="B32" t="s">
        <v>36</v>
      </c>
      <c r="C32" t="s">
        <v>154</v>
      </c>
      <c r="D32" t="s">
        <v>155</v>
      </c>
      <c r="E32" t="s">
        <v>156</v>
      </c>
      <c r="F32" t="s">
        <v>157</v>
      </c>
      <c r="H32" t="str">
        <f t="shared" si="0"/>
        <v xml:space="preserve">Grid-to-vehicle &amp; G2V &amp; The power grid supplies energy to EVs. &amp; Unidirectional, Unidirectional V2G, V1G. \\ </v>
      </c>
    </row>
    <row r="33" spans="1:8" x14ac:dyDescent="0.2">
      <c r="A33" t="s">
        <v>104</v>
      </c>
      <c r="B33" t="s">
        <v>137</v>
      </c>
      <c r="C33" t="s">
        <v>158</v>
      </c>
      <c r="D33" t="s">
        <v>159</v>
      </c>
      <c r="E33" t="s">
        <v>160</v>
      </c>
      <c r="F33" t="s">
        <v>161</v>
      </c>
      <c r="H33" t="str">
        <f t="shared" si="0"/>
        <v xml:space="preserve">Hybrid electric vehicle &amp; HEV &amp; Vehicles that use gasoline and electricity. &amp; Plug-in hybrid electric vehicle (PHEV), Hybrid electric cars (HEC). \\ </v>
      </c>
    </row>
    <row r="34" spans="1:8" x14ac:dyDescent="0.2">
      <c r="A34" t="s">
        <v>104</v>
      </c>
      <c r="B34" t="s">
        <v>137</v>
      </c>
      <c r="C34" t="s">
        <v>162</v>
      </c>
      <c r="D34" t="s">
        <v>163</v>
      </c>
      <c r="E34" t="s">
        <v>164</v>
      </c>
      <c r="F34" t="s">
        <v>165</v>
      </c>
      <c r="H34" t="str">
        <f t="shared" si="0"/>
        <v xml:space="preserve">Internal combustion engine vehicle &amp; ICEV &amp; Vehicles that use gasoline only. &amp; Internal combustion vehicles (ICVs), Conventional vehicle (CV). \\ </v>
      </c>
    </row>
    <row r="35" spans="1:8" x14ac:dyDescent="0.2">
      <c r="A35" t="s">
        <v>58</v>
      </c>
      <c r="B35" t="s">
        <v>59</v>
      </c>
      <c r="C35" t="s">
        <v>77</v>
      </c>
      <c r="D35" t="s">
        <v>78</v>
      </c>
      <c r="E35" t="s">
        <v>79</v>
      </c>
      <c r="F35" t="s">
        <v>80</v>
      </c>
      <c r="H35" t="str">
        <f t="shared" si="0"/>
        <v xml:space="preserve">Least slack time &amp; LST &amp; Scheduling algorithm that prioritizes those vehicle with shortest remaining time to achieve the desired SoC. &amp; Least laxity first (LLF) \\ </v>
      </c>
    </row>
    <row r="36" spans="1:8" x14ac:dyDescent="0.2">
      <c r="A36" t="s">
        <v>168</v>
      </c>
      <c r="B36" t="s">
        <v>168</v>
      </c>
      <c r="C36" t="s">
        <v>230</v>
      </c>
      <c r="D36" t="s">
        <v>231</v>
      </c>
      <c r="H36" t="str">
        <f t="shared" si="0"/>
        <v xml:space="preserve">Locational marginal pricing &amp; LMP &amp;  &amp;  \\ </v>
      </c>
    </row>
    <row r="37" spans="1:8" x14ac:dyDescent="0.2">
      <c r="A37" t="s">
        <v>187</v>
      </c>
      <c r="B37" t="s">
        <v>110</v>
      </c>
      <c r="C37" t="s">
        <v>195</v>
      </c>
      <c r="D37" t="s">
        <v>196</v>
      </c>
      <c r="E37" t="s">
        <v>197</v>
      </c>
      <c r="H37" t="str">
        <f t="shared" si="0"/>
        <v xml:space="preserve">Loss of life percentage &amp; LOL &amp; It is the wear of the transformer throughout time. It is computed by mutiplying the EAF by the total operation time dived by 180,000. &amp;  \\ </v>
      </c>
    </row>
    <row r="38" spans="1:8" x14ac:dyDescent="0.2">
      <c r="A38" t="s">
        <v>58</v>
      </c>
      <c r="B38" t="s">
        <v>59</v>
      </c>
      <c r="C38" t="s">
        <v>81</v>
      </c>
      <c r="D38" t="s">
        <v>82</v>
      </c>
      <c r="E38" t="s">
        <v>83</v>
      </c>
      <c r="H38" t="str">
        <f t="shared" si="0"/>
        <v xml:space="preserve">Lowest state-of-charge first &amp; LSF &amp; Scheduling algorithm that charges the vehicle with the lowest SoC first &amp;  \\ </v>
      </c>
    </row>
    <row r="39" spans="1:8" x14ac:dyDescent="0.2">
      <c r="A39" t="s">
        <v>104</v>
      </c>
      <c r="B39" t="s">
        <v>126</v>
      </c>
      <c r="C39" t="s">
        <v>309</v>
      </c>
      <c r="E39" t="s">
        <v>310</v>
      </c>
      <c r="H39" t="str">
        <f t="shared" si="0"/>
        <v xml:space="preserve">Market clearing &amp;  &amp; Process in which the demand is equal to the offer &amp;  \\ </v>
      </c>
    </row>
    <row r="40" spans="1:8" x14ac:dyDescent="0.2">
      <c r="A40" t="s">
        <v>104</v>
      </c>
      <c r="B40" t="s">
        <v>129</v>
      </c>
      <c r="C40" t="s">
        <v>22</v>
      </c>
      <c r="D40" t="s">
        <v>43</v>
      </c>
      <c r="E40" t="s">
        <v>166</v>
      </c>
      <c r="F40" t="s">
        <v>167</v>
      </c>
      <c r="H40" t="str">
        <f t="shared" si="0"/>
        <v xml:space="preserve">Model predictive control &amp; MPC &amp; It aims to repeatedly solve an optimization problem using forecast of costs and demand, among others. &amp; Receding horizon control (RHC) \\ </v>
      </c>
    </row>
    <row r="41" spans="1:8" x14ac:dyDescent="0.2">
      <c r="A41" t="s">
        <v>58</v>
      </c>
      <c r="B41" t="s">
        <v>59</v>
      </c>
      <c r="C41" t="s">
        <v>84</v>
      </c>
      <c r="D41" t="s">
        <v>85</v>
      </c>
      <c r="E41" t="s">
        <v>86</v>
      </c>
      <c r="H41" t="str">
        <f t="shared" si="0"/>
        <v xml:space="preserve">Nearest Neighbor Charging Routing &amp; NNCR &amp; Scheduling algorithm that dispatches the EV to the nearest charging station and the corresponding EVSE that is firstly available. &amp;  \\ </v>
      </c>
    </row>
    <row r="42" spans="1:8" x14ac:dyDescent="0.2">
      <c r="A42" t="s">
        <v>58</v>
      </c>
      <c r="B42" t="s">
        <v>63</v>
      </c>
      <c r="C42" t="s">
        <v>87</v>
      </c>
      <c r="E42" t="s">
        <v>66</v>
      </c>
      <c r="H42" t="str">
        <f t="shared" si="0"/>
        <v xml:space="preserve">Newton-Raphson &amp;  &amp; Algorithm to compute the power flow in a network &amp;  \\ </v>
      </c>
    </row>
    <row r="43" spans="1:8" x14ac:dyDescent="0.2">
      <c r="A43" t="s">
        <v>42</v>
      </c>
      <c r="B43" t="s">
        <v>110</v>
      </c>
      <c r="C43" t="s">
        <v>203</v>
      </c>
      <c r="E43" t="s">
        <v>204</v>
      </c>
      <c r="F43" t="s">
        <v>205</v>
      </c>
      <c r="H43" t="str">
        <f t="shared" si="0"/>
        <v xml:space="preserve">Non-preemptive charging &amp;  &amp; Once charging starts, it is not allowed to stop supplying energy. &amp; Non-stop charging \\ </v>
      </c>
    </row>
    <row r="44" spans="1:8" x14ac:dyDescent="0.2">
      <c r="A44" t="s">
        <v>42</v>
      </c>
      <c r="B44" t="s">
        <v>110</v>
      </c>
      <c r="C44" t="s">
        <v>206</v>
      </c>
      <c r="D44" t="s">
        <v>207</v>
      </c>
      <c r="E44" t="s">
        <v>208</v>
      </c>
      <c r="F44" t="s">
        <v>209</v>
      </c>
      <c r="H44" t="str">
        <f t="shared" si="0"/>
        <v xml:space="preserve">Power coordinated charging &amp; PCC &amp; The power consumer by each EV is controlled such that the total load demand does not exceed the total power availability. &amp; Variable charge-rate coordination (VCC). \\ </v>
      </c>
    </row>
    <row r="45" spans="1:8" x14ac:dyDescent="0.2">
      <c r="A45" t="s">
        <v>187</v>
      </c>
      <c r="B45" t="s">
        <v>126</v>
      </c>
      <c r="C45" t="s">
        <v>198</v>
      </c>
      <c r="E45" t="s">
        <v>199</v>
      </c>
      <c r="H45" t="str">
        <f t="shared" si="0"/>
        <v xml:space="preserve">Power generation system &amp;  &amp; Encompasses the production of electricity and the allocation of required demand between producers. &amp;  \\ </v>
      </c>
    </row>
    <row r="46" spans="1:8" x14ac:dyDescent="0.2">
      <c r="A46" t="s">
        <v>42</v>
      </c>
      <c r="B46" t="s">
        <v>110</v>
      </c>
      <c r="C46" t="s">
        <v>210</v>
      </c>
      <c r="E46" t="s">
        <v>211</v>
      </c>
      <c r="F46" t="s">
        <v>212</v>
      </c>
      <c r="H46" t="str">
        <f t="shared" si="0"/>
        <v xml:space="preserve">Preemptive charging &amp;  &amp; Once charging starts, it is allowed to stop supplying energy. &amp; Free charging \\ </v>
      </c>
    </row>
    <row r="47" spans="1:8" x14ac:dyDescent="0.2">
      <c r="A47" t="s">
        <v>104</v>
      </c>
      <c r="B47" t="s">
        <v>168</v>
      </c>
      <c r="C47" t="s">
        <v>169</v>
      </c>
      <c r="E47" t="s">
        <v>170</v>
      </c>
      <c r="H47" t="str">
        <f t="shared" si="0"/>
        <v xml:space="preserve">Price control &amp;  &amp; Coordination method in which the AU sets the price over the day as an incentive or disincentive mechanism to plug-in EV when needed. &amp;  \\ </v>
      </c>
    </row>
    <row r="48" spans="1:8" x14ac:dyDescent="0.2">
      <c r="A48" t="s">
        <v>58</v>
      </c>
      <c r="B48" t="s">
        <v>59</v>
      </c>
      <c r="C48" t="s">
        <v>88</v>
      </c>
      <c r="D48" t="s">
        <v>89</v>
      </c>
      <c r="E48" t="s">
        <v>90</v>
      </c>
      <c r="F48" t="s">
        <v>91</v>
      </c>
      <c r="H48" t="str">
        <f t="shared" si="0"/>
        <v xml:space="preserve">Price oriented scheduling &amp; POS &amp; Scheduling algorithm that supplies more energy during cheaper windows &amp; ToU scheduling \\ </v>
      </c>
    </row>
    <row r="49" spans="1:8" x14ac:dyDescent="0.2">
      <c r="A49" t="s">
        <v>58</v>
      </c>
      <c r="B49" t="s">
        <v>59</v>
      </c>
      <c r="C49" t="s">
        <v>92</v>
      </c>
      <c r="D49" t="s">
        <v>93</v>
      </c>
      <c r="E49" t="s">
        <v>94</v>
      </c>
      <c r="H49" t="str">
        <f t="shared" si="0"/>
        <v xml:space="preserve">Randomly delayed charging &amp; RND &amp; Scheduling algorithm that starts to supplying power after a random amount of time. &amp;  \\ </v>
      </c>
    </row>
    <row r="50" spans="1:8" x14ac:dyDescent="0.2">
      <c r="A50" t="s">
        <v>168</v>
      </c>
      <c r="B50" t="s">
        <v>168</v>
      </c>
      <c r="C50" t="s">
        <v>232</v>
      </c>
      <c r="D50" t="s">
        <v>233</v>
      </c>
      <c r="E50" t="s">
        <v>234</v>
      </c>
      <c r="F50" t="s">
        <v>235</v>
      </c>
      <c r="H50" t="str">
        <f t="shared" si="0"/>
        <v xml:space="preserve">Real-time pricing &amp; RTP &amp; Pricing scheme that is adjusted according to a function that varies over the time. &amp; Dynamic pricing, time-varying price/tariff. \\ </v>
      </c>
    </row>
    <row r="51" spans="1:8" x14ac:dyDescent="0.2">
      <c r="A51" t="s">
        <v>58</v>
      </c>
      <c r="B51" t="s">
        <v>59</v>
      </c>
      <c r="C51" t="s">
        <v>95</v>
      </c>
      <c r="D51" t="s">
        <v>96</v>
      </c>
      <c r="E51" t="s">
        <v>97</v>
      </c>
      <c r="H51" t="str">
        <f t="shared" si="0"/>
        <v xml:space="preserve">Shortest job first &amp; SJF &amp; Scheduling algorithm that charges the vehicle with less required energy first. &amp;  \\ </v>
      </c>
    </row>
    <row r="52" spans="1:8" x14ac:dyDescent="0.2">
      <c r="A52" t="s">
        <v>104</v>
      </c>
      <c r="B52" t="s">
        <v>110</v>
      </c>
      <c r="C52" t="s">
        <v>171</v>
      </c>
      <c r="E52" t="s">
        <v>172</v>
      </c>
      <c r="F52" t="s">
        <v>173</v>
      </c>
      <c r="H52" t="str">
        <f t="shared" si="0"/>
        <v xml:space="preserve">Sliding windows &amp;  &amp; It is the time between the arrival of the EV and the lattest charging time before departure (to get the desired SoC) &amp; Sojourn time, dwell time. \\ </v>
      </c>
    </row>
    <row r="53" spans="1:8" x14ac:dyDescent="0.2">
      <c r="A53" t="s">
        <v>58</v>
      </c>
      <c r="B53" t="s">
        <v>59</v>
      </c>
      <c r="C53" t="s">
        <v>98</v>
      </c>
      <c r="D53" t="s">
        <v>99</v>
      </c>
      <c r="E53" t="s">
        <v>100</v>
      </c>
      <c r="H53" t="str">
        <f t="shared" si="0"/>
        <v xml:space="preserve">Smart charging system with cooperation &amp; SCSC &amp; Scheduling algorithm that supplies energy according to maximizing the utilization of the available power. &amp;  \\ </v>
      </c>
    </row>
    <row r="54" spans="1:8" x14ac:dyDescent="0.2">
      <c r="A54" t="s">
        <v>104</v>
      </c>
      <c r="B54" t="s">
        <v>174</v>
      </c>
      <c r="C54" t="s">
        <v>175</v>
      </c>
      <c r="D54" t="s">
        <v>176</v>
      </c>
      <c r="E54" t="s">
        <v>177</v>
      </c>
      <c r="F54" t="s">
        <v>178</v>
      </c>
      <c r="H54" t="str">
        <f t="shared" si="0"/>
        <v xml:space="preserve">State-of-chage &amp; SoC &amp; Almacenated energy in the battery, commonly represented as a fraction of the total capacity. &amp; State-of-energy (SoE), Depth-of-Dischard (DoD) if 1 - SoC, Battery state of charging (BSOC). \\ </v>
      </c>
    </row>
    <row r="55" spans="1:8" x14ac:dyDescent="0.2">
      <c r="A55" t="s">
        <v>104</v>
      </c>
      <c r="B55" t="s">
        <v>126</v>
      </c>
      <c r="C55" t="s">
        <v>305</v>
      </c>
      <c r="E55" t="s">
        <v>306</v>
      </c>
      <c r="H55" t="str">
        <f t="shared" si="0"/>
        <v xml:space="preserve">Static charging infrastructure &amp;  &amp; The problem of charging facilities placement &amp;  \\ </v>
      </c>
    </row>
    <row r="56" spans="1:8" x14ac:dyDescent="0.2">
      <c r="A56" t="s">
        <v>42</v>
      </c>
      <c r="B56" t="s">
        <v>110</v>
      </c>
      <c r="C56" t="s">
        <v>213</v>
      </c>
      <c r="D56" t="s">
        <v>214</v>
      </c>
      <c r="E56" t="s">
        <v>215</v>
      </c>
      <c r="F56" t="s">
        <v>216</v>
      </c>
      <c r="H56" t="str">
        <f t="shared" si="0"/>
        <v xml:space="preserve">Time coordinated charging &amp; TCC &amp; There is a maximum number of Evs each time such that the total load demand does not exceed the total power availability. &amp; Fixed charge-rate coordination (FCC), on-off based charging. \\ </v>
      </c>
    </row>
    <row r="57" spans="1:8" x14ac:dyDescent="0.2">
      <c r="A57" t="s">
        <v>168</v>
      </c>
      <c r="B57" t="s">
        <v>168</v>
      </c>
      <c r="C57" t="s">
        <v>236</v>
      </c>
      <c r="D57" t="s">
        <v>237</v>
      </c>
      <c r="E57" t="s">
        <v>238</v>
      </c>
      <c r="F57" t="s">
        <v>239</v>
      </c>
      <c r="H57" t="str">
        <f t="shared" si="0"/>
        <v xml:space="preserve">Time-of-use &amp; ToU &amp; Pricing scheme that is constant by time frame (static price), commonly three frame: off-peak, shoulder and peak. &amp; Piece-wise constant, White tariff. \\ </v>
      </c>
    </row>
    <row r="58" spans="1:8" x14ac:dyDescent="0.2">
      <c r="A58" t="s">
        <v>104</v>
      </c>
      <c r="B58" t="s">
        <v>105</v>
      </c>
      <c r="C58" t="s">
        <v>179</v>
      </c>
      <c r="D58" t="s">
        <v>180</v>
      </c>
      <c r="E58" t="s">
        <v>181</v>
      </c>
      <c r="F58" t="s">
        <v>182</v>
      </c>
      <c r="H58" t="str">
        <f t="shared" si="0"/>
        <v xml:space="preserve">Transmission system operator &amp; TSO &amp; The network that transports the enery at high voltage from the generation source to cities. &amp; Transmission system \\ </v>
      </c>
    </row>
    <row r="59" spans="1:8" x14ac:dyDescent="0.2">
      <c r="A59" t="s">
        <v>104</v>
      </c>
      <c r="B59" t="s">
        <v>126</v>
      </c>
      <c r="C59" t="s">
        <v>183</v>
      </c>
      <c r="E59" t="s">
        <v>184</v>
      </c>
      <c r="F59" t="s">
        <v>272</v>
      </c>
      <c r="H59" t="str">
        <f t="shared" si="0"/>
        <v xml:space="preserve">Uncoordinated charging &amp;  &amp; When energy is supplied with no control nor constraint until desired SoC is reached. In other words, charge whenever possible (obviously). &amp; Uncontrolled charging, unregulated charging, direct charging, simple charging, dumb charging, immediate charging (IMM), Expedient charging, Naïve charging, As fast as possible (AFAP) \\ </v>
      </c>
    </row>
    <row r="60" spans="1:8" x14ac:dyDescent="0.2">
      <c r="A60" t="s">
        <v>187</v>
      </c>
      <c r="B60" t="s">
        <v>126</v>
      </c>
      <c r="C60" t="s">
        <v>200</v>
      </c>
      <c r="D60" t="s">
        <v>201</v>
      </c>
      <c r="E60" t="s">
        <v>202</v>
      </c>
    </row>
    <row r="61" spans="1:8" x14ac:dyDescent="0.2">
      <c r="A61" t="s">
        <v>104</v>
      </c>
      <c r="B61" t="s">
        <v>36</v>
      </c>
      <c r="C61" t="s">
        <v>23</v>
      </c>
      <c r="D61" t="s">
        <v>37</v>
      </c>
      <c r="E61" t="s">
        <v>185</v>
      </c>
      <c r="F61" t="s">
        <v>186</v>
      </c>
    </row>
    <row r="62" spans="1:8" x14ac:dyDescent="0.2">
      <c r="A62" t="s">
        <v>104</v>
      </c>
      <c r="B62" t="s">
        <v>110</v>
      </c>
      <c r="C62" t="s">
        <v>240</v>
      </c>
      <c r="D62" t="s">
        <v>241</v>
      </c>
      <c r="E62" t="s">
        <v>242</v>
      </c>
    </row>
    <row r="63" spans="1:8" x14ac:dyDescent="0.2">
      <c r="A63" t="s">
        <v>58</v>
      </c>
      <c r="B63" t="s">
        <v>59</v>
      </c>
      <c r="C63" t="s">
        <v>101</v>
      </c>
      <c r="D63" t="s">
        <v>102</v>
      </c>
      <c r="E63" t="s">
        <v>103</v>
      </c>
    </row>
  </sheetData>
  <autoFilter ref="A1:F60" xr:uid="{48786160-6E15-D24A-841D-EBF23EC78DAB}">
    <sortState xmlns:xlrd2="http://schemas.microsoft.com/office/spreadsheetml/2017/richdata2" ref="A2:F63">
      <sortCondition ref="C1:C63"/>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ReadingList</vt:lpstr>
      <vt:lpstr>Dashboard</vt:lpstr>
      <vt:lpstr>WorkFlow</vt:lpstr>
      <vt:lpstr>Draft</vt:lpstr>
      <vt:lpstr>Single_Facility</vt:lpstr>
      <vt:lpstr>Multi_Facility</vt:lpstr>
      <vt:lpstr>Distribution_Network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Rojo González</cp:lastModifiedBy>
  <dcterms:created xsi:type="dcterms:W3CDTF">2022-12-16T06:39:18Z</dcterms:created>
  <dcterms:modified xsi:type="dcterms:W3CDTF">2022-12-27T01:02:51Z</dcterms:modified>
</cp:coreProperties>
</file>