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drawings/drawing2.xml" ContentType="application/vnd.openxmlformats-officedocument.drawingml.chartshap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1.xml" ContentType="application/vnd.openxmlformats-officedocument.them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hreadedComments/threadedComment1.xml" ContentType="application/vnd.ms-excel.threadedcomment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anip\iPronics_Dropbox Dropbox\Daniel Perez\Research\Challenges and solutions of large-scale programmable photonics\raw_data\"/>
    </mc:Choice>
  </mc:AlternateContent>
  <xr:revisionPtr revIDLastSave="0" documentId="13_ncr:1_{2BED7977-7EDD-4A86-9D03-13656B857272}" xr6:coauthVersionLast="47" xr6:coauthVersionMax="47" xr10:uidLastSave="{00000000-0000-0000-0000-000000000000}"/>
  <bookViews>
    <workbookView xWindow="-108" yWindow="-108" windowWidth="23256" windowHeight="14016" xr2:uid="{F8EA7BB5-C141-4C04-8AFB-6312A6445FA3}"/>
  </bookViews>
  <sheets>
    <sheet name="Feedfoward" sheetId="1" r:id="rId1"/>
    <sheet name="Waveguide meshes" sheetId="2" r:id="rId2"/>
    <sheet name="OpticalSwitches" sheetId="4" r:id="rId3"/>
    <sheet name="Other Reconfigurable devices" sheetId="5" r:id="rId4"/>
    <sheet name="Transistors" sheetId="3" r:id="rId5"/>
    <sheet name="Hoja1"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8" i="1" l="1"/>
  <c r="R17" i="1"/>
  <c r="Q18" i="1"/>
  <c r="Q17" i="1"/>
  <c r="K16" i="1"/>
  <c r="R16" i="1"/>
  <c r="Q16" i="1"/>
  <c r="R14" i="1"/>
  <c r="R4" i="1"/>
  <c r="Q8" i="1"/>
  <c r="Q4" i="1"/>
  <c r="Q5" i="1"/>
  <c r="R5" i="1" s="1"/>
  <c r="Q6" i="1"/>
  <c r="R6" i="1" s="1"/>
  <c r="Q7" i="1"/>
  <c r="Q9" i="1"/>
  <c r="R9" i="1" s="1"/>
  <c r="Q12" i="1"/>
  <c r="R12" i="1" s="1"/>
  <c r="Q13" i="1"/>
  <c r="R13" i="1" s="1"/>
  <c r="Q14" i="1"/>
  <c r="D15" i="1"/>
  <c r="D19" i="2"/>
  <c r="C19" i="2"/>
  <c r="R12" i="4"/>
  <c r="Q12" i="4"/>
  <c r="D12" i="4"/>
  <c r="C12" i="4"/>
  <c r="Q10" i="4"/>
  <c r="Q11" i="4"/>
  <c r="D4" i="4"/>
  <c r="R4" i="4" s="1"/>
  <c r="D11" i="4"/>
  <c r="D10" i="4"/>
  <c r="F11" i="4"/>
  <c r="F10" i="4"/>
  <c r="E11" i="4"/>
  <c r="E10" i="4"/>
  <c r="T4" i="4"/>
  <c r="Q9" i="4"/>
  <c r="R9" i="4" s="1"/>
  <c r="Q4" i="4"/>
  <c r="G32" i="5"/>
  <c r="G5" i="5"/>
  <c r="G4" i="5"/>
  <c r="R5" i="5"/>
  <c r="Q4" i="5"/>
  <c r="R4" i="5" s="1"/>
  <c r="Q5" i="5"/>
  <c r="G9" i="5"/>
  <c r="Q26" i="5"/>
  <c r="Q50" i="5"/>
  <c r="R50" i="5" s="1"/>
  <c r="Q51" i="5"/>
  <c r="L50" i="5"/>
  <c r="K50" i="5"/>
  <c r="R11" i="4" l="1"/>
  <c r="R10" i="4"/>
  <c r="J43" i="6"/>
  <c r="F44" i="6"/>
  <c r="J44" i="6"/>
  <c r="K44" i="6" s="1"/>
  <c r="D45" i="6"/>
  <c r="D47" i="6" s="1"/>
  <c r="D49" i="6" s="1"/>
  <c r="D51" i="6" s="1"/>
  <c r="D53" i="6" s="1"/>
  <c r="D55" i="6" s="1"/>
  <c r="D57" i="6" s="1"/>
  <c r="D59" i="6" s="1"/>
  <c r="D61" i="6" s="1"/>
  <c r="D63" i="6" s="1"/>
  <c r="F45" i="6"/>
  <c r="E46" i="6"/>
  <c r="F46" i="6"/>
  <c r="B47" i="6"/>
  <c r="F47" i="6"/>
  <c r="F48" i="6" s="1"/>
  <c r="F49" i="6" s="1"/>
  <c r="F50" i="6" s="1"/>
  <c r="F51" i="6" s="1"/>
  <c r="F52" i="6" s="1"/>
  <c r="F53" i="6" s="1"/>
  <c r="F54" i="6" s="1"/>
  <c r="F55" i="6" s="1"/>
  <c r="F56" i="6" s="1"/>
  <c r="F57" i="6" s="1"/>
  <c r="F58" i="6" s="1"/>
  <c r="F59" i="6" s="1"/>
  <c r="F60" i="6" s="1"/>
  <c r="F61" i="6" s="1"/>
  <c r="F62" i="6" s="1"/>
  <c r="F63" i="6" s="1"/>
  <c r="F64" i="6" s="1"/>
  <c r="F65" i="6" s="1"/>
  <c r="F66" i="6" s="1"/>
  <c r="F67" i="6" s="1"/>
  <c r="F68" i="6" s="1"/>
  <c r="C48" i="6"/>
  <c r="E49" i="6"/>
  <c r="E52" i="6" s="1"/>
  <c r="E55" i="6" s="1"/>
  <c r="E58" i="6" s="1"/>
  <c r="E61" i="6" s="1"/>
  <c r="B51" i="6"/>
  <c r="B55" i="6" s="1"/>
  <c r="B59" i="6" s="1"/>
  <c r="B63" i="6" s="1"/>
  <c r="B67" i="6" s="1"/>
  <c r="C53" i="6"/>
  <c r="C58" i="6"/>
  <c r="C63" i="6"/>
  <c r="D75" i="6"/>
  <c r="D77" i="6" s="1"/>
  <c r="D79" i="6" s="1"/>
  <c r="D81" i="6" s="1"/>
  <c r="D83" i="6" s="1"/>
  <c r="D85" i="6" s="1"/>
  <c r="D87" i="6" s="1"/>
  <c r="D89" i="6" s="1"/>
  <c r="D91" i="6" s="1"/>
  <c r="D93" i="6" s="1"/>
  <c r="D11" i="2"/>
  <c r="P11" i="2" s="1"/>
  <c r="G35" i="5"/>
  <c r="F35" i="5"/>
  <c r="G43" i="5"/>
  <c r="L43" i="5"/>
  <c r="K33" i="5"/>
  <c r="K10" i="5"/>
  <c r="Q15" i="5"/>
  <c r="R15" i="5" s="1"/>
  <c r="K15" i="5"/>
  <c r="L14" i="5"/>
  <c r="K12" i="5"/>
  <c r="K13" i="5"/>
  <c r="D12" i="2"/>
  <c r="Q13" i="5"/>
  <c r="R13" i="5" s="1"/>
  <c r="Q14" i="5"/>
  <c r="Q16" i="5"/>
  <c r="Q17" i="5"/>
  <c r="Q18" i="5"/>
  <c r="Q19" i="5"/>
  <c r="Q20" i="5"/>
  <c r="Q21" i="5"/>
  <c r="Q22" i="5"/>
  <c r="Q23" i="5"/>
  <c r="Q27" i="5"/>
  <c r="Q28" i="5"/>
  <c r="Q29" i="5"/>
  <c r="Q30" i="5"/>
  <c r="Q31" i="5"/>
  <c r="Q12" i="5"/>
  <c r="R12" i="5" s="1"/>
  <c r="F13" i="5"/>
  <c r="F12" i="5"/>
  <c r="Q42" i="5"/>
  <c r="R42" i="5" s="1"/>
  <c r="D23" i="5"/>
  <c r="F23" i="5"/>
  <c r="K23" i="5"/>
  <c r="L23" i="5"/>
  <c r="K2" i="5"/>
  <c r="G2" i="5"/>
  <c r="D2" i="5"/>
  <c r="Q2" i="5"/>
  <c r="Q41" i="5"/>
  <c r="R41" i="5" s="1"/>
  <c r="G41" i="5"/>
  <c r="Q3" i="5"/>
  <c r="R3" i="5" s="1"/>
  <c r="R23" i="5" l="1"/>
  <c r="R2" i="5"/>
  <c r="F14" i="5"/>
  <c r="F16" i="5"/>
  <c r="K14" i="5"/>
  <c r="D14" i="5"/>
  <c r="K31" i="5"/>
  <c r="D31" i="5"/>
  <c r="C31" i="5"/>
  <c r="Q11" i="5"/>
  <c r="D11" i="5"/>
  <c r="C11" i="5"/>
  <c r="G40" i="5"/>
  <c r="Q40" i="5"/>
  <c r="D40" i="5"/>
  <c r="C40" i="5"/>
  <c r="L48" i="5"/>
  <c r="Q48" i="5"/>
  <c r="R48" i="5" s="1"/>
  <c r="K47" i="5"/>
  <c r="Q47" i="5"/>
  <c r="R47" i="5" s="1"/>
  <c r="G27" i="5"/>
  <c r="K27" i="5"/>
  <c r="D27" i="5"/>
  <c r="R20" i="5"/>
  <c r="K20" i="5"/>
  <c r="Q36" i="5"/>
  <c r="R36" i="5" s="1"/>
  <c r="K36" i="5"/>
  <c r="E11" i="1"/>
  <c r="C11" i="1"/>
  <c r="D11" i="1" s="1"/>
  <c r="D26" i="5"/>
  <c r="L26" i="5"/>
  <c r="K26" i="5"/>
  <c r="Q46" i="5"/>
  <c r="R46" i="5" s="1"/>
  <c r="K46" i="5"/>
  <c r="P54" i="5"/>
  <c r="O54" i="5"/>
  <c r="K54" i="5"/>
  <c r="D18" i="5"/>
  <c r="Q52" i="5"/>
  <c r="R52" i="5" s="1"/>
  <c r="K52" i="5"/>
  <c r="R29" i="5"/>
  <c r="Q39" i="5"/>
  <c r="G39" i="5"/>
  <c r="R31" i="5" l="1"/>
  <c r="R14" i="5"/>
  <c r="R11" i="5"/>
  <c r="R40" i="5"/>
  <c r="R27" i="5"/>
  <c r="R26" i="5"/>
  <c r="R18" i="5"/>
  <c r="D39" i="5"/>
  <c r="R39" i="5" s="1"/>
  <c r="D18" i="2"/>
  <c r="P18" i="2" s="1"/>
  <c r="D17" i="2"/>
  <c r="P17" i="2" s="1"/>
  <c r="Q38" i="5"/>
  <c r="R38" i="5" s="1"/>
  <c r="G37" i="5"/>
  <c r="C37" i="5"/>
  <c r="D37" i="5"/>
  <c r="D22" i="5"/>
  <c r="D21" i="5"/>
  <c r="K21" i="5"/>
  <c r="G21" i="5"/>
  <c r="K19" i="5"/>
  <c r="H16" i="5"/>
  <c r="G8" i="5"/>
  <c r="F8" i="5"/>
  <c r="Q8" i="5"/>
  <c r="R8" i="5" s="1"/>
  <c r="R16" i="5"/>
  <c r="R17" i="5"/>
  <c r="R19" i="5"/>
  <c r="R28" i="5"/>
  <c r="Q37" i="5"/>
  <c r="Q44" i="5"/>
  <c r="R44" i="5" s="1"/>
  <c r="Q45" i="5"/>
  <c r="R45" i="5" s="1"/>
  <c r="Q54" i="5"/>
  <c r="R54" i="5" s="1"/>
  <c r="Q6" i="5"/>
  <c r="R6" i="5" s="1"/>
  <c r="D51" i="5"/>
  <c r="R51" i="5" s="1"/>
  <c r="D5" i="4"/>
  <c r="E4" i="4"/>
  <c r="P10" i="2"/>
  <c r="E12" i="1"/>
  <c r="L14" i="1"/>
  <c r="T14" i="1"/>
  <c r="R37" i="5" l="1"/>
  <c r="R22" i="5"/>
  <c r="R21" i="5"/>
  <c r="D16" i="2"/>
  <c r="D9" i="2" l="1"/>
  <c r="D13" i="2"/>
  <c r="P13" i="2" s="1"/>
  <c r="D8" i="2"/>
  <c r="D7" i="2"/>
  <c r="AD9" i="1" l="1"/>
  <c r="AC9" i="1"/>
  <c r="AD8" i="1"/>
  <c r="AC8" i="1"/>
  <c r="AD7" i="1"/>
  <c r="AC7" i="1"/>
  <c r="AD6" i="1"/>
  <c r="AC6" i="1"/>
  <c r="AD5" i="1"/>
  <c r="AC5" i="1"/>
  <c r="AD4" i="1"/>
  <c r="AC4" i="1"/>
  <c r="AD3" i="1"/>
  <c r="AC3" i="1"/>
  <c r="AD2" i="1"/>
  <c r="AC2" i="1"/>
  <c r="D7" i="1"/>
  <c r="R7" i="1" s="1"/>
  <c r="C8" i="1"/>
  <c r="D8" i="1"/>
  <c r="R8" i="1" s="1"/>
  <c r="P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tc={DCE7BAAC-718E-4A35-A72F-842699EEFC42}</author>
  </authors>
  <commentList>
    <comment ref="C2" authorId="0" shapeId="0" xr:uid="{DCE7BAAC-718E-4A35-A72F-842699EEFC42}">
      <text>
        <t>[Comentario encadenado]
Su versión de Excel le permite leer este comentario encadenado; sin embargo, las ediciones que se apliquen se quitarán si el archivo se abre en una versión más reciente de Excel. Más información: https://go.microsoft.com/fwlink/?linkid=870924
Comentario:
    Check with authors. It is not clear how many phase shifters includes the chip nor the area.</t>
      </text>
    </comment>
  </commentList>
</comments>
</file>

<file path=xl/sharedStrings.xml><?xml version="1.0" encoding="utf-8"?>
<sst xmlns="http://schemas.openxmlformats.org/spreadsheetml/2006/main" count="1916" uniqueCount="794">
  <si>
    <t>TBUs</t>
  </si>
  <si>
    <t>Phase shifters</t>
  </si>
  <si>
    <t>Thermo</t>
  </si>
  <si>
    <t>Foundry</t>
  </si>
  <si>
    <t>Silica on silicon</t>
  </si>
  <si>
    <t>Silicon</t>
  </si>
  <si>
    <t>Response Time per heater (us)</t>
  </si>
  <si>
    <t>Silica on silicon (germanium-doped</t>
  </si>
  <si>
    <t>Optical Ports</t>
  </si>
  <si>
    <t>Power consumption(mW) per 2pi</t>
  </si>
  <si>
    <t>Comments</t>
  </si>
  <si>
    <t>Size (mmxmm)</t>
  </si>
  <si>
    <t>TBU</t>
  </si>
  <si>
    <t>Authors</t>
  </si>
  <si>
    <t>Carollan, et. al.</t>
  </si>
  <si>
    <t>Ribeiro, et. al.</t>
  </si>
  <si>
    <t>Anoni, et. al.</t>
  </si>
  <si>
    <t>Harris, et. al.</t>
  </si>
  <si>
    <t>Shen, et. al.</t>
  </si>
  <si>
    <t>Zhou, et. al.</t>
  </si>
  <si>
    <t>Year</t>
  </si>
  <si>
    <t>TBU density (1/mm2)</t>
  </si>
  <si>
    <t>(subset of Harris)</t>
  </si>
  <si>
    <t>Vertical</t>
  </si>
  <si>
    <t>Edge</t>
  </si>
  <si>
    <t>Chip-couplers</t>
  </si>
  <si>
    <t>Zhuang, et. al.,</t>
  </si>
  <si>
    <t>Silicon nitride</t>
  </si>
  <si>
    <t>Topology</t>
  </si>
  <si>
    <t>Square</t>
  </si>
  <si>
    <t>Triangular</t>
  </si>
  <si>
    <t>Triangular SVD</t>
  </si>
  <si>
    <t>Trapezoid</t>
  </si>
  <si>
    <t>Mennea, et. al.</t>
  </si>
  <si>
    <t>Three modules, only 3x3 transformations demonstrated</t>
  </si>
  <si>
    <t>Rectangular</t>
  </si>
  <si>
    <t>20 V (PWM)</t>
  </si>
  <si>
    <t>Tuning Effect</t>
  </si>
  <si>
    <t>Pérez, et. al.,</t>
  </si>
  <si>
    <t>Hexagonal</t>
  </si>
  <si>
    <t>edge</t>
  </si>
  <si>
    <t>vertical</t>
  </si>
  <si>
    <t>11x5.5</t>
  </si>
  <si>
    <t>15x15</t>
  </si>
  <si>
    <r>
      <t>BUL (um)*</t>
    </r>
    <r>
      <rPr>
        <b/>
        <vertAlign val="superscript"/>
        <sz val="11"/>
        <color theme="1"/>
        <rFont val="Calibri"/>
        <family val="2"/>
        <scheme val="minor"/>
      </rPr>
      <t>1</t>
    </r>
  </si>
  <si>
    <r>
      <t>BUD (ps)*</t>
    </r>
    <r>
      <rPr>
        <b/>
        <vertAlign val="superscript"/>
        <sz val="11"/>
        <color theme="1"/>
        <rFont val="Calibri"/>
        <family val="2"/>
        <scheme val="minor"/>
      </rPr>
      <t>2</t>
    </r>
  </si>
  <si>
    <t>dB/TBU</t>
  </si>
  <si>
    <t>TBD</t>
  </si>
  <si>
    <t>MZI</t>
  </si>
  <si>
    <t>DD-DC</t>
  </si>
  <si>
    <t>3.5x8.5</t>
  </si>
  <si>
    <t>NE</t>
  </si>
  <si>
    <t>Ribeiro, et. Al</t>
  </si>
  <si>
    <t>SOI</t>
  </si>
  <si>
    <t>60 mW</t>
  </si>
  <si>
    <t>Hexagonal (Flat)</t>
  </si>
  <si>
    <t>ne</t>
  </si>
  <si>
    <t>DasMahapatra, et. al.LETI</t>
  </si>
  <si>
    <t>Xanadu</t>
  </si>
  <si>
    <t>DasMahapatra, et. al.AMF1</t>
  </si>
  <si>
    <t>DasMahapatra, et. al.AMF2</t>
  </si>
  <si>
    <t>Neoteric</t>
  </si>
  <si>
    <t>?</t>
  </si>
  <si>
    <t>MP944 (20-bit, 6-chip)</t>
  </si>
  <si>
    <t>Garrett AiResearch</t>
  </si>
  <si>
    <t>Intel 4004 (4-bit, 16-pin)</t>
  </si>
  <si>
    <t>Intel</t>
  </si>
  <si>
    <t>10,000 nm</t>
  </si>
  <si>
    <t>12 mm²</t>
  </si>
  <si>
    <t>Intel 8008 (8-bit, 18-pin)</t>
  </si>
  <si>
    <t>14 mm²</t>
  </si>
  <si>
    <t>NEC μCOM-4 (4-bit, 42-pin)</t>
  </si>
  <si>
    <t>NEC</t>
  </si>
  <si>
    <t>7,500 nm[23]</t>
  </si>
  <si>
    <t>Toshiba TLCS-12 (12-bit)</t>
  </si>
  <si>
    <t>Toshiba</t>
  </si>
  <si>
    <t>6,000 nm</t>
  </si>
  <si>
    <t>32 mm²</t>
  </si>
  <si>
    <t>Intel 4040 (4-bit, 16-pin)</t>
  </si>
  <si>
    <t>Motorola 6800 (8-bit, 40-pin)</t>
  </si>
  <si>
    <t>Motorola</t>
  </si>
  <si>
    <t>16 mm²</t>
  </si>
  <si>
    <t>Intel 8080 (8-bit, 40-pin)</t>
  </si>
  <si>
    <t>20 mm²</t>
  </si>
  <si>
    <t>TMS 1000 (4-bit, 28-pin)</t>
  </si>
  <si>
    <t>Texas Instruments</t>
  </si>
  <si>
    <t>8,000 nm</t>
  </si>
  <si>
    <t>11 mm²</t>
  </si>
  <si>
    <t>MOS Technology 6502 (8-bit, 40-pin)</t>
  </si>
  <si>
    <t>MOS Technology</t>
  </si>
  <si>
    <t>21 mm²</t>
  </si>
  <si>
    <t>Intersil IM6100 (12-bit, 40-pin; clone of PDP-8)</t>
  </si>
  <si>
    <t>Intersil</t>
  </si>
  <si>
    <t>CDP 1801 (8-bit, 2-chip; 40-pin)</t>
  </si>
  <si>
    <t>RCA</t>
  </si>
  <si>
    <t>RCA 1802 (8-bit, 40-pin)</t>
  </si>
  <si>
    <t>5,000 nm</t>
  </si>
  <si>
    <t>27 mm²</t>
  </si>
  <si>
    <t>Zilog Z80 (8-bit, 4-bit ALU, 40-pin)</t>
  </si>
  <si>
    <t>Zilog</t>
  </si>
  <si>
    <t>4,000 nm</t>
  </si>
  <si>
    <t>18 mm²</t>
  </si>
  <si>
    <t>Intel 8085 (8-bit, 40-pin)</t>
  </si>
  <si>
    <t>3,000 nm</t>
  </si>
  <si>
    <t>TMS9900 (16-bit)</t>
  </si>
  <si>
    <t>MC14500B (1-bit, 16-pin)</t>
  </si>
  <si>
    <t>Bellmac-8 (8-bit)</t>
  </si>
  <si>
    <t>Bell Labs</t>
  </si>
  <si>
    <t>Motorola 6809 (8-bit with some 16-bit features, 40-pin)</t>
  </si>
  <si>
    <t>Intel 8086 (16-bit, 40-pin)</t>
  </si>
  <si>
    <t>33 mm²</t>
  </si>
  <si>
    <t>Zilog Z8000 (16-bit)</t>
  </si>
  <si>
    <t>Intel 8088 (16-bit, 8-bit data bus)</t>
  </si>
  <si>
    <t>Motorola 68000 (16/32-bit, 32-bit registers, 16-bit ALU)</t>
  </si>
  <si>
    <t>3,500 nm</t>
  </si>
  <si>
    <t>44 mm²</t>
  </si>
  <si>
    <t>Intel 8051 (8-bit, 40-pin)</t>
  </si>
  <si>
    <t>WDC 65C02</t>
  </si>
  <si>
    <t>WDC</t>
  </si>
  <si>
    <t>6 mm²</t>
  </si>
  <si>
    <t>ROMP (32-bit)</t>
  </si>
  <si>
    <t>IBM</t>
  </si>
  <si>
    <t>2,000 nm</t>
  </si>
  <si>
    <t>Intel 80186 (16-bit, 68-pin)</t>
  </si>
  <si>
    <t>60 mm²</t>
  </si>
  <si>
    <t>Intel 80286 (16-bit, 68-pin)</t>
  </si>
  <si>
    <t>1,500 nm</t>
  </si>
  <si>
    <t>49 mm²</t>
  </si>
  <si>
    <t>WDC 65C816 (8/16-bit)</t>
  </si>
  <si>
    <t>3,000 nm[31]</t>
  </si>
  <si>
    <t>9 mm²</t>
  </si>
  <si>
    <t>NEC V20</t>
  </si>
  <si>
    <t>Motorola 68020 (32-bit; 114 pins used)</t>
  </si>
  <si>
    <t>85 mm²</t>
  </si>
  <si>
    <t>Intel 80386 (32-bit, 132-pin; no cache)</t>
  </si>
  <si>
    <t>104 mm²</t>
  </si>
  <si>
    <t>ARM 1 (32-bit; no cache)</t>
  </si>
  <si>
    <t>Acorn</t>
  </si>
  <si>
    <t>50 mm²</t>
  </si>
  <si>
    <t>Novix NC4016 (16-bit)</t>
  </si>
  <si>
    <t>Harris Corporation</t>
  </si>
  <si>
    <t>3,000 nm[35]</t>
  </si>
  <si>
    <t>SPARC MB86900 (32-bit; no cache)</t>
  </si>
  <si>
    <t>Fujitsu</t>
  </si>
  <si>
    <t>1,200 nm</t>
  </si>
  <si>
    <t>NEC V60[37] (32-bit; no cache)</t>
  </si>
  <si>
    <t>ARM 2 (32-bit, 84-pin; no cache)</t>
  </si>
  <si>
    <t>30.25 mm²</t>
  </si>
  <si>
    <t>Z80000 (32-bit; very small cache)</t>
  </si>
  <si>
    <t>NEC V70[37] (32-bit; no cache)</t>
  </si>
  <si>
    <t>Hitachi Gmicro/200[39]</t>
  </si>
  <si>
    <t>Hitachi</t>
  </si>
  <si>
    <t>1,000 nm</t>
  </si>
  <si>
    <t>Motorola 68030 (32-bit, very small caches)</t>
  </si>
  <si>
    <t>800 nm</t>
  </si>
  <si>
    <t>102 mm²</t>
  </si>
  <si>
    <t>TI Explorer's 32-bit Lisp machine chip</t>
  </si>
  <si>
    <t>2,000 nm[41]</t>
  </si>
  <si>
    <t>DEC WRL MultiTitan</t>
  </si>
  <si>
    <t>DEC WRL</t>
  </si>
  <si>
    <t>61 mm²</t>
  </si>
  <si>
    <t>Intel i960 (32-bit, 33-bit memory subsystem, no cache)</t>
  </si>
  <si>
    <t>1,500 nm[44]</t>
  </si>
  <si>
    <t>Intel i960CA (32-bit, cache)</t>
  </si>
  <si>
    <t>143 mm²</t>
  </si>
  <si>
    <t>Intel i860 (32/64-bit, 128-bit SIMD, cache, VLIW)</t>
  </si>
  <si>
    <t>Intel 80486 (32-bit, 4 KB cache)</t>
  </si>
  <si>
    <t>1000 nm</t>
  </si>
  <si>
    <t>173 mm²</t>
  </si>
  <si>
    <t>ARM 3 (32-bit, 4 KB cache)</t>
  </si>
  <si>
    <t>87 mm²</t>
  </si>
  <si>
    <t>68040 (32-bit, 8 KB caches)</t>
  </si>
  <si>
    <t>650 nm</t>
  </si>
  <si>
    <t>152 mm²</t>
  </si>
  <si>
    <t>R4000 (64-bit, 16 KB of caches)</t>
  </si>
  <si>
    <t>MIPS</t>
  </si>
  <si>
    <t>213 mm²</t>
  </si>
  <si>
    <t>ARM 6 (32-bit, no cache for this 60 variant)</t>
  </si>
  <si>
    <t>ARM</t>
  </si>
  <si>
    <t>Hitachi SH-1 (32-bit, no cache)</t>
  </si>
  <si>
    <t>10 mm²</t>
  </si>
  <si>
    <t>Intel i960CF (32-bit, cache)</t>
  </si>
  <si>
    <t>125 mm²</t>
  </si>
  <si>
    <t>DEC Alpha 21064 (64-bit, 290-pin; 16 KB of caches)</t>
  </si>
  <si>
    <t>DEC</t>
  </si>
  <si>
    <t>750 nm</t>
  </si>
  <si>
    <t>233.52 mm²</t>
  </si>
  <si>
    <t>Hitachi HARP-1 (32-bit, cache)</t>
  </si>
  <si>
    <t>500 nm</t>
  </si>
  <si>
    <t>267 mm²</t>
  </si>
  <si>
    <t>Pentium (32-bit, 16 KB of caches)</t>
  </si>
  <si>
    <t>294 mm²</t>
  </si>
  <si>
    <t>ARM700 (32-bit; 8 KB cache)</t>
  </si>
  <si>
    <t>700 nm</t>
  </si>
  <si>
    <t>68.51 mm²</t>
  </si>
  <si>
    <t>MuP21 (21-bit,[50] 40-pin; includes video)</t>
  </si>
  <si>
    <t>Offete Enterprises</t>
  </si>
  <si>
    <t>1200 nm</t>
  </si>
  <si>
    <t>68060 (32-bit, 16 KB of caches)</t>
  </si>
  <si>
    <t>600 nm</t>
  </si>
  <si>
    <t>218 mm²</t>
  </si>
  <si>
    <t>SA-110 (32-bit, 32 KB of caches)</t>
  </si>
  <si>
    <t>Acorn/DEC/Apple</t>
  </si>
  <si>
    <t>350 nm</t>
  </si>
  <si>
    <t>Pentium Pro (32-bit, 16 KB of caches;[52] L2 cache on-package, but on separate die)</t>
  </si>
  <si>
    <t>307 mm²</t>
  </si>
  <si>
    <t>AMD K5 (32-bit, caches)</t>
  </si>
  <si>
    <t>AMD</t>
  </si>
  <si>
    <t>251 mm²</t>
  </si>
  <si>
    <t>Hitachi SH-4 (32-bit, caches)</t>
  </si>
  <si>
    <t>200 nm[55]</t>
  </si>
  <si>
    <t>42 mm²[56]</t>
  </si>
  <si>
    <t>Pentium II Klamath (32-bit, 64-bit SIMD, caches)</t>
  </si>
  <si>
    <t>195 mm²</t>
  </si>
  <si>
    <t>AMD K6 (32-bit, caches)</t>
  </si>
  <si>
    <t>162 mm²</t>
  </si>
  <si>
    <t>F21 (21-bit; includes e.g. video)</t>
  </si>
  <si>
    <t>AVR (8-bit, 40-pin; w/memory)</t>
  </si>
  <si>
    <t>Nordic VLSI/Atmel</t>
  </si>
  <si>
    <t>Pentium II Deschutes (32-bit, large cache)</t>
  </si>
  <si>
    <t>250 nm</t>
  </si>
  <si>
    <t>113 mm²</t>
  </si>
  <si>
    <t>ARM 9TDMI (32-bit, no cache)</t>
  </si>
  <si>
    <t>4.8 mm²</t>
  </si>
  <si>
    <t>Pentium III Katmai (32-bit, 128-bit SIMD, caches)</t>
  </si>
  <si>
    <t>128 mm²</t>
  </si>
  <si>
    <t>Emotion Engine (64-bit, 128-bit SIMD, cache)</t>
  </si>
  <si>
    <t>Sony/Toshiba</t>
  </si>
  <si>
    <t>180 nm[59]</t>
  </si>
  <si>
    <t>240 mm²[60]</t>
  </si>
  <si>
    <t>Pentium II Mobile Dixon (32-bit, caches)</t>
  </si>
  <si>
    <t>180 nm</t>
  </si>
  <si>
    <t>180 mm²</t>
  </si>
  <si>
    <t>AMD K6-III (32-bit, caches)</t>
  </si>
  <si>
    <t>118 mm²</t>
  </si>
  <si>
    <t>AMD K7 (32-bit, caches)</t>
  </si>
  <si>
    <t>184 mm²</t>
  </si>
  <si>
    <t>Gekko (32-bit, large cache)</t>
  </si>
  <si>
    <t>IBM/Nintendo</t>
  </si>
  <si>
    <t>43 mm²</t>
  </si>
  <si>
    <t>Pentium III Coppermine (32-bit, large cache)</t>
  </si>
  <si>
    <t>80 mm²</t>
  </si>
  <si>
    <t>Pentium 4 Willamette (32-bit, large cache)</t>
  </si>
  <si>
    <t>217 mm²</t>
  </si>
  <si>
    <t>SPARC64 V (64-bit, large cache)</t>
  </si>
  <si>
    <t>130 nm[63]</t>
  </si>
  <si>
    <t>290 mm²</t>
  </si>
  <si>
    <t>Pentium III Tualatin (32-bit, large cache)</t>
  </si>
  <si>
    <t>130 nm</t>
  </si>
  <si>
    <t>81 mm²</t>
  </si>
  <si>
    <t>Pentium 4 Northwood (32-bit, large cache)</t>
  </si>
  <si>
    <t>145 mm²</t>
  </si>
  <si>
    <t>Itanium 2 McKinley (64-bit, large cache)</t>
  </si>
  <si>
    <t>421 mm²</t>
  </si>
  <si>
    <t>DEC Alpha 21364 (64-bit, 946-pin, SIMD, very large caches)</t>
  </si>
  <si>
    <t>397 mm²</t>
  </si>
  <si>
    <t>Barton (32-bit, large cache)</t>
  </si>
  <si>
    <t>101 mm²</t>
  </si>
  <si>
    <t>AMD K8 (64-bit, large cache)</t>
  </si>
  <si>
    <t>193 mm²</t>
  </si>
  <si>
    <t>Itanium 2 Madison 6M (64-bit)</t>
  </si>
  <si>
    <t>374 mm²</t>
  </si>
  <si>
    <t>Pentium 4 Prescott (32-bit, large cache)</t>
  </si>
  <si>
    <t>90 nm</t>
  </si>
  <si>
    <t>110 mm²</t>
  </si>
  <si>
    <t>SPARC64 V+ (64-bit, large cache)</t>
  </si>
  <si>
    <t>Itanium 2 (64-bit;9 MB cache)</t>
  </si>
  <si>
    <t>432 mm²</t>
  </si>
  <si>
    <t>Pentium 4 Prescott-2M (32-bit, large cache)</t>
  </si>
  <si>
    <t>Pentium D Smithfield (32-bit, large cache)</t>
  </si>
  <si>
    <t>206 mm²</t>
  </si>
  <si>
    <t>Xenon (64-bit, 128-bit SIMD, large cache)</t>
  </si>
  <si>
    <t>Cell (32-bit, cache)</t>
  </si>
  <si>
    <t>Sony/IBM/Toshiba</t>
  </si>
  <si>
    <t>221 mm²</t>
  </si>
  <si>
    <t>Pentium 4 Cedar Mill (32-bit, large cache)</t>
  </si>
  <si>
    <t>65 nm</t>
  </si>
  <si>
    <t>90 mm²</t>
  </si>
  <si>
    <t>Pentium D Presler (32-bit, large cache)</t>
  </si>
  <si>
    <t>Core 2 Duo Conroe (dual-core 64-bit, large caches)</t>
  </si>
  <si>
    <t>Dual-core Itanium 2 (64-bit, SIMD, large caches)</t>
  </si>
  <si>
    <t>596 mm²</t>
  </si>
  <si>
    <t>AMD K10 quad-core 2M L3 (64-bit, large caches)</t>
  </si>
  <si>
    <t>283 mm²</t>
  </si>
  <si>
    <t>ARM Cortex-A9 (32-bit, (optional) SIMD, caches)</t>
  </si>
  <si>
    <t>45 nm</t>
  </si>
  <si>
    <t>31 mm²</t>
  </si>
  <si>
    <t>Core 2 Duo Wolfdale (dual-core 64-bit, SIMD, caches)</t>
  </si>
  <si>
    <t>107 mm²</t>
  </si>
  <si>
    <t>POWER6 (64-bit, large caches)</t>
  </si>
  <si>
    <t>341 mm²</t>
  </si>
  <si>
    <t>Core 2 Duo Allendale (dual-core 64-bit, SIMD, large caches))</t>
  </si>
  <si>
    <t>111 mm²</t>
  </si>
  <si>
    <t>Uniphier</t>
  </si>
  <si>
    <t>Matsushita</t>
  </si>
  <si>
    <t>SPARC64 VI (64-bit, SIMD, large caches)</t>
  </si>
  <si>
    <t>Core 2 Duo Wolfdale 3M (dual-core 64-bit, SIMD, large caches)</t>
  </si>
  <si>
    <t>83 mm²</t>
  </si>
  <si>
    <t>Core i7 (quad-core 64-bit, SIMD, large caches)</t>
  </si>
  <si>
    <t>263 mm²</t>
  </si>
  <si>
    <t>AMD K10 quad-core 6M L3 (64-bit, SIMD, large caches)</t>
  </si>
  <si>
    <t>258 mm²</t>
  </si>
  <si>
    <t>Atom (32-bit, large cache)</t>
  </si>
  <si>
    <t>24 mm²</t>
  </si>
  <si>
    <t>SPARC64 VII (64-bit, SIMD, large caches)</t>
  </si>
  <si>
    <t>445 mm²</t>
  </si>
  <si>
    <t>Six-core Xeon 7400 (64-bit, SIMD, large caches)</t>
  </si>
  <si>
    <t>503 mm²</t>
  </si>
  <si>
    <t>Six-core Opteron 2400 (64-bit, SIMD, large caches)</t>
  </si>
  <si>
    <t>346 mm²</t>
  </si>
  <si>
    <t>SPARC64 VIIIfx (64-bit, SIMD, large caches)</t>
  </si>
  <si>
    <t>513 mm²</t>
  </si>
  <si>
    <t>16-core SPARC T3 (64-bit, SIMD, large caches)</t>
  </si>
  <si>
    <t>Sun/Oracle</t>
  </si>
  <si>
    <t>40 nm</t>
  </si>
  <si>
    <t>377 mm²</t>
  </si>
  <si>
    <t>Six-core Core i7 (Gulftown)</t>
  </si>
  <si>
    <t>32 nm</t>
  </si>
  <si>
    <t>240 mm²</t>
  </si>
  <si>
    <t>8-core POWER7 32M L3 (64-bit, SIMD, large caches)</t>
  </si>
  <si>
    <t>567 mm²</t>
  </si>
  <si>
    <t>Quad-core z196[74] (64-bit, very large caches)</t>
  </si>
  <si>
    <t>512 mm²</t>
  </si>
  <si>
    <t>Quad-core Itanium Tukwila (64-bit, SIMD, large caches)</t>
  </si>
  <si>
    <t>699 mm²</t>
  </si>
  <si>
    <t>8-core Xeon Nehalem-EX (64-bit, SIMD, large caches)</t>
  </si>
  <si>
    <t>684 mm²</t>
  </si>
  <si>
    <t>SPARC64 IXfx (64-bit, SIMD, large caches)</t>
  </si>
  <si>
    <t>484 mm²</t>
  </si>
  <si>
    <t>Quad-core + GPU Core i7 (64-bit, SIMD, large caches)</t>
  </si>
  <si>
    <t>216 mm²</t>
  </si>
  <si>
    <t>Six-core Core i7/8-core Xeon E5</t>
  </si>
  <si>
    <t>434 mm²</t>
  </si>
  <si>
    <t>(Sandy Bridge-E/EP) (64-bit, SIMD, large caches)</t>
  </si>
  <si>
    <t>10-core Xeon Westmere-EX (64-bit, SIMD, large caches)</t>
  </si>
  <si>
    <t>Atom "Medfield" (64-bit)</t>
  </si>
  <si>
    <t>64 mm²</t>
  </si>
  <si>
    <t>SPARC64 X (64-bit, SIMD, caches)</t>
  </si>
  <si>
    <t>28 nm</t>
  </si>
  <si>
    <t>600 mm²</t>
  </si>
  <si>
    <t>8-core AMD Bulldozer (64-bit, SIMD, caches)</t>
  </si>
  <si>
    <t>315 mm²</t>
  </si>
  <si>
    <t>Quad-core + GPU AMD Trinity (64-bit, SIMD, caches)</t>
  </si>
  <si>
    <t>246 mm²</t>
  </si>
  <si>
    <t>Quad-core + GPU Core i7 Ivy Bridge (64-bit, SIMD, caches)</t>
  </si>
  <si>
    <t>22 nm</t>
  </si>
  <si>
    <t>160 mm²</t>
  </si>
  <si>
    <t>8-core POWER7+ (64-bit, SIMD), 80 MB L3 cache)</t>
  </si>
  <si>
    <t>Six-core zEC12 (64-bit, SIMD, large caches)</t>
  </si>
  <si>
    <t>597 mm²</t>
  </si>
  <si>
    <t>8-core Itanium Poulson (64-bit, SIMD, caches)</t>
  </si>
  <si>
    <t>544 mm²</t>
  </si>
  <si>
    <t>61-core Xeon Phi (32-bit, 512-bit SIMD, caches)</t>
  </si>
  <si>
    <t>720 mm²</t>
  </si>
  <si>
    <t>Apple A7 (dual-core 64/32-bit ARM64, "mobile SoC", SIMD, caches)</t>
  </si>
  <si>
    <t>Apple</t>
  </si>
  <si>
    <t>Six-core Core i7 Ivy Bridge E (64-bit, SIMD, caches)</t>
  </si>
  <si>
    <t>256 mm²</t>
  </si>
  <si>
    <t>12-core POWER8 (64-bit, SIMD, caches)</t>
  </si>
  <si>
    <t>650 mm²</t>
  </si>
  <si>
    <t>Xbox One main SoC (64-bit, SIMD, caches)</t>
  </si>
  <si>
    <t>Microsoft/AMD</t>
  </si>
  <si>
    <t>363 mm²</t>
  </si>
  <si>
    <t>Quad-core + GPU Core i7 Haswell (64-bit, SIMD, caches)</t>
  </si>
  <si>
    <t>177 mm²</t>
  </si>
  <si>
    <t>Apple A8 (dual-core 64/32-bit ARM64 "mobile SoC", SIMD, caches)</t>
  </si>
  <si>
    <t>20 nm</t>
  </si>
  <si>
    <t>89 mm²</t>
  </si>
  <si>
    <t>8-core Core i7 Haswell-E (64-bit, SIMD, caches)</t>
  </si>
  <si>
    <t>355 mm²</t>
  </si>
  <si>
    <t>Apple A8X (tri-core 64/32-bit ARM64 "mobile SoC", SIMD, caches)</t>
  </si>
  <si>
    <t>15-core Xeon Ivy Bridge-EX (64-bit, SIMD, caches)</t>
  </si>
  <si>
    <t>541 mm²</t>
  </si>
  <si>
    <t>18-core Xeon Haswell-E5 (64-bit, SIMD, caches)</t>
  </si>
  <si>
    <t>661 mm²</t>
  </si>
  <si>
    <t>Quad-core + GPU GT2 Core i7 Skylake K (64-bit, SIMD, caches)</t>
  </si>
  <si>
    <t>14 nm</t>
  </si>
  <si>
    <t>122 mm²</t>
  </si>
  <si>
    <t>Dual-core + GPU Iris Core i7 Broadwell-U (64-bit, SIMD, caches)</t>
  </si>
  <si>
    <t>133 mm²</t>
  </si>
  <si>
    <t>Apple A9 (dual-core 64/32-bit ARM64 "mobile SoC", SIMD, caches)</t>
  </si>
  <si>
    <t>96 mm²</t>
  </si>
  <si>
    <t>(Samsung)</t>
  </si>
  <si>
    <t>16 nm</t>
  </si>
  <si>
    <t>104.5 mm²</t>
  </si>
  <si>
    <t>(TSMC)</t>
  </si>
  <si>
    <t>Apple A9X (dual core 64/32-bit ARM64 "mobile SoC", SIMD, caches)</t>
  </si>
  <si>
    <t>143.9 mm²</t>
  </si>
  <si>
    <t>IBM z13 (64-bit, caches)</t>
  </si>
  <si>
    <t>678 mm²</t>
  </si>
  <si>
    <t>IBM z13 Storage Controller</t>
  </si>
  <si>
    <t>32-core SPARC M7 (64-bit, SIMD, caches)</t>
  </si>
  <si>
    <t>Oracle</t>
  </si>
  <si>
    <t>Qualcomm Snapdragon 835 (octa-core 64/32-bit ARM64 "mobile SoC", SIMD, caches)</t>
  </si>
  <si>
    <t>Qualcomm</t>
  </si>
  <si>
    <t>10 nm</t>
  </si>
  <si>
    <t>72.3 mm²</t>
  </si>
  <si>
    <t>10-core Core i7 Broadwell-E (64-bit, SIMD, caches)</t>
  </si>
  <si>
    <t>246 mm²[93]</t>
  </si>
  <si>
    <t>Apple A10 Fusion (quad-core 64/32-bit ARM64 "mobile SoC", SIMD, caches)</t>
  </si>
  <si>
    <t>HiSilicon Kirin 960 (octa-core 64/32-bit ARM64 "mobile SoC", SIMD, caches)</t>
  </si>
  <si>
    <t>Huawei</t>
  </si>
  <si>
    <t>110.00 mm2</t>
  </si>
  <si>
    <t>22-core Xeon Broadwell-E5 (64-bit, SIMD, caches)</t>
  </si>
  <si>
    <t>456 mm²</t>
  </si>
  <si>
    <t>72-core Xeon Phi (64-bit, 512-bit SIMD, caches)</t>
  </si>
  <si>
    <t>683 mm²</t>
  </si>
  <si>
    <t>1,286 6-LUTs</t>
  </si>
  <si>
    <t>Zip CPU (32-bit, for FPGAs)</t>
  </si>
  <si>
    <t>Gisselquist Technology</t>
  </si>
  <si>
    <t>Qualcomm Snapdragon 845 (octa-core 64/32-bit ARM64 "mobile SoC", SIMD, caches)</t>
  </si>
  <si>
    <t>94 mm²</t>
  </si>
  <si>
    <t>Qualcomm Snapdragon 850 (octa-core 64/32-bit ARM64 "mobile SoC", SIMD, caches)</t>
  </si>
  <si>
    <t>Apple A11 Bionic (hexa-core 64/32-bit ARM64 "mobile SoC", SIMD, caches)</t>
  </si>
  <si>
    <t>89.23 mm²</t>
  </si>
  <si>
    <t>Zeppelin SoC Ryzen (64-bit, SIMD, caches)</t>
  </si>
  <si>
    <t>192 mm²</t>
  </si>
  <si>
    <t>Ryzen 5 1600 Ryzen (64-bit, SIMD, caches)</t>
  </si>
  <si>
    <t>Ryzen 5 1600 X Ryzen (64-bit, SIMD, caches)</t>
  </si>
  <si>
    <t>IBM z14 (64-bit, SIMD, caches)</t>
  </si>
  <si>
    <t>696 mm²</t>
  </si>
  <si>
    <t>HiSilicon Kirin 970 (octa-core 64/32-bit ARM64 "mobile SoC", SIMD, caches)</t>
  </si>
  <si>
    <t>96.72 mm2</t>
  </si>
  <si>
    <t>Xbox One X (Project Scorpio) main SoC (64-bit, SIMD, caches)</t>
  </si>
  <si>
    <t>360 mm²[103]</t>
  </si>
  <si>
    <t>28-core Xeon Platinum 8180 (64-bit, SIMD, caches)</t>
  </si>
  <si>
    <t>POWER9 (64-bit, SIMD, caches)</t>
  </si>
  <si>
    <t>695 mm²</t>
  </si>
  <si>
    <t>IBM z14 Storage Controller (64-bit)</t>
  </si>
  <si>
    <t>Freedom U500 Base Platform Chip (E51, 4×U54) RISC-V (64-bit, caches)</t>
  </si>
  <si>
    <t>SiFive</t>
  </si>
  <si>
    <t>~30 mm²</t>
  </si>
  <si>
    <t>SPARC64 XII (12-core 64-bit, SIMD, caches)</t>
  </si>
  <si>
    <t>795 mm2</t>
  </si>
  <si>
    <t>Apple A10X Fusion (hexa-core 64/32-bit ARM64 "mobile SoC", SIMD, caches)</t>
  </si>
  <si>
    <t>96.40 mm2</t>
  </si>
  <si>
    <t>Centriq 2400 (64/32-bit, SIMD, caches)</t>
  </si>
  <si>
    <t>398 mm2</t>
  </si>
  <si>
    <t>32-core AMD Epyc (64-bit, SIMD, caches)</t>
  </si>
  <si>
    <t>768 mm2</t>
  </si>
  <si>
    <t>Qualcomm Snapdragon 710 (octa-core ARM64 "mobile SoC", SIMD, caches)</t>
  </si>
  <si>
    <t>Qualcomm Snapdragon 675 (octa-core ARM64 "mobile SoC", SIMD, caches)</t>
  </si>
  <si>
    <t>11 nm</t>
  </si>
  <si>
    <t>Qualcomm Snapdragon 855 (octa-core ARM64 "mobile SoC", SIMD, caches)</t>
  </si>
  <si>
    <t>7 nm</t>
  </si>
  <si>
    <t>73.27 mm²</t>
  </si>
  <si>
    <t>Qualcomm Snapdragon 8cx / SCX8180 (octa-core ARM64 "mobile SoC", SIMD, caches)</t>
  </si>
  <si>
    <t>112 mm²</t>
  </si>
  <si>
    <t>Apple A12 Bionic (hexa-core ARM64 "mobile SoC", SIMD, caches)</t>
  </si>
  <si>
    <t>83.27 mm2</t>
  </si>
  <si>
    <t>HiSilicon Kirin 980 (octa-core ARM64 "mobile SoC", SIMD, caches)</t>
  </si>
  <si>
    <t>74.13 mm2</t>
  </si>
  <si>
    <t>HiSilicon Kirin 710 (octa-core ARM64 "mobile SoC", SIMD, caches)</t>
  </si>
  <si>
    <t>12 nm</t>
  </si>
  <si>
    <t>Apple A12X Bionic (octa-core 64/32-bit ARM64 "mobile SoC", SIMD, caches)</t>
  </si>
  <si>
    <t>122 mm2</t>
  </si>
  <si>
    <t>Apple A13 (iPhone 11 Pro)</t>
  </si>
  <si>
    <t>98.48 mm2</t>
  </si>
  <si>
    <t>Fujitsu A64FX (64/32-bit, SIMD, caches)</t>
  </si>
  <si>
    <t>GC2 IPU</t>
  </si>
  <si>
    <t>Graphcore</t>
  </si>
  <si>
    <t>825 mm2</t>
  </si>
  <si>
    <t>Tegra Xavier SoC (64/32-bit)</t>
  </si>
  <si>
    <t>Nvidia</t>
  </si>
  <si>
    <t>350 mm²</t>
  </si>
  <si>
    <t>Samsung Exynos 9820 (octa-core ARM64 "mobile SoC", SIMD, caches)</t>
  </si>
  <si>
    <t>Samsung</t>
  </si>
  <si>
    <t>8 nm</t>
  </si>
  <si>
    <t>127 mm²</t>
  </si>
  <si>
    <t>AMD Ryzen 7 3700X (64-bit, SIMD, caches, I/O die)</t>
  </si>
  <si>
    <t>7&amp;12 nm (TSMC)</t>
  </si>
  <si>
    <t>199 (74+125) mm²</t>
  </si>
  <si>
    <t>AMD Ryzen 9 3900X (64-bit, SIMD, caches, I/O die)</t>
  </si>
  <si>
    <t>273 mm²</t>
  </si>
  <si>
    <t>AMD Epyc Rome (64-bit, SIMD, caches)</t>
  </si>
  <si>
    <t>1088 mm²</t>
  </si>
  <si>
    <t>FlatHex</t>
  </si>
  <si>
    <t>Pérez, DasMahapatra, et. Al LETI</t>
  </si>
  <si>
    <t>Pérez, D,  et. Al AMF1</t>
  </si>
  <si>
    <t>Pérez. D, et. Al. AMF 2</t>
  </si>
  <si>
    <t>Pérez, D. Neoteric</t>
  </si>
  <si>
    <t>H.Zhang, et. al.</t>
  </si>
  <si>
    <t>silicon</t>
  </si>
  <si>
    <t>Complex NN. Includes input preparation and on-chip detection in two steps.</t>
  </si>
  <si>
    <t>10x10</t>
  </si>
  <si>
    <t>x2/18M</t>
  </si>
  <si>
    <t>J.M. Arrazola et al.,</t>
  </si>
  <si>
    <t>silicon nitride</t>
  </si>
  <si>
    <t>squizing + splitter tree + filters+ unitary: additional phase shifters included</t>
  </si>
  <si>
    <t>X. Cao</t>
  </si>
  <si>
    <t>Not full control 1 Phase shifter per item.</t>
  </si>
  <si>
    <t>2x2.84</t>
  </si>
  <si>
    <t>Ref</t>
  </si>
  <si>
    <t>K. Tanizawa et al.,</t>
  </si>
  <si>
    <t>ThermoOptic</t>
  </si>
  <si>
    <t>dB/TBU(dB)</t>
  </si>
  <si>
    <t>ER (dB)</t>
  </si>
  <si>
    <t>Ken Tanizawa, Keijiro Suzuki, Munehiro Toyama, Minoru Ohtsuka, Nobuyuki Yokoyama, Kazuyuki Matsumaro, Miyoshi Seki, Keiji Koshino, Toshio Sugaya, Satoshi Suda, Guangwei Cong, Toshio Kimura, Kazuhiro Ikeda, Shu Namiki, and Hitoshi Kawashima, "Ultra-compact 32 × 32 strictly-non-blocking Si-wire optical switch with fan-out LGA interposer," Opt. Express 23, 17599-17606 (2015) 
 K. Tanizawa et al., “32 × 32 strictly non-blocking Si-wire optical switch on ultra-small die of 11 × 25 mm2,” in Proc. Opt. Fiber Commun. Conf., 2015, Paper M2B.5.</t>
  </si>
  <si>
    <t>x2/24M</t>
  </si>
  <si>
    <t>x2/12M</t>
  </si>
  <si>
    <t>x2/36M</t>
  </si>
  <si>
    <t>Dupuis et al.</t>
  </si>
  <si>
    <t>SOI?</t>
  </si>
  <si>
    <t>https://ieeexplore.ieee.org/stamp/stamp.jsp?tp=&amp;arnumber=7547376</t>
  </si>
  <si>
    <t>J. Feldmann</t>
  </si>
  <si>
    <t>PUCs</t>
  </si>
  <si>
    <t>PCM(GeSbTe)</t>
  </si>
  <si>
    <t>SiN</t>
  </si>
  <si>
    <t>A. N. Tait</t>
  </si>
  <si>
    <t>Rings</t>
  </si>
  <si>
    <t>Dumais et al.</t>
  </si>
  <si>
    <t>P. Dumais et al., “Silicon photonic switch subsystem with 900 mono_x0002_lithically integrated calibration photodiodes and 64-fiber package,” J. Lightw. Technol., vol. 36, no. 2, pp. 233–238, Jan. 2018.</t>
  </si>
  <si>
    <t>N. Dupuis et al., “Modeling and characterization of a nonblocking 4 × 4 Mach–Zehnder silicon photonic switch fabric,” J. Lightw. Technol., vol. 33, no. 20, pp. 4329–4337, Oct. 2015.</t>
  </si>
  <si>
    <r>
      <t xml:space="preserve">Liangjun Lu, Shuoyi Zhao, Linjie Zhou, Dong Li, Zuxiang Li, Minjuan Wang, Xinwan Li, and Jianping Chen, "16 × 16 non-blocking silicon optical switch based on electro-optic Mach-Zehnder interferometers," Opt. Express </t>
    </r>
    <r>
      <rPr>
        <b/>
        <sz val="11"/>
        <color theme="1"/>
        <rFont val="Calibri"/>
        <family val="2"/>
        <scheme val="minor"/>
      </rPr>
      <t>24</t>
    </r>
    <r>
      <rPr>
        <sz val="11"/>
        <color theme="1"/>
        <rFont val="Calibri"/>
        <family val="2"/>
        <scheme val="minor"/>
      </rPr>
      <t>, 9295-9307 (2016)</t>
    </r>
  </si>
  <si>
    <t>Liangjun Lu</t>
  </si>
  <si>
    <t>ThermoOptic
ElectroOptic</t>
  </si>
  <si>
    <t>Testa et al.</t>
  </si>
  <si>
    <t>https://ieeexplore.ieee.org/stamp/stamp.jsp?arnumber=8471175
https://ieeexplore.ieee.org/abstract/document/7442782</t>
  </si>
  <si>
    <r>
      <t xml:space="preserve">Chen Zhu, Liangjun Lu, Wensheng Shan, Weihan Xu, Gangqiang Zhou, Linjie Zhou, and Jianping Chen, "Silicon integrated microwave photonic beamformer," Optica </t>
    </r>
    <r>
      <rPr>
        <b/>
        <sz val="11"/>
        <color theme="1"/>
        <rFont val="Calibri"/>
        <family val="2"/>
        <scheme val="minor"/>
      </rPr>
      <t>7</t>
    </r>
    <r>
      <rPr>
        <sz val="11"/>
        <color theme="1"/>
        <rFont val="Calibri"/>
        <family val="2"/>
        <scheme val="minor"/>
      </rPr>
      <t>, 1162-1170 (2020)</t>
    </r>
  </si>
  <si>
    <t>Chen Zhu</t>
  </si>
  <si>
    <t xml:space="preserve"> Renan L. Moreira, John Garcia, Wenzao Li, Jared Bauters, Jonathon S. Barton, Martijn J. R. Heck,John E. Bowers, and Daniel J. Blumenthal Integrated Ultra-Low-Loss 4-Bit Tunable Delay for Broadband Phased Array Antenna Applications, IEEE Photonics technology Lettes 25 1165-1168 (2013).</t>
  </si>
  <si>
    <t>V. Duarte, J. Prata, C. Ribeiro, R. Nogueira, G. Winzer, L. Zimmermann,R. Walker, S. Clements, M. Filipowicz, M. Napierała, T. Nasiłowski,J. Crabb, M. Kechagias, L. Stampoulidis, J. Anzalchi, and M.Drummond, “Modular coherent photonic-aided payload receiver forcommunications satellites,” Nat. Commun. 10, 1984 (2019).</t>
  </si>
  <si>
    <t>Y. Liu, B. Isaac, J. Kalkavage, E. Adles, T. Clark, and J. Klamkin, “93-GHz signal beam steering with true time delayed integrated opticalbeamforming network,” in Optical Fiber Communication Conference(OFC), OSA Technical Digest (Optical Society of America, 2019),
paper Th1C.5.</t>
  </si>
  <si>
    <t>J. Xie, L. Zhou, Z. Li, J. Wang, and J. Chen, “Seven-bit reconfigurableoptical true time delay line based on silicon integration,” Opt. Express22, 22707–22715 (2014).</t>
  </si>
  <si>
    <t>A. Melloni, F. Morichetti, C. Ferrari, and M. Martinelli, “Continuously tunable1 byte delay in coupled-resonator optical waveguides,” Opt. Lett.33, 2389–2391 (2008).</t>
  </si>
  <si>
    <t>P. Morton, J. Cardenas, J. Khurgin, and M. Lipson, “Fast thermal switchingof wideband optical delay line with no long-term transient,” IEEEPhoton. Technol. Lett. 24, 512–514 (2012).</t>
  </si>
  <si>
    <t>M. Burla, D. Marpaung, L. Zhuang, M. Khan, A. Leinse, W. Beeker,M. Hoekman, R. Heideman, and C. Roeloffzen, “Multiwavelength integratedoptical beamformer based on wavelength divisionmultiplexing for 2-D phased array antennas,” J. Lightwave Technol.32, 3509–3520 (2014).</t>
  </si>
  <si>
    <t>Y. Liu, A. R. Wichman, B. Isaac, J. Kalkavage, T. R. Clark, and J. Klamkin,“Ultra-low-loss silicon nitride optical beamforming network for wideband
wireless applications,” IEEE J. Sel. Top. Quantum Electron. 24,8300410 (2018).</t>
  </si>
  <si>
    <t>G. Choo, C. Madsen, S. Palerm, and K. Entesari, “Automatic monitorbasedtuning of an RF Silicon photonic 1_x0002_4 asymmetric binary treetrue-time-delay beamforming network,” J. Lightwave Technol. 36,5263–5275 (2018)</t>
  </si>
  <si>
    <t>Switched Delay Lines</t>
  </si>
  <si>
    <t>MZI-ODLs</t>
  </si>
  <si>
    <t>MZDI</t>
  </si>
  <si>
    <t>Continuous</t>
  </si>
  <si>
    <t>CROW</t>
  </si>
  <si>
    <t>SCISSOR</t>
  </si>
  <si>
    <t>MRR</t>
  </si>
  <si>
    <t>PHCW</t>
  </si>
  <si>
    <t>Switched DDL Beamformer</t>
  </si>
  <si>
    <t>N. Tessema, Z. Cao, J. Zantvoort, K. Mekonnen, A. Dubok, E.Tangdiongga, A. Smolders, and A. Koonen, “A tunable Si3N4 integratedtrue time delay circuit for optically-controlled K-band radio beamformerin satellite communication,” J. Lightwave Technol. 34, 4736–4743 (2016).</t>
  </si>
  <si>
    <t>Area (mm2)</t>
  </si>
  <si>
    <t>A. Melloni et al.</t>
  </si>
  <si>
    <t>L. Zhuang et al.,</t>
  </si>
  <si>
    <t>N. Ishikura et al.,</t>
  </si>
  <si>
    <t>P. Morton et al.,</t>
  </si>
  <si>
    <t>R. L. Moreira et al.,</t>
  </si>
  <si>
    <t>J. Xie et al.,</t>
  </si>
  <si>
    <t>M. Burla et al.,</t>
  </si>
  <si>
    <t>N. Tessema et al.,</t>
  </si>
  <si>
    <t>Y. Liu et al.,</t>
  </si>
  <si>
    <t>V. Duarte et al.,</t>
  </si>
  <si>
    <t>G. Choo et al.,</t>
  </si>
  <si>
    <t>SiON on Silica</t>
  </si>
  <si>
    <t>Thermo Optic</t>
  </si>
  <si>
    <t>ORR</t>
  </si>
  <si>
    <t xml:space="preserve">Continuous. Something Weird with the reported size regarding resonator size </t>
  </si>
  <si>
    <t xml:space="preserve">L. Zhuang, C. Roeloffzen, A. Meijerink, M. Burla, D. Marpaung, A. Leinse, M. Hoekman, R. Heideman, and W. Etten, “Novel ring resonator-based integrated photonic beamformer for broadband phased array receive
antennas—part ii: experimental prototype,” J. Lightwave Technol. 28, 19–31 (2009). </t>
  </si>
  <si>
    <t>8+10 waveguides (8 are pigtailed.</t>
  </si>
  <si>
    <t>Coupling loss dB/facet</t>
  </si>
  <si>
    <t>RING tree</t>
  </si>
  <si>
    <t>N. Ishikura, R. Hosoi, R. Hayakawa, T. Tamanuki, M. Shinkawa, and T. Baba, "Photonic crystal tunable slow light device integrated with multi-heaters ,"Appl. Phys. Lett. 100, 221110 (2012).</t>
  </si>
  <si>
    <t>Photonic Cristal SOI</t>
  </si>
  <si>
    <t>Heater</t>
  </si>
  <si>
    <t>x2/48M</t>
  </si>
  <si>
    <t>Size Length( mm)</t>
  </si>
  <si>
    <t>Size width (mm)</t>
  </si>
  <si>
    <t>Continuous. No MZI. Only Rings with fixed K.</t>
  </si>
  <si>
    <t>Free Carrier Dispersion</t>
  </si>
  <si>
    <t>Switched Delay Lines. We included 7x2 VOAs as (phase shifters /tunable elements)</t>
  </si>
  <si>
    <r>
      <t>Beamformer Continuous.</t>
    </r>
    <r>
      <rPr>
        <sz val="11"/>
        <color rgb="FFFF0000"/>
        <rFont val="Calibri"/>
        <family val="2"/>
        <scheme val="minor"/>
      </rPr>
      <t xml:space="preserve"> Not fully packaged/demonstrated</t>
    </r>
  </si>
  <si>
    <t>NR</t>
  </si>
  <si>
    <r>
      <t>Continuous.</t>
    </r>
    <r>
      <rPr>
        <sz val="11"/>
        <color rgb="FFFFC000"/>
        <rFont val="Calibri"/>
        <family val="2"/>
        <scheme val="minor"/>
      </rPr>
      <t xml:space="preserve"> Too simple for the report probably.</t>
    </r>
  </si>
  <si>
    <r>
      <t xml:space="preserve">Continuous- Ring beamformer. Employs </t>
    </r>
    <r>
      <rPr>
        <sz val="11"/>
        <color rgb="FFFF0000"/>
        <rFont val="Calibri"/>
        <family val="2"/>
        <scheme val="minor"/>
      </rPr>
      <t>Genetic Algorithm for configuration.</t>
    </r>
  </si>
  <si>
    <t>Carrier depletion
Carrier injection
Thermo Optic</t>
  </si>
  <si>
    <t>Switched Delay Lines. Coherent processor. Not working some parts</t>
  </si>
  <si>
    <t>Field</t>
  </si>
  <si>
    <t>Delay line</t>
  </si>
  <si>
    <t>Photonic Computing</t>
  </si>
  <si>
    <r>
      <t xml:space="preserve">S. Chung, H. Abediasl and H. Hashemi, "A Monolithically Integrated Large-Scale Optical Phased Array in Silicon-on-Insulator CMOS," in </t>
    </r>
    <r>
      <rPr>
        <i/>
        <sz val="11"/>
        <color theme="1"/>
        <rFont val="Calibri"/>
        <family val="2"/>
        <scheme val="minor"/>
      </rPr>
      <t>IEEE Journal of Solid-State Circuits</t>
    </r>
    <r>
      <rPr>
        <sz val="11"/>
        <color theme="1"/>
        <rFont val="Calibri"/>
        <family val="2"/>
        <scheme val="minor"/>
      </rPr>
      <t>, vol. 53, no. 1, pp. 275-296, Jan. 2018, doi: 10.1109/JSSC.2017.2757009.</t>
    </r>
  </si>
  <si>
    <t>S- Chung</t>
  </si>
  <si>
    <t>TTD Beamformer</t>
  </si>
  <si>
    <t>SOI-cmos</t>
  </si>
  <si>
    <t>K. Van Acoleyen, W. Bogaerts, and J. Jágerská, N. Le Thomas, R. Houdré, and R. Baets, ‘‘Off-chip beam steering with a one-dimensional opti_x0002_cal phased array on silicon-on-insulator,’’ Opt. Lett., vol. 34, no. 9, pp. 1477–1479, May 2009.</t>
  </si>
  <si>
    <t>K. Van Acoleyen et al.</t>
  </si>
  <si>
    <t>Phase shifter</t>
  </si>
  <si>
    <t>Phase Array</t>
  </si>
  <si>
    <t>The lack of details is impressive.</t>
  </si>
  <si>
    <t>C. V. Poulton, A. Yaccobi, Z. Su, M. J. Byrd, and M. R. Watts, ‘‘Optical phased array with small spot size, high steering range and grouped cas_x0002_caded phase shifters,’’ in Proc. Adv. Photon. (IPR, NOMA, Sensors, Netw., SPPCom, SOF), Vancouver, BC, Canada, 2016, pp. 1–3</t>
  </si>
  <si>
    <t>C.V. Poulton</t>
  </si>
  <si>
    <t>Shares electrical drivers among a group of heaters with different lenghts.</t>
  </si>
  <si>
    <r>
      <t xml:space="preserve">David N. Hutchison, Jie Sun, Jonathan K. Doylend, Ranjeet Kumar, John Heck, Woosung Kim, Christopher T. Phare, Avi Feshali, and Haisheng Rong, "High-resolution aliasing-free optical beam steering," Optica </t>
    </r>
    <r>
      <rPr>
        <b/>
        <sz val="11"/>
        <color theme="1"/>
        <rFont val="Calibri"/>
        <family val="2"/>
        <scheme val="minor"/>
      </rPr>
      <t>3</t>
    </r>
    <r>
      <rPr>
        <sz val="11"/>
        <color theme="1"/>
        <rFont val="Calibri"/>
        <family val="2"/>
        <scheme val="minor"/>
      </rPr>
      <t>, 887-890 (2016)</t>
    </r>
  </si>
  <si>
    <t>D. N. Hutchison</t>
  </si>
  <si>
    <r>
      <t xml:space="preserve">Steven A. Miller, You-Chia Chang, Christopher T. Phare, Min Chul Shin, Moshe Zadka, Samantha P. Roberts, Brian Stern, Xingchen Ji, Aseema Mohanty, Oscar A. Jimenez Gordillo, Utsav D. Dave, and Michal Lipson, "Large-scale optical phased array using a low-power multi-pass silicon photonic platform," Optica </t>
    </r>
    <r>
      <rPr>
        <b/>
        <sz val="11"/>
        <color theme="1"/>
        <rFont val="Calibri"/>
        <family val="2"/>
        <scheme val="minor"/>
      </rPr>
      <t>7</t>
    </r>
    <r>
      <rPr>
        <sz val="11"/>
        <color theme="1"/>
        <rFont val="Calibri"/>
        <family val="2"/>
        <scheme val="minor"/>
      </rPr>
      <t>, 3-6 (2020)</t>
    </r>
  </si>
  <si>
    <t>S. A. Miller et al.,</t>
  </si>
  <si>
    <t>Phase Array Beamformer</t>
  </si>
  <si>
    <t>Multi-pass Phase shifter</t>
  </si>
  <si>
    <t>W. Guo et al.,</t>
  </si>
  <si>
    <t>InP</t>
  </si>
  <si>
    <t>Current Injection</t>
  </si>
  <si>
    <t>SOA and phase shifters</t>
  </si>
  <si>
    <t>Guo, W., Binetti, P. R., Althouse, C., Mašanović, M. L., Ambrosius, H. P., Johansson, L. A., &amp; Coldren, L. A. (2013). Two-dimensional optical beam steering with InP-based photonic integrated circuits. IEEE Journal of Selected Topics in Quantum Electronics, 19(4), 6100212-6100212.</t>
  </si>
  <si>
    <t>Q.Wang et al.,</t>
  </si>
  <si>
    <t>SiN on SOI platform</t>
  </si>
  <si>
    <t>Qing Wang, Shuxiao Wang, Lianxi Jia, Yan Cai, Wencheng Yue, and Mingbin Yu, "Silicon nitride assisted 1×64 optical phased array based on a SOI platform," Opt. Express 29, 10509-10517 (2021)</t>
  </si>
  <si>
    <t>Phase Array Beamformer with optimization algorighm. Parts in silicon nitride and silicon</t>
  </si>
  <si>
    <t>C.V. Poulton et al.,</t>
  </si>
  <si>
    <t>Electro Optic</t>
  </si>
  <si>
    <t>ElectroOptic</t>
  </si>
  <si>
    <t>C. V. Poulton et al., "Long-Range LiDAR and Free-Space Data Communication With High-Performance Optical Phased Arrays," in IEEE Journal of Selected Topics in Quantum Electronics, vol. 25, no. 5, pp. 1-8, Sept.-Oct. 2019, Art no. 7700108, doi: 10.1109/JSTQE.2019.2908555.</t>
  </si>
  <si>
    <t>J.C. Hulme</t>
  </si>
  <si>
    <t>Electro Optic
Thermo Optic</t>
  </si>
  <si>
    <t>SOI + InP</t>
  </si>
  <si>
    <t>Tunable Elements are Phase shfiter + SOA pairs</t>
  </si>
  <si>
    <t>Phare et al.,</t>
  </si>
  <si>
    <t>MEMS</t>
  </si>
  <si>
    <t>C. T. Phare, M. Chul Shin, S. A. Miller, B. Stern, and M. Lipson, ‘‘Silicon optical phased array with high-efficiency beam formation over 180 degree field of view,’’ 2018, arXiv:1802.04624. [Online]. Available: http://arxiv.org/abs/1802.04624</t>
  </si>
  <si>
    <t>Genetic Algorithm for configuration</t>
  </si>
  <si>
    <t>Sun et al.,</t>
  </si>
  <si>
    <t>SOI CMOS</t>
  </si>
  <si>
    <t>Doped Phase shifter</t>
  </si>
  <si>
    <t>Row and Column connection. Not fully controlled?</t>
  </si>
  <si>
    <t>Phase Array 2D</t>
  </si>
  <si>
    <t>Sun, J., Timurdogan, E., Yaacobi, A. et al. Large-scale nanophotonic phased array. Nature 493, 195–199 (2013). https://doi.org/10.1038/nature11727</t>
  </si>
  <si>
    <t>Abediasl et al.,</t>
  </si>
  <si>
    <t>Hooman Abediasl and Hossein Hashemi, "Monolithic optical phased-array transceiver in a standard SOI CMOS process," Opt. Express 23, 6509-6519 (2015)</t>
  </si>
  <si>
    <r>
      <t>SOI CMOS. Each unit cell has independent phase and amplitude control.</t>
    </r>
    <r>
      <rPr>
        <b/>
        <sz val="11"/>
        <color theme="1"/>
        <rFont val="Calibri"/>
        <family val="2"/>
        <scheme val="minor"/>
      </rPr>
      <t xml:space="preserve"> Integrates control electronics!</t>
    </r>
  </si>
  <si>
    <t>Phase shifter + VOA</t>
  </si>
  <si>
    <t>Farshid Ashtiani and Firooz Aflatouni, "N × N optical phased array with 2N phase shifters," Opt. Express 27, 27183-27190 (2019)</t>
  </si>
  <si>
    <t>Phase Shifter</t>
  </si>
  <si>
    <t>F. Ashtiani et al.,</t>
  </si>
  <si>
    <t>N. C. Harris et al., "Accelerating Artificial Intelligence with Silicon Photonics," 2020 Optical Fiber Communications Conference and Exhibition (OFC), San Diego, CA, USA, 2020, pp. 1-4.</t>
  </si>
  <si>
    <t>R. Fatemi</t>
  </si>
  <si>
    <r>
      <t xml:space="preserve">R. Fatemi, A. Khachaturian and A. Hajimiri, "A Nonuniform Sparse 2-D Large-FOV Optical Phased Array With a Low-Power PWM Drive," in </t>
    </r>
    <r>
      <rPr>
        <i/>
        <sz val="11"/>
        <color theme="1"/>
        <rFont val="Calibri"/>
        <family val="2"/>
        <scheme val="minor"/>
      </rPr>
      <t>IEEE Journal of Solid-State Circuits</t>
    </r>
    <r>
      <rPr>
        <sz val="11"/>
        <color theme="1"/>
        <rFont val="Calibri"/>
        <family val="2"/>
        <scheme val="minor"/>
      </rPr>
      <t>, vol. 54, no. 5, pp. 1200-1215, May 2019, doi: 10.1109/JSSC.2019.2896767.</t>
    </r>
  </si>
  <si>
    <r>
      <t xml:space="preserve">Phase Array Beamformer
</t>
    </r>
    <r>
      <rPr>
        <b/>
        <sz val="11"/>
        <color rgb="FFFF0000"/>
        <rFont val="Calibri"/>
        <family val="2"/>
        <scheme val="minor"/>
      </rPr>
      <t>PWM time sharing rather than DAC!</t>
    </r>
    <r>
      <rPr>
        <sz val="11"/>
        <color theme="1"/>
        <rFont val="Calibri"/>
        <family val="2"/>
        <scheme val="minor"/>
      </rPr>
      <t xml:space="preserve">
Electronic IC driver + Photonic IC.</t>
    </r>
  </si>
  <si>
    <t>Y. Xie et al.,</t>
  </si>
  <si>
    <t>Signal processor</t>
  </si>
  <si>
    <r>
      <t xml:space="preserve">Xie, Yiwei, Zhuang, Leimeng and Lowery, Arthur J.. "Picosecond optical pulse processing using a terahertz-bandwidth reconfigurable photonic integrated circuit" </t>
    </r>
    <r>
      <rPr>
        <i/>
        <sz val="11"/>
        <color theme="1"/>
        <rFont val="Calibri"/>
        <family val="2"/>
        <scheme val="minor"/>
      </rPr>
      <t>Nanophotonics</t>
    </r>
    <r>
      <rPr>
        <sz val="11"/>
        <color theme="1"/>
        <rFont val="Calibri"/>
        <family val="2"/>
        <scheme val="minor"/>
      </rPr>
      <t>, vol. 7, no. 5, 2018, pp. 837-852.</t>
    </r>
  </si>
  <si>
    <t>Electrical Packaging</t>
  </si>
  <si>
    <t>Wirebonding</t>
  </si>
  <si>
    <t>E. J. Norberg</t>
  </si>
  <si>
    <t>Ring + MZIs</t>
  </si>
  <si>
    <t>Norberg, E. J., Guzzon, R. S., Parker, J. S., Johansson, L. A., &amp; Coldren, L. A. (2011). Programmable photonic microwave filters monolithically integrated in InP–InGaAsP. Journal of Lightwave Technology, 29(11), 1611-1619</t>
  </si>
  <si>
    <t>Phase shifter + SOA</t>
  </si>
  <si>
    <t>Optical filter</t>
  </si>
  <si>
    <t>Only up to 4 filter stages are demonstrated due to electrical sources availability</t>
  </si>
  <si>
    <t>Integrated Electronics</t>
  </si>
  <si>
    <t>No</t>
  </si>
  <si>
    <t>W. Liu et al.,</t>
  </si>
  <si>
    <t>MZI Ring</t>
  </si>
  <si>
    <t>Demonstrates a set of functions with the same chip</t>
  </si>
  <si>
    <t>Liu, W., Li, M., Guzzon, R. et al. A fully reconfigurable photonic integrated signal processor. Nature Photon 10, 190–195 (2016). https://doi.org/10.1038/nphoton.2015.281</t>
  </si>
  <si>
    <t>S. Ibrahim et al.,</t>
  </si>
  <si>
    <t>Wirebonding limits operation to several hundreds MHzs.</t>
  </si>
  <si>
    <t>Lattice Filter</t>
  </si>
  <si>
    <t>Salah Ibrahim, Nicolas K. Fontaine, Stevan S. Djordjevic, Binbin Guan, Tiehui Su, Stanley Cheung, Ryan P. Scott, Andrew T. Pomerene, Liberty L. Seaford, Craig M. Hill, Steve Danziger, Zhi Ding, K. Okamoto, and S. J. B. Yoo, "Demonstration of a fast-reconfigurable silicon CMOS optical lattice filter," Opt. Express 19, 13245-13256 (2011)</t>
  </si>
  <si>
    <t>H-Y Ng et al.,</t>
  </si>
  <si>
    <t>Bank-filter</t>
  </si>
  <si>
    <t>Switch Wavelength</t>
  </si>
  <si>
    <t>Probing</t>
  </si>
  <si>
    <t>Wavelength switch based on rings</t>
  </si>
  <si>
    <r>
      <t xml:space="preserve">Ng, H., Wang, M. R., Li, D., Wang, X., Martinez, J., Panepucci, R. R., &amp; Pathak, K. (2007). 1 x 4 Wavelength Reconfigurable Photonic Switch Using Thermally Tuned Microring Resonators Fabricated on Silicon Substrate. </t>
    </r>
    <r>
      <rPr>
        <i/>
        <sz val="11"/>
        <color theme="1"/>
        <rFont val="Calibri"/>
        <family val="2"/>
        <scheme val="minor"/>
      </rPr>
      <t>IEEE Photonics Technology Letters</t>
    </r>
    <r>
      <rPr>
        <sz val="11"/>
        <color theme="1"/>
        <rFont val="Calibri"/>
        <family val="2"/>
        <scheme val="minor"/>
      </rPr>
      <t xml:space="preserve">, </t>
    </r>
    <r>
      <rPr>
        <i/>
        <sz val="11"/>
        <color theme="1"/>
        <rFont val="Calibri"/>
        <family val="2"/>
        <scheme val="minor"/>
      </rPr>
      <t>19</t>
    </r>
    <r>
      <rPr>
        <sz val="11"/>
        <color theme="1"/>
        <rFont val="Calibri"/>
        <family val="2"/>
        <scheme val="minor"/>
      </rPr>
      <t>(9/12), 704.</t>
    </r>
  </si>
  <si>
    <t>Control algorithms</t>
  </si>
  <si>
    <t>Q. Zhu et al.,</t>
  </si>
  <si>
    <t>On board</t>
  </si>
  <si>
    <r>
      <rPr>
        <b/>
        <sz val="11"/>
        <color theme="1"/>
        <rFont val="Calibri"/>
        <family val="2"/>
        <scheme val="minor"/>
      </rPr>
      <t>Saddle point searching (SPS)</t>
    </r>
    <r>
      <rPr>
        <sz val="11"/>
        <color theme="1"/>
        <rFont val="Calibri"/>
        <family val="2"/>
        <scheme val="minor"/>
      </rPr>
      <t xml:space="preserve">
Two TIAs following the on-chip Ge photodiodes are designed with ~105
-V/A gains and ~20-KHz bandwidths. The ADCs and DACs are integrated in a single-core processor (STM32F407VET6), with the same resolution of 12 bits and &lt; 5-μs conversion times. The calibration algorithm and a switching on/off operation are also implemented in the processor, and the thermal feedback control period of the sub-system is ~50 μs, which is dominated by the TO response times of the device.</t>
    </r>
  </si>
  <si>
    <t>Thermo Optic
Carrier Injection</t>
  </si>
  <si>
    <t>Heater
PIN diode</t>
  </si>
  <si>
    <t>Q. Zhu et al., "Wide-Range Automated Wavelength Calibration Over a Full FSR in a Dual-Ring based Silicon Photonic Switch," 2018 Optical Fiber Communications Conference and Exposition (OFC), San Diego, CA, USA, 2018, pp. 1-3.</t>
  </si>
  <si>
    <t>A. Agarwal et al., "Fully programmable ring-resonator-based integrated photonic circuit for phase coherent applications," in Journal of Lightwave Technology, vol. 24, no. 1, pp. 77-87, Jan. 2006, doi: 10.1109/JLT.2005.861145.</t>
  </si>
  <si>
    <t>A. Agarwal et al.</t>
  </si>
  <si>
    <t>Glass</t>
  </si>
  <si>
    <t>Confusing paper, captions, etc</t>
  </si>
  <si>
    <t>B. Guan et al., "CMOS Compatible Reconfigurable Silicon Photonic Lattice Filters Using Cascaded Unit Cells for RF-Photonic Processing," in IEEE Journal of Selected Topics in Quantum Electronics, vol. 20, no. 4, pp. 359-368, July-Aug. 2014, Art no. 8202110, doi: 10.1109/JSTQE.2013.2296233.</t>
  </si>
  <si>
    <t>B. Guan et al.,</t>
  </si>
  <si>
    <t>Recursive algorithm</t>
  </si>
  <si>
    <r>
      <rPr>
        <b/>
        <sz val="11"/>
        <color theme="1"/>
        <rFont val="Calibri"/>
        <family val="2"/>
        <scheme val="minor"/>
      </rPr>
      <t>Same filter as S. Ibrahim 2011.</t>
    </r>
    <r>
      <rPr>
        <sz val="11"/>
        <color theme="1"/>
        <rFont val="Calibri"/>
        <family val="2"/>
        <scheme val="minor"/>
      </rPr>
      <t xml:space="preserve">
Wirebonding limits operation to several hundreds MHzs.
 This time a recursive algorithm is reported for the programming</t>
    </r>
  </si>
  <si>
    <t>N-doped heater</t>
  </si>
  <si>
    <t>Custom iterative algorithm</t>
  </si>
  <si>
    <t>Integrated monitors on chip</t>
  </si>
  <si>
    <t>G. Choo, S. Cai, B. Wang, C. K. Madsen, K. Entesari and S. Palermo, "Automatic Monitor-Based Tuning of Reconfigurable Silicon Photonic APF-Based Pole/Zero Filters," in Journal of Lightwave Technology, vol. 36, no. 10, pp. 1899-1911, 15 May15, 2018, doi: 10.1109/JLT.2018.2795582</t>
  </si>
  <si>
    <t>S.S. Djordjevic</t>
  </si>
  <si>
    <r>
      <t xml:space="preserve">S. S. Djordjevic </t>
    </r>
    <r>
      <rPr>
        <i/>
        <sz val="11"/>
        <color theme="1"/>
        <rFont val="Calibri"/>
        <family val="2"/>
        <scheme val="minor"/>
      </rPr>
      <t>et al</t>
    </r>
    <r>
      <rPr>
        <sz val="11"/>
        <color theme="1"/>
        <rFont val="Calibri"/>
        <family val="2"/>
        <scheme val="minor"/>
      </rPr>
      <t xml:space="preserve">., "Fully Reconfigurable Silicon Photonic Lattice Filters With Four Cascaded Unit Cells," in </t>
    </r>
    <r>
      <rPr>
        <i/>
        <sz val="11"/>
        <color theme="1"/>
        <rFont val="Calibri"/>
        <family val="2"/>
        <scheme val="minor"/>
      </rPr>
      <t>IEEE Photonics Technology Letters</t>
    </r>
    <r>
      <rPr>
        <sz val="11"/>
        <color theme="1"/>
        <rFont val="Calibri"/>
        <family val="2"/>
        <scheme val="minor"/>
      </rPr>
      <t>, vol. 23, no. 1, pp. 42-44, Jan.1, 2011, doi: 10.1109/LPT.2010.2090868.</t>
    </r>
  </si>
  <si>
    <t>Heaters</t>
  </si>
  <si>
    <t>pin diodes</t>
  </si>
  <si>
    <t>heater</t>
  </si>
  <si>
    <t>10x30.1</t>
  </si>
  <si>
    <t>14.8x30.1</t>
  </si>
  <si>
    <t>Boggaerts et al.,</t>
  </si>
  <si>
    <t>Announced in ECOC 2020 tutorial but not demonstrated</t>
  </si>
  <si>
    <t>D. Zheng et al.</t>
  </si>
  <si>
    <t>Di Zheng, José David Doménech, Wei Pan, Xihua Zou, Lianshan Yan, and Daniel Pérez, "Low-loss broadband 5  ×  5 non-blocking Si3N4 optical switch matrix," Opt. Lett. 44, 2629-2632 (2019)</t>
  </si>
  <si>
    <t>Also includes phase shifters</t>
  </si>
  <si>
    <t>Check OFC for further details</t>
  </si>
  <si>
    <t>J.K. Doylend et al.,</t>
  </si>
  <si>
    <t>Phase Shifter + SOA</t>
  </si>
  <si>
    <t>Integrated laser, SOAs and phase shifter</t>
  </si>
  <si>
    <t>J. K. Doylend, M. J. R. Heck, J. T. Bovington, J. D. Peters, M. L. Davenport, L. A. Coldren, and J. E. Bowers, "Hybrid III/V silicon photonic source with integrated 1D free-space beam steering," Opt. Lett. 37, 4257-4259 (2012)</t>
  </si>
  <si>
    <t>J. K. Doylend, M. J. R. Heck, J. T. Bovington, J. D. Peters, L. A. Coldren, and J. E. Bowers, "Two-dimensional free-space beam steering with an optical phased array on silicon-on-insulator," Opt. Express 19, 21595-21604 (2011)</t>
  </si>
  <si>
    <t>Custom iterative algorithm. Brute force hill-climbing algorithm</t>
  </si>
  <si>
    <t>A. Gazman, et al.,</t>
  </si>
  <si>
    <t>Bank Filter</t>
  </si>
  <si>
    <t>Recursive algorithm. Custom purpose.</t>
  </si>
  <si>
    <t>Chip packaged on electrical package. (internal wirebond). See ECOC paper same year as well.</t>
  </si>
  <si>
    <t>Alexander Gazman, Colm Browning, Meisam Bahadori, Ziyi Zhu, Payman Samadi, Sébastien Rumley, Vidak Vujicic, Liam P. Barry, and Keren Bergman, "Software-defined control-plane for wavelength selective unicast and multicast of optical data in a silicon photonic platform," Opt. Express 25, 232-242 (2017)</t>
  </si>
  <si>
    <t>H. Jayatilleca</t>
  </si>
  <si>
    <r>
      <t xml:space="preserve">Thermal tuners are also employed </t>
    </r>
    <r>
      <rPr>
        <sz val="11"/>
        <color rgb="FFFF0000"/>
        <rFont val="Calibri"/>
        <family val="2"/>
        <scheme val="minor"/>
      </rPr>
      <t>for monitoring</t>
    </r>
  </si>
  <si>
    <r>
      <t xml:space="preserve">H. Jayatilleka, H. Shoman, R. Boeck, N. A. F. Jaeger, L. Chrostowski and S. Shekhar, "Automatic Configuration and Wavelength Locking of Coupled Silicon Ring Resonators," in </t>
    </r>
    <r>
      <rPr>
        <i/>
        <sz val="11"/>
        <color theme="1"/>
        <rFont val="Calibri"/>
        <family val="2"/>
        <scheme val="minor"/>
      </rPr>
      <t>Journal of Lightwave Technology</t>
    </r>
    <r>
      <rPr>
        <sz val="11"/>
        <color theme="1"/>
        <rFont val="Calibri"/>
        <family val="2"/>
        <scheme val="minor"/>
      </rPr>
      <t>, vol. 36, no. 2, pp. 210-218, 15 Jan.15, 2018, doi: 10.1109/JLT.2017.2769962.</t>
    </r>
  </si>
  <si>
    <t>H. Jiang</t>
  </si>
  <si>
    <t>RF Filter</t>
  </si>
  <si>
    <t>Recursive  Particle Swarm Optimization</t>
  </si>
  <si>
    <t>Hengyun Jiang, Lianshan Yan, and David Marpaung, "Chip-based arbitrary radio-frequency photonic filter with algorithm-driven reconfigurable resolution," Opt. Lett. 43, 415-418 (2018)</t>
  </si>
  <si>
    <t>W. Zhang et al.,</t>
  </si>
  <si>
    <t>0.4x0.4</t>
  </si>
  <si>
    <t>Size is not realistic (pads?grating couplers?</t>
  </si>
  <si>
    <t>M. Milanizadeh et al.,</t>
  </si>
  <si>
    <t>Crosstalk Mitigation (Filter configuration)
Crosstalk Mitigation (Wavelength filter locking)</t>
  </si>
  <si>
    <t>Lack of hardware details is dramatic</t>
  </si>
  <si>
    <t>M. Milanizadeh, D. Aguiar, A. Melloni and F. Morichetti, "Canceling Thermal Cross-Talk Effects in Photonic Integrated Circuits," in Journal of Lightwave Technology, vol. 37, no. 4, pp. 1325-1332, 15 Feb.15, 2019, doi: 10.1109/JLT.2019.2892512.</t>
  </si>
  <si>
    <t>D. Aguiar</t>
  </si>
  <si>
    <t xml:space="preserve">Filter reconfiguration
Filter loocking </t>
  </si>
  <si>
    <t>Optical and electrical assembly. Fiber array, Photonic board, TIAs, ADC, FPGA…</t>
  </si>
  <si>
    <t>D. O. M. de Aguiar et al., "Automatic Tuning of Silicon Photonics Microring Filter Array for Hitless Reconfigurable Add–Drop," in Journal of Lightwave Technology, vol. 37, no. 16, pp. 3939-3947, 15 Aug.15, 2019, doi: 10.1109/JLT.2019.2916473.</t>
  </si>
  <si>
    <t>Wang et al.,</t>
  </si>
  <si>
    <r>
      <t xml:space="preserve">Wang, J., Shen, H., Fan, L. </t>
    </r>
    <r>
      <rPr>
        <i/>
        <sz val="11"/>
        <color theme="1"/>
        <rFont val="Calibri"/>
        <family val="2"/>
        <scheme val="minor"/>
      </rPr>
      <t>et al.</t>
    </r>
    <r>
      <rPr>
        <sz val="11"/>
        <color theme="1"/>
        <rFont val="Calibri"/>
        <family val="2"/>
        <scheme val="minor"/>
      </rPr>
      <t xml:space="preserve"> Reconfigurable radio-frequency arbitrary waveforms synthesized in a silicon photonic chip.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5957 (2015). https://doi.org/10.1038/ncomms6957</t>
    </r>
  </si>
  <si>
    <t>Preliminary chip EBEAM. Bank filter + delay lines</t>
  </si>
  <si>
    <t>Impressive lack of detaisl Bank filter + delay lines</t>
  </si>
  <si>
    <t>H. Shen et al.,</t>
  </si>
  <si>
    <t>Area does not include metal pads!</t>
  </si>
  <si>
    <t>Switch Wavelength;
Optical filter;
Signal processor</t>
  </si>
  <si>
    <t>E. J. Klein et al.,</t>
  </si>
  <si>
    <t>Edwin J. Klein, Patryk Urban, Gabriel Sengo, Lucy T. H. Hilderink, Marcel Hoekman, Rudy Pellens, Paul van Dijk, and Alfred Driessen, "Densely integrated microring resonator based photonic devices for use in access networks," Opt. Express 15, 10346-10355 (2007)</t>
  </si>
  <si>
    <t>Hao Shen, Maroof H. Khan, Li Fan, Lin Zhao, Yi Xuan, Jing Ouyang, Leo T. Varghese, and Minghao Qi, "Eight-channel reconfigurable microring filters with tunable frequency, extinction ratio and bandwidth," Opt. Express 18, 18067-18076 (2010)</t>
  </si>
  <si>
    <t>Ring Matrix</t>
  </si>
  <si>
    <t>Wavelength switch based on rings+ switch matrix</t>
  </si>
  <si>
    <t>A.N. Tait</t>
  </si>
  <si>
    <t>Alexander N. Tait, Thomas Ferreira de Lima, Mitchell A. Nahmias, Bhavin J. Shastri, and Paul R. Prucnal, "Multi-channel control for microring weight banks," Opt. Express 24, 8895-8906 (2016)</t>
  </si>
  <si>
    <t>Crosstalk Mitigation (Weitght configuration)
Crosstalk Mitigation (Wavelength filter locking)</t>
  </si>
  <si>
    <t>Lack of hardware details.</t>
  </si>
  <si>
    <t>Suzuki</t>
  </si>
  <si>
    <t>PILOSS switch</t>
  </si>
  <si>
    <t>DC/MZI</t>
  </si>
  <si>
    <t>Optical Switching</t>
  </si>
  <si>
    <t>LGA + Fibers</t>
  </si>
  <si>
    <t>Flip-chip bonding</t>
  </si>
  <si>
    <t>Calibration rutine.</t>
  </si>
  <si>
    <t>Calibration rutine.
 S. Suda et al., “Fast and accurate automatic calibration of a 32 × 32 silicon
photonic strictly-non-blocking switch,” in Proc. Adv. Photon. 2017 (IPR,
NOMA, Sens., Netw., SPPCom, PS), New Orleans, LA, USA, 2017, Paper
PTu3C.5</t>
  </si>
  <si>
    <t>On-board + FPGA</t>
  </si>
  <si>
    <t>LGA + Fibers
Only sample path evaluated</t>
  </si>
  <si>
    <t>Xiao</t>
  </si>
  <si>
    <t>Flex-LIONS</t>
  </si>
  <si>
    <t>Wavelength routing AWG and space switching</t>
  </si>
  <si>
    <t>add-drop</t>
  </si>
  <si>
    <t>Fernandez J. et al</t>
  </si>
  <si>
    <t>Q.LI et al.,</t>
  </si>
  <si>
    <t>Rectangular SVD</t>
  </si>
  <si>
    <t>NA</t>
  </si>
  <si>
    <t>PS density (1/mm2)</t>
  </si>
  <si>
    <t>ONN</t>
  </si>
  <si>
    <t>On-Board</t>
  </si>
  <si>
    <t>Yes. But ONN used numerically</t>
  </si>
  <si>
    <r>
      <t>Q. Li, J. Cheng, S. Liu, Y. Zhao, W. Wang, Y. Tian, P. Jiang, Y. Lu, L. Jin, G. Shang, J. Feng, T. Gang, J. Guo, "Reconfigurable optical nonlinear activation function for integrated optical neural networks", Photonics Technology Letters, 2021 (</t>
    </r>
    <r>
      <rPr>
        <sz val="11"/>
        <color rgb="FFFF0000"/>
        <rFont val="Calibri"/>
        <family val="2"/>
        <scheme val="minor"/>
      </rPr>
      <t>under review</t>
    </r>
    <r>
      <rPr>
        <sz val="11"/>
        <color theme="1"/>
        <rFont val="Calibri"/>
        <family val="2"/>
        <scheme val="minor"/>
      </rPr>
      <t>)</t>
    </r>
  </si>
  <si>
    <t>On-board</t>
  </si>
  <si>
    <t>Under dev.</t>
  </si>
  <si>
    <t>Lack of details from experiment. STM32 to control the voltage of the heaters. Mesh loss 12,32 dB (but not specifies if this includes coupling loss)</t>
  </si>
  <si>
    <t>Shokraneh et al.,</t>
  </si>
  <si>
    <t>Stochastic algorithm (Gradient-descent version)</t>
  </si>
  <si>
    <t>Poor performance 72% in a classification Datasheet</t>
  </si>
  <si>
    <t>R. Tang et al.,</t>
  </si>
  <si>
    <t>Multimode Directional Coupler</t>
  </si>
  <si>
    <t>Multimode Directional Coupler and phase array</t>
  </si>
  <si>
    <t>Computing</t>
  </si>
  <si>
    <t>Simulated Annealing algorithm</t>
  </si>
  <si>
    <t>Full system completed to enable automation. (mems, ADCs, DACs, etc)</t>
  </si>
  <si>
    <t>Rui Tang, Ryota Tanomura, Takuo Tanemura, and Yoshiaki Nakano, Ten-Port Unitary Optical Processor on a Silicon Photonic Chip, ACS Photonics 2021 8 (7), 2074-2080, DOI: 10.1021/acsphotonics.1c00419</t>
  </si>
  <si>
    <t>F. Shokraneh, S. Geoffroy-Gagnon, M. S. Nezami and O. Liboiron-Ladouceur, "A Single Layer Neural Network Implemented by a $4\times 4$ MZI-Based Optical Processor," in IEEE Photonics Journal, vol. 11, no. 6, pp. 1-12, Dec. 2019, Art no. 4501612, doi: 10.1109/JPHOT.2019.2952562.
F. Shokraneh, M. S. Nezami and O. Liboiron-Ladouceur, "Theoretical and Experimental Analysis of a 4 × 4 Reconfigurable MZI-Based Linear Optical Processor," in Journal of Lightwave Technology, vol. 38, no. 6, pp. 1258-1267, 15 March15, 2020, doi: 10.1109/JLT.2020.2966949.</t>
  </si>
  <si>
    <r>
      <t xml:space="preserve">Zhang, H., Gu, M., Jiang, X.D. </t>
    </r>
    <r>
      <rPr>
        <i/>
        <sz val="11"/>
        <color theme="1"/>
        <rFont val="Calibri"/>
        <family val="2"/>
        <scheme val="minor"/>
      </rPr>
      <t>et al.</t>
    </r>
    <r>
      <rPr>
        <sz val="11"/>
        <color theme="1"/>
        <rFont val="Calibri"/>
        <family val="2"/>
        <scheme val="minor"/>
      </rPr>
      <t xml:space="preserve"> An optical neural chip for implementing complex-valued neural network.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12, </t>
    </r>
    <r>
      <rPr>
        <sz val="11"/>
        <color theme="1"/>
        <rFont val="Calibri"/>
        <family val="2"/>
        <scheme val="minor"/>
      </rPr>
      <t>457 (2021). https://doi.org/10.1038/s41467-020-20719-7</t>
    </r>
  </si>
  <si>
    <t>Complex ONN</t>
  </si>
  <si>
    <t>Yes.</t>
  </si>
  <si>
    <t>L. De Marinis</t>
  </si>
  <si>
    <t>Accelerators</t>
  </si>
  <si>
    <t>Self-Configuring and Reconfigurable Silicon Photonic Signal Processor, Hailong Zhou, Yuhe Zhao, Xu Wang, Dingshan Gao, Jianji Dong, and Xinliang Zhang, ACS Photonics 2020 7 (3), 792-799</t>
  </si>
  <si>
    <t xml:space="preserve">Gradient descent </t>
  </si>
  <si>
    <t>SVD 
Multiple applications</t>
  </si>
  <si>
    <t>Signal processing</t>
  </si>
  <si>
    <t>0.4</t>
  </si>
  <si>
    <t>Calibration only</t>
  </si>
  <si>
    <r>
      <t xml:space="preserve">Carolan, J., Harrold, C., Sparrow, C., Martín-López, E., Russell, N. J., Silverstone, J. W., ... &amp; Laing, A. (2015). Universal linear optics. </t>
    </r>
    <r>
      <rPr>
        <i/>
        <sz val="11"/>
        <color theme="1"/>
        <rFont val="Calibri"/>
        <family val="2"/>
        <scheme val="minor"/>
      </rPr>
      <t>Science</t>
    </r>
    <r>
      <rPr>
        <sz val="11"/>
        <color theme="1"/>
        <rFont val="Calibri"/>
        <family val="2"/>
        <scheme val="minor"/>
      </rPr>
      <t xml:space="preserve">, </t>
    </r>
    <r>
      <rPr>
        <i/>
        <sz val="11"/>
        <color theme="1"/>
        <rFont val="Calibri"/>
        <family val="2"/>
        <scheme val="minor"/>
      </rPr>
      <t>349</t>
    </r>
    <r>
      <rPr>
        <sz val="11"/>
        <color theme="1"/>
        <rFont val="Calibri"/>
        <family val="2"/>
        <scheme val="minor"/>
      </rPr>
      <t>(6249), 711-716.</t>
    </r>
  </si>
  <si>
    <r>
      <t xml:space="preserve">Ribeiro, A., Ruocco, A., Vanacker, L., &amp; Bogaerts, W. (2016). Demonstration of a 4× 4-port universal linear circuit. </t>
    </r>
    <r>
      <rPr>
        <i/>
        <sz val="11"/>
        <color theme="1"/>
        <rFont val="Calibri"/>
        <family val="2"/>
        <scheme val="minor"/>
      </rPr>
      <t>Optica</t>
    </r>
    <r>
      <rPr>
        <sz val="11"/>
        <color theme="1"/>
        <rFont val="Calibri"/>
        <family val="2"/>
        <scheme val="minor"/>
      </rPr>
      <t xml:space="preserve">, </t>
    </r>
    <r>
      <rPr>
        <i/>
        <sz val="11"/>
        <color theme="1"/>
        <rFont val="Calibri"/>
        <family val="2"/>
        <scheme val="minor"/>
      </rPr>
      <t>3</t>
    </r>
    <r>
      <rPr>
        <sz val="11"/>
        <color theme="1"/>
        <rFont val="Calibri"/>
        <family val="2"/>
        <scheme val="minor"/>
      </rPr>
      <t>(12), 1348-1357.</t>
    </r>
  </si>
  <si>
    <t>Local-control</t>
  </si>
  <si>
    <t>Requires grating couplers to act as local monitors</t>
  </si>
  <si>
    <t>0.9</t>
  </si>
  <si>
    <r>
      <t xml:space="preserve">Annoni, A., Guglielmi, E., Carminati, M., Ferrari, G., Sampietro, M., Miller, D. A., ... &amp; Morichetti, F. (2017). Unscrambling light—automatically undoing strong mixing between modes. </t>
    </r>
    <r>
      <rPr>
        <i/>
        <sz val="11"/>
        <color theme="1"/>
        <rFont val="Calibri"/>
        <family val="2"/>
        <scheme val="minor"/>
      </rPr>
      <t>Light: Science &amp; Applications</t>
    </r>
    <r>
      <rPr>
        <sz val="11"/>
        <color theme="1"/>
        <rFont val="Calibri"/>
        <family val="2"/>
        <scheme val="minor"/>
      </rPr>
      <t xml:space="preserve">, </t>
    </r>
    <r>
      <rPr>
        <i/>
        <sz val="11"/>
        <color theme="1"/>
        <rFont val="Calibri"/>
        <family val="2"/>
        <scheme val="minor"/>
      </rPr>
      <t>6</t>
    </r>
    <r>
      <rPr>
        <sz val="11"/>
        <color theme="1"/>
        <rFont val="Calibri"/>
        <family val="2"/>
        <scheme val="minor"/>
      </rPr>
      <t>(12), e17110-e17110.</t>
    </r>
  </si>
  <si>
    <t>Quantum computing</t>
  </si>
  <si>
    <t>On-board
CMOS ASIC
FPGA</t>
  </si>
  <si>
    <t xml:space="preserve">Progressive algorithm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</si>
</sst>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vertAlign val="superscript"/>
      <sz val="11"/>
      <color theme="1"/>
      <name val="Calibri"/>
      <family val="2"/>
      <scheme val="minor"/>
    </font>
    <font>
      <sz val="12"/>
      <color theme="4"/>
      <name val="Calibri"/>
      <family val="2"/>
      <scheme val="minor"/>
    </font>
    <font>
      <sz val="11"/>
      <color theme="5"/>
      <name val="Calibri"/>
      <family val="2"/>
      <scheme val="minor"/>
    </font>
    <font>
      <sz val="11"/>
      <color rgb="FFFFC000"/>
      <name val="Calibri"/>
      <family val="2"/>
      <scheme val="minor"/>
    </font>
    <font>
      <i/>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1" fillId="0" borderId="0" xfId="0" applyFont="1"/>
    <xf numFmtId="0" fontId="3" fillId="0" borderId="0" xfId="0" applyFont="1"/>
    <xf numFmtId="0" fontId="3" fillId="0" borderId="0" xfId="0" applyFont="1" applyAlignment="1">
      <alignment horizontal="right"/>
    </xf>
    <xf numFmtId="2" fontId="0" fillId="0" borderId="0" xfId="0" applyNumberFormat="1"/>
    <xf numFmtId="2" fontId="1" fillId="0" borderId="0" xfId="0" applyNumberFormat="1" applyFont="1"/>
    <xf numFmtId="2" fontId="3" fillId="0" borderId="0" xfId="0" applyNumberFormat="1" applyFont="1"/>
    <xf numFmtId="0" fontId="2" fillId="0" borderId="0" xfId="0" applyFont="1" applyAlignment="1">
      <alignment wrapText="1"/>
    </xf>
    <xf numFmtId="0" fontId="2" fillId="0" borderId="0" xfId="0" applyFont="1"/>
    <xf numFmtId="3" fontId="0" fillId="0" borderId="0" xfId="0" applyNumberFormat="1"/>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5" fillId="0" borderId="1" xfId="0" applyFont="1" applyBorder="1" applyAlignment="1">
      <alignment wrapText="1"/>
    </xf>
    <xf numFmtId="0" fontId="0" fillId="0" borderId="1" xfId="0" applyBorder="1"/>
    <xf numFmtId="0" fontId="2" fillId="0" borderId="1" xfId="0" applyFont="1" applyBorder="1" applyAlignment="1">
      <alignment wrapText="1"/>
    </xf>
    <xf numFmtId="0" fontId="1" fillId="0" borderId="1" xfId="0" applyFont="1" applyBorder="1"/>
    <xf numFmtId="0" fontId="0" fillId="0" borderId="1" xfId="0" applyBorder="1" applyAlignment="1">
      <alignment horizontal="right"/>
    </xf>
    <xf numFmtId="0" fontId="1" fillId="0" borderId="1" xfId="0" applyFont="1" applyBorder="1" applyAlignment="1">
      <alignment horizontal="right"/>
    </xf>
    <xf numFmtId="0" fontId="6" fillId="0" borderId="1" xfId="0" applyFont="1" applyBorder="1"/>
    <xf numFmtId="0" fontId="3" fillId="0" borderId="1" xfId="0" applyFont="1" applyBorder="1" applyAlignment="1">
      <alignment horizontal="right"/>
    </xf>
    <xf numFmtId="0" fontId="0" fillId="0" borderId="2" xfId="0" applyFill="1" applyBorder="1"/>
    <xf numFmtId="0" fontId="7" fillId="0" borderId="1" xfId="0" applyFont="1" applyBorder="1"/>
    <xf numFmtId="0" fontId="3" fillId="0" borderId="1" xfId="0" applyFont="1" applyBorder="1"/>
    <xf numFmtId="0" fontId="0" fillId="0" borderId="0" xfId="0" applyBorder="1"/>
    <xf numFmtId="0" fontId="0" fillId="0" borderId="0" xfId="0" applyBorder="1" applyAlignment="1">
      <alignment horizontal="right"/>
    </xf>
    <xf numFmtId="0" fontId="0" fillId="0" borderId="0" xfId="0" applyFill="1" applyBorder="1" applyAlignment="1">
      <alignment horizontal="right"/>
    </xf>
    <xf numFmtId="0" fontId="6" fillId="0" borderId="0" xfId="0" applyFont="1" applyBorder="1"/>
    <xf numFmtId="0" fontId="6" fillId="0" borderId="0" xfId="0" applyFont="1"/>
    <xf numFmtId="0" fontId="6" fillId="0" borderId="1" xfId="0" applyFont="1" applyBorder="1" applyAlignment="1">
      <alignment horizontal="right"/>
    </xf>
    <xf numFmtId="0" fontId="3" fillId="0" borderId="2" xfId="0" applyFont="1" applyBorder="1"/>
    <xf numFmtId="0" fontId="0" fillId="0" borderId="1" xfId="0" applyBorder="1" applyAlignment="1">
      <alignment horizontal="center" wrapText="1"/>
    </xf>
    <xf numFmtId="0" fontId="0" fillId="0" borderId="1" xfId="0" applyFont="1" applyBorder="1" applyAlignment="1">
      <alignment wrapText="1"/>
    </xf>
    <xf numFmtId="0" fontId="0" fillId="0" borderId="0" xfId="0" applyFont="1" applyBorder="1" applyAlignment="1">
      <alignment wrapText="1"/>
    </xf>
    <xf numFmtId="0" fontId="6" fillId="0" borderId="1" xfId="0" applyFont="1" applyBorder="1" applyAlignment="1">
      <alignment wrapText="1"/>
    </xf>
    <xf numFmtId="0" fontId="7" fillId="0" borderId="0" xfId="0" applyFont="1"/>
    <xf numFmtId="0" fontId="0" fillId="0" borderId="2" xfId="0" applyFill="1" applyBorder="1" applyAlignment="1">
      <alignment horizontal="right"/>
    </xf>
    <xf numFmtId="0" fontId="0" fillId="0" borderId="1" xfId="0" applyFill="1" applyBorder="1"/>
    <xf numFmtId="0" fontId="1" fillId="2" borderId="1" xfId="0" applyFont="1" applyFill="1" applyBorder="1" applyAlignment="1">
      <alignment horizontal="right"/>
    </xf>
    <xf numFmtId="0" fontId="1" fillId="0" borderId="1" xfId="0" applyFont="1" applyBorder="1" applyAlignment="1">
      <alignment wrapText="1"/>
    </xf>
    <xf numFmtId="0" fontId="3" fillId="0" borderId="1" xfId="0" applyFont="1" applyBorder="1" applyAlignment="1">
      <alignment wrapText="1"/>
    </xf>
    <xf numFmtId="0" fontId="0" fillId="0" borderId="0" xfId="0" applyFont="1" applyAlignment="1">
      <alignment wrapText="1"/>
    </xf>
    <xf numFmtId="0" fontId="2" fillId="0" borderId="3" xfId="0" applyFont="1" applyBorder="1" applyAlignment="1">
      <alignment wrapText="1"/>
    </xf>
    <xf numFmtId="0" fontId="1" fillId="0" borderId="0" xfId="0" applyFont="1" applyAlignment="1">
      <alignment wrapText="1"/>
    </xf>
    <xf numFmtId="0" fontId="3" fillId="0" borderId="0" xfId="0" applyFont="1" applyAlignment="1">
      <alignment wrapText="1"/>
    </xf>
    <xf numFmtId="0" fontId="2" fillId="0" borderId="1" xfId="0" applyFont="1" applyBorder="1" applyAlignment="1">
      <alignment horizontal="center" wrapText="1"/>
    </xf>
    <xf numFmtId="0" fontId="2" fillId="0" borderId="0" xfId="0" applyFont="1" applyAlignment="1">
      <alignment horizontal="center" wrapText="1"/>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0" fillId="0" borderId="0" xfId="0" applyFill="1" applyBorder="1"/>
    <xf numFmtId="0" fontId="0" fillId="0" borderId="0" xfId="0" applyAlignment="1">
      <alignment horizontal="left" wrapText="1"/>
    </xf>
  </cellXfs>
  <cellStyles count="1">
    <cellStyle name="Normal" xfId="0" builtinId="0"/>
  </cellStyles>
  <dxfs count="3">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D5B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63493021293861096"/>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meshes'!$A$2:$A$18</c:f>
              <c:numCache>
                <c:formatCode>General</c:formatCode>
                <c:ptCount val="13"/>
                <c:pt idx="0">
                  <c:v>2015</c:v>
                </c:pt>
                <c:pt idx="1">
                  <c:v>2016</c:v>
                </c:pt>
                <c:pt idx="2">
                  <c:v>2017</c:v>
                </c:pt>
                <c:pt idx="3">
                  <c:v>2018</c:v>
                </c:pt>
                <c:pt idx="4">
                  <c:v>2020</c:v>
                </c:pt>
                <c:pt idx="5">
                  <c:v>2020</c:v>
                </c:pt>
                <c:pt idx="6">
                  <c:v>2021</c:v>
                </c:pt>
                <c:pt idx="7">
                  <c:v>2021</c:v>
                </c:pt>
                <c:pt idx="8">
                  <c:v>2021</c:v>
                </c:pt>
                <c:pt idx="9">
                  <c:v>2021</c:v>
                </c:pt>
                <c:pt idx="10">
                  <c:v>2021</c:v>
                </c:pt>
                <c:pt idx="11">
                  <c:v>2021</c:v>
                </c:pt>
                <c:pt idx="12">
                  <c:v>2021</c:v>
                </c:pt>
              </c:numCache>
            </c:numRef>
          </c:xVal>
          <c:yVal>
            <c:numRef>
              <c:f>'Waveguide meshes'!$D$2:$D$18</c:f>
              <c:numCache>
                <c:formatCode>General</c:formatCode>
                <c:ptCount val="13"/>
                <c:pt idx="0">
                  <c:v>14</c:v>
                </c:pt>
                <c:pt idx="1">
                  <c:v>60</c:v>
                </c:pt>
                <c:pt idx="2">
                  <c:v>80</c:v>
                </c:pt>
                <c:pt idx="3">
                  <c:v>10</c:v>
                </c:pt>
                <c:pt idx="4">
                  <c:v>19</c:v>
                </c:pt>
                <c:pt idx="5">
                  <c:v>32</c:v>
                </c:pt>
                <c:pt idx="6">
                  <c:v>200</c:v>
                </c:pt>
                <c:pt idx="7">
                  <c:v>90</c:v>
                </c:pt>
                <c:pt idx="8">
                  <c:v>336</c:v>
                </c:pt>
                <c:pt idx="9">
                  <c:v>400</c:v>
                </c:pt>
                <c:pt idx="10">
                  <c:v>344</c:v>
                </c:pt>
                <c:pt idx="11">
                  <c:v>576</c:v>
                </c:pt>
                <c:pt idx="12">
                  <c:v>508</c:v>
                </c:pt>
              </c:numCache>
            </c:numRef>
          </c:yVal>
          <c:smooth val="0"/>
          <c:extLst>
            <c:ext xmlns:c16="http://schemas.microsoft.com/office/drawing/2014/chart" uri="{C3380CC4-5D6E-409C-BE32-E72D297353CC}">
              <c16:uniqueId val="{00000000-B2D0-4793-BDD0-1DB8C72C1D7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Feedfoward!$A$3:$A$18</c:f>
              <c:numCache>
                <c:formatCode>General</c:formatCode>
                <c:ptCount val="16"/>
                <c:pt idx="0">
                  <c:v>2016</c:v>
                </c:pt>
                <c:pt idx="1">
                  <c:v>2016</c:v>
                </c:pt>
                <c:pt idx="2">
                  <c:v>2017</c:v>
                </c:pt>
                <c:pt idx="3">
                  <c:v>2017</c:v>
                </c:pt>
                <c:pt idx="4">
                  <c:v>2017</c:v>
                </c:pt>
                <c:pt idx="5">
                  <c:v>2018</c:v>
                </c:pt>
                <c:pt idx="6">
                  <c:v>2019</c:v>
                </c:pt>
                <c:pt idx="7">
                  <c:v>2019</c:v>
                </c:pt>
                <c:pt idx="8">
                  <c:v>2020</c:v>
                </c:pt>
                <c:pt idx="9">
                  <c:v>2021</c:v>
                </c:pt>
                <c:pt idx="10">
                  <c:v>2021</c:v>
                </c:pt>
                <c:pt idx="11">
                  <c:v>2021</c:v>
                </c:pt>
                <c:pt idx="12">
                  <c:v>2021</c:v>
                </c:pt>
                <c:pt idx="13">
                  <c:v>2021</c:v>
                </c:pt>
                <c:pt idx="14">
                  <c:v>2021</c:v>
                </c:pt>
                <c:pt idx="15">
                  <c:v>2021</c:v>
                </c:pt>
              </c:numCache>
            </c:numRef>
          </c:xVal>
          <c:yVal>
            <c:numRef>
              <c:f>Feedfoward!$D$3:$D$21</c:f>
              <c:numCache>
                <c:formatCode>General</c:formatCode>
                <c:ptCount val="19"/>
                <c:pt idx="0">
                  <c:v>30</c:v>
                </c:pt>
                <c:pt idx="1">
                  <c:v>18</c:v>
                </c:pt>
                <c:pt idx="2">
                  <c:v>12</c:v>
                </c:pt>
                <c:pt idx="3">
                  <c:v>176</c:v>
                </c:pt>
                <c:pt idx="4">
                  <c:v>112</c:v>
                </c:pt>
                <c:pt idx="5">
                  <c:v>120</c:v>
                </c:pt>
                <c:pt idx="6">
                  <c:v>48</c:v>
                </c:pt>
                <c:pt idx="7">
                  <c:v>20</c:v>
                </c:pt>
                <c:pt idx="8">
                  <c:v>4096</c:v>
                </c:pt>
                <c:pt idx="9">
                  <c:v>12</c:v>
                </c:pt>
                <c:pt idx="10">
                  <c:v>1300</c:v>
                </c:pt>
                <c:pt idx="11">
                  <c:v>56</c:v>
                </c:pt>
                <c:pt idx="12">
                  <c:v>32</c:v>
                </c:pt>
                <c:pt idx="13">
                  <c:v>128</c:v>
                </c:pt>
                <c:pt idx="14">
                  <c:v>20</c:v>
                </c:pt>
                <c:pt idx="15">
                  <c:v>20</c:v>
                </c:pt>
              </c:numCache>
            </c:numRef>
          </c:yVal>
          <c:smooth val="0"/>
          <c:extLst>
            <c:ext xmlns:c16="http://schemas.microsoft.com/office/drawing/2014/chart" uri="{C3380CC4-5D6E-409C-BE32-E72D297353CC}">
              <c16:uniqueId val="{00000001-B2D0-4793-BDD0-1DB8C72C1D75}"/>
            </c:ext>
          </c:extLst>
        </c:ser>
        <c:dLbls>
          <c:showLegendKey val="0"/>
          <c:showVal val="0"/>
          <c:showCatName val="0"/>
          <c:showSerName val="0"/>
          <c:showPercent val="0"/>
          <c:showBubbleSize val="0"/>
        </c:dLbls>
        <c:axId val="463825040"/>
        <c:axId val="463821432"/>
      </c:scatterChart>
      <c:valAx>
        <c:axId val="463825040"/>
        <c:scaling>
          <c:orientation val="minMax"/>
          <c:max val="2021"/>
          <c:min val="20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b"/>
      <c:layout>
        <c:manualLayout>
          <c:xMode val="edge"/>
          <c:yMode val="edge"/>
          <c:x val="0.18845097656123275"/>
          <c:y val="0.59428413168761673"/>
          <c:w val="0.77307771651449031"/>
          <c:h val="0.15409890260520395"/>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4"/>
            <c:spPr>
              <a:solidFill>
                <a:schemeClr val="accent1"/>
              </a:solidFill>
              <a:ln w="9525">
                <a:solidFill>
                  <a:schemeClr val="accent1"/>
                </a:solidFill>
              </a:ln>
              <a:effectLst/>
            </c:spPr>
          </c:marker>
          <c:dPt>
            <c:idx val="7"/>
            <c:marker>
              <c:symbol val="circle"/>
              <c:size val="4"/>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5A31-497E-83BB-446DB0A10CA6}"/>
              </c:ext>
            </c:extLst>
          </c:dPt>
          <c:dPt>
            <c:idx val="11"/>
            <c:marker>
              <c:symbol val="circle"/>
              <c:size val="4"/>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5A31-497E-83BB-446DB0A10CA6}"/>
              </c:ext>
            </c:extLst>
          </c:dPt>
          <c:dPt>
            <c:idx val="12"/>
            <c:marker>
              <c:symbol val="circle"/>
              <c:size val="4"/>
              <c:spPr>
                <a:solidFill>
                  <a:schemeClr val="accent5">
                    <a:lumMod val="40000"/>
                    <a:lumOff val="60000"/>
                  </a:schemeClr>
                </a:solidFill>
                <a:ln w="9525">
                  <a:solidFill>
                    <a:schemeClr val="accent5">
                      <a:lumMod val="40000"/>
                      <a:lumOff val="6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5A31-497E-83BB-446DB0A10CA6}"/>
              </c:ext>
            </c:extLst>
          </c:dPt>
          <c:dPt>
            <c:idx val="15"/>
            <c:marker>
              <c:symbol val="circle"/>
              <c:size val="4"/>
              <c:spPr>
                <a:solidFill>
                  <a:srgbClr val="FF0000"/>
                </a:solidFill>
                <a:ln w="9525" cap="sq">
                  <a:solidFill>
                    <a:schemeClr val="tx1">
                      <a:alpha val="99000"/>
                    </a:schemeClr>
                  </a:solidFill>
                  <a:bevel/>
                </a:ln>
                <a:effectLst/>
              </c:spPr>
            </c:marker>
            <c:bubble3D val="0"/>
            <c:extLst>
              <c:ext xmlns:c16="http://schemas.microsoft.com/office/drawing/2014/chart" uri="{C3380CC4-5D6E-409C-BE32-E72D297353CC}">
                <c16:uniqueId val="{00000005-5A31-497E-83BB-446DB0A10CA6}"/>
              </c:ext>
            </c:extLst>
          </c:dPt>
          <c:dPt>
            <c:idx val="16"/>
            <c:marker>
              <c:symbol val="circle"/>
              <c:size val="4"/>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7-5A31-497E-83BB-446DB0A10CA6}"/>
              </c:ext>
            </c:extLst>
          </c:dPt>
          <c:xVal>
            <c:numRef>
              <c:f>'Waveguide meshes'!$A$2:$A$22</c:f>
              <c:numCache>
                <c:formatCode>General</c:formatCode>
                <c:ptCount val="17"/>
                <c:pt idx="0">
                  <c:v>2015</c:v>
                </c:pt>
                <c:pt idx="1">
                  <c:v>2016</c:v>
                </c:pt>
                <c:pt idx="2">
                  <c:v>2017</c:v>
                </c:pt>
                <c:pt idx="3">
                  <c:v>2018</c:v>
                </c:pt>
                <c:pt idx="4">
                  <c:v>2020</c:v>
                </c:pt>
                <c:pt idx="5">
                  <c:v>2020</c:v>
                </c:pt>
                <c:pt idx="6">
                  <c:v>2021</c:v>
                </c:pt>
                <c:pt idx="7">
                  <c:v>2021</c:v>
                </c:pt>
                <c:pt idx="8">
                  <c:v>2021</c:v>
                </c:pt>
                <c:pt idx="9">
                  <c:v>2021</c:v>
                </c:pt>
                <c:pt idx="10">
                  <c:v>2021</c:v>
                </c:pt>
                <c:pt idx="11">
                  <c:v>2021</c:v>
                </c:pt>
                <c:pt idx="12">
                  <c:v>2021</c:v>
                </c:pt>
                <c:pt idx="13">
                  <c:v>2021</c:v>
                </c:pt>
              </c:numCache>
            </c:numRef>
          </c:xVal>
          <c:yVal>
            <c:numRef>
              <c:f>'Waveguide meshes'!$D$2:$D$22</c:f>
              <c:numCache>
                <c:formatCode>General</c:formatCode>
                <c:ptCount val="17"/>
                <c:pt idx="0">
                  <c:v>14</c:v>
                </c:pt>
                <c:pt idx="1">
                  <c:v>60</c:v>
                </c:pt>
                <c:pt idx="2">
                  <c:v>80</c:v>
                </c:pt>
                <c:pt idx="3">
                  <c:v>10</c:v>
                </c:pt>
                <c:pt idx="4">
                  <c:v>19</c:v>
                </c:pt>
                <c:pt idx="5">
                  <c:v>32</c:v>
                </c:pt>
                <c:pt idx="6">
                  <c:v>200</c:v>
                </c:pt>
                <c:pt idx="7">
                  <c:v>90</c:v>
                </c:pt>
                <c:pt idx="8">
                  <c:v>336</c:v>
                </c:pt>
                <c:pt idx="9">
                  <c:v>400</c:v>
                </c:pt>
                <c:pt idx="10">
                  <c:v>344</c:v>
                </c:pt>
                <c:pt idx="11">
                  <c:v>576</c:v>
                </c:pt>
                <c:pt idx="12">
                  <c:v>508</c:v>
                </c:pt>
                <c:pt idx="13">
                  <c:v>154</c:v>
                </c:pt>
              </c:numCache>
            </c:numRef>
          </c:yVal>
          <c:smooth val="0"/>
          <c:extLst>
            <c:ext xmlns:c16="http://schemas.microsoft.com/office/drawing/2014/chart" uri="{C3380CC4-5D6E-409C-BE32-E72D297353CC}">
              <c16:uniqueId val="{00000008-5A31-497E-83BB-446DB0A10CA6}"/>
            </c:ext>
          </c:extLst>
        </c:ser>
        <c:ser>
          <c:idx val="1"/>
          <c:order val="1"/>
          <c:tx>
            <c:v>Multiport Interferometers</c:v>
          </c:tx>
          <c:spPr>
            <a:ln w="25400" cap="rnd">
              <a:noFill/>
              <a:round/>
            </a:ln>
            <a:effectLst/>
          </c:spPr>
          <c:marker>
            <c:symbol val="square"/>
            <c:size val="3"/>
            <c:spPr>
              <a:solidFill>
                <a:srgbClr val="7030A0"/>
              </a:solidFill>
              <a:ln w="9525">
                <a:solidFill>
                  <a:srgbClr val="7030A0"/>
                </a:solidFill>
              </a:ln>
              <a:effectLst/>
            </c:spPr>
          </c:marker>
          <c:dPt>
            <c:idx val="10"/>
            <c:marker>
              <c:symbol val="square"/>
              <c:size val="3"/>
              <c:spPr>
                <a:solidFill>
                  <a:srgbClr val="D5B8EA"/>
                </a:solidFill>
                <a:ln w="9525">
                  <a:solidFill>
                    <a:srgbClr val="7030A0"/>
                  </a:solidFill>
                </a:ln>
                <a:effectLst/>
              </c:spPr>
            </c:marker>
            <c:bubble3D val="0"/>
            <c:extLst>
              <c:ext xmlns:c16="http://schemas.microsoft.com/office/drawing/2014/chart" uri="{C3380CC4-5D6E-409C-BE32-E72D297353CC}">
                <c16:uniqueId val="{00000008-9904-41D1-8760-3EE348D9B2DC}"/>
              </c:ext>
            </c:extLst>
          </c:dPt>
          <c:xVal>
            <c:numRef>
              <c:f>Feedfoward!$A$3:$A$20</c:f>
              <c:numCache>
                <c:formatCode>General</c:formatCode>
                <c:ptCount val="18"/>
                <c:pt idx="0">
                  <c:v>2016</c:v>
                </c:pt>
                <c:pt idx="1">
                  <c:v>2016</c:v>
                </c:pt>
                <c:pt idx="2">
                  <c:v>2017</c:v>
                </c:pt>
                <c:pt idx="3">
                  <c:v>2017</c:v>
                </c:pt>
                <c:pt idx="4">
                  <c:v>2017</c:v>
                </c:pt>
                <c:pt idx="5">
                  <c:v>2018</c:v>
                </c:pt>
                <c:pt idx="6">
                  <c:v>2019</c:v>
                </c:pt>
                <c:pt idx="7">
                  <c:v>2019</c:v>
                </c:pt>
                <c:pt idx="8">
                  <c:v>2020</c:v>
                </c:pt>
                <c:pt idx="9">
                  <c:v>2021</c:v>
                </c:pt>
                <c:pt idx="10">
                  <c:v>2021</c:v>
                </c:pt>
                <c:pt idx="11">
                  <c:v>2021</c:v>
                </c:pt>
                <c:pt idx="12">
                  <c:v>2021</c:v>
                </c:pt>
                <c:pt idx="13">
                  <c:v>2021</c:v>
                </c:pt>
                <c:pt idx="14">
                  <c:v>2021</c:v>
                </c:pt>
                <c:pt idx="15">
                  <c:v>2021</c:v>
                </c:pt>
              </c:numCache>
            </c:numRef>
          </c:xVal>
          <c:yVal>
            <c:numRef>
              <c:f>Feedfoward!$D$3:$D$20</c:f>
              <c:numCache>
                <c:formatCode>General</c:formatCode>
                <c:ptCount val="18"/>
                <c:pt idx="0">
                  <c:v>30</c:v>
                </c:pt>
                <c:pt idx="1">
                  <c:v>18</c:v>
                </c:pt>
                <c:pt idx="2">
                  <c:v>12</c:v>
                </c:pt>
                <c:pt idx="3">
                  <c:v>176</c:v>
                </c:pt>
                <c:pt idx="4">
                  <c:v>112</c:v>
                </c:pt>
                <c:pt idx="5">
                  <c:v>120</c:v>
                </c:pt>
                <c:pt idx="6">
                  <c:v>48</c:v>
                </c:pt>
                <c:pt idx="7">
                  <c:v>20</c:v>
                </c:pt>
                <c:pt idx="8">
                  <c:v>4096</c:v>
                </c:pt>
                <c:pt idx="9">
                  <c:v>12</c:v>
                </c:pt>
                <c:pt idx="10">
                  <c:v>1300</c:v>
                </c:pt>
                <c:pt idx="11">
                  <c:v>56</c:v>
                </c:pt>
                <c:pt idx="12">
                  <c:v>32</c:v>
                </c:pt>
                <c:pt idx="13">
                  <c:v>128</c:v>
                </c:pt>
                <c:pt idx="14">
                  <c:v>20</c:v>
                </c:pt>
                <c:pt idx="15">
                  <c:v>20</c:v>
                </c:pt>
              </c:numCache>
            </c:numRef>
          </c:yVal>
          <c:smooth val="0"/>
          <c:extLst>
            <c:ext xmlns:c16="http://schemas.microsoft.com/office/drawing/2014/chart" uri="{C3380CC4-5D6E-409C-BE32-E72D297353CC}">
              <c16:uniqueId val="{0000000A-5A31-497E-83BB-446DB0A10CA6}"/>
            </c:ext>
          </c:extLst>
        </c:ser>
        <c:ser>
          <c:idx val="2"/>
          <c:order val="2"/>
          <c:tx>
            <c:v>Transistors</c:v>
          </c:tx>
          <c:spPr>
            <a:ln w="25400" cap="rnd">
              <a:noFill/>
              <a:round/>
            </a:ln>
            <a:effectLst/>
          </c:spPr>
          <c:marker>
            <c:symbol val="circle"/>
            <c:size val="5"/>
            <c:spPr>
              <a:solidFill>
                <a:schemeClr val="accent2"/>
              </a:solidFill>
              <a:ln w="9525">
                <a:solidFill>
                  <a:schemeClr val="accent2"/>
                </a:solidFill>
              </a:ln>
              <a:effectLst/>
            </c:spPr>
          </c:marker>
          <c:xVal>
            <c:numRef>
              <c:f>Transistors!$A:$A</c:f>
              <c:numCache>
                <c:formatCode>General</c:formatCode>
                <c:ptCount val="1048576"/>
                <c:pt idx="1">
                  <c:v>1970</c:v>
                </c:pt>
                <c:pt idx="2">
                  <c:v>1971</c:v>
                </c:pt>
                <c:pt idx="3">
                  <c:v>1972</c:v>
                </c:pt>
                <c:pt idx="4">
                  <c:v>1973</c:v>
                </c:pt>
                <c:pt idx="5">
                  <c:v>1973</c:v>
                </c:pt>
                <c:pt idx="6">
                  <c:v>1974</c:v>
                </c:pt>
                <c:pt idx="7">
                  <c:v>1974</c:v>
                </c:pt>
                <c:pt idx="8">
                  <c:v>1974</c:v>
                </c:pt>
                <c:pt idx="9">
                  <c:v>1974</c:v>
                </c:pt>
                <c:pt idx="10">
                  <c:v>1975</c:v>
                </c:pt>
                <c:pt idx="11">
                  <c:v>1975</c:v>
                </c:pt>
                <c:pt idx="12">
                  <c:v>1975</c:v>
                </c:pt>
                <c:pt idx="13">
                  <c:v>1976</c:v>
                </c:pt>
                <c:pt idx="14">
                  <c:v>1976</c:v>
                </c:pt>
                <c:pt idx="15">
                  <c:v>1976</c:v>
                </c:pt>
                <c:pt idx="16">
                  <c:v>1976</c:v>
                </c:pt>
                <c:pt idx="17">
                  <c:v>1977</c:v>
                </c:pt>
                <c:pt idx="18">
                  <c:v>1977</c:v>
                </c:pt>
                <c:pt idx="19">
                  <c:v>1978</c:v>
                </c:pt>
                <c:pt idx="20">
                  <c:v>1978</c:v>
                </c:pt>
                <c:pt idx="21">
                  <c:v>1979</c:v>
                </c:pt>
                <c:pt idx="22">
                  <c:v>1979</c:v>
                </c:pt>
                <c:pt idx="23">
                  <c:v>1979</c:v>
                </c:pt>
                <c:pt idx="24">
                  <c:v>1980</c:v>
                </c:pt>
                <c:pt idx="25">
                  <c:v>1981</c:v>
                </c:pt>
                <c:pt idx="26">
                  <c:v>1981</c:v>
                </c:pt>
                <c:pt idx="27">
                  <c:v>1982</c:v>
                </c:pt>
                <c:pt idx="28">
                  <c:v>1982</c:v>
                </c:pt>
                <c:pt idx="29">
                  <c:v>1983</c:v>
                </c:pt>
                <c:pt idx="30">
                  <c:v>1984</c:v>
                </c:pt>
                <c:pt idx="31">
                  <c:v>1984</c:v>
                </c:pt>
                <c:pt idx="32">
                  <c:v>1985</c:v>
                </c:pt>
                <c:pt idx="33">
                  <c:v>1985</c:v>
                </c:pt>
                <c:pt idx="34">
                  <c:v>1985</c:v>
                </c:pt>
                <c:pt idx="35">
                  <c:v>1986</c:v>
                </c:pt>
                <c:pt idx="36">
                  <c:v>1986</c:v>
                </c:pt>
                <c:pt idx="37">
                  <c:v>1986</c:v>
                </c:pt>
                <c:pt idx="38">
                  <c:v>1986</c:v>
                </c:pt>
                <c:pt idx="39">
                  <c:v>1987</c:v>
                </c:pt>
                <c:pt idx="40">
                  <c:v>1987</c:v>
                </c:pt>
                <c:pt idx="41">
                  <c:v>1987</c:v>
                </c:pt>
                <c:pt idx="42">
                  <c:v>1987</c:v>
                </c:pt>
                <c:pt idx="43">
                  <c:v>1988</c:v>
                </c:pt>
                <c:pt idx="44">
                  <c:v>1988</c:v>
                </c:pt>
                <c:pt idx="45">
                  <c:v>1989</c:v>
                </c:pt>
                <c:pt idx="46">
                  <c:v>1989</c:v>
                </c:pt>
                <c:pt idx="47">
                  <c:v>1989</c:v>
                </c:pt>
                <c:pt idx="48">
                  <c:v>1989</c:v>
                </c:pt>
                <c:pt idx="49">
                  <c:v>1990</c:v>
                </c:pt>
                <c:pt idx="50">
                  <c:v>1991</c:v>
                </c:pt>
                <c:pt idx="51">
                  <c:v>1991</c:v>
                </c:pt>
                <c:pt idx="52">
                  <c:v>1992</c:v>
                </c:pt>
                <c:pt idx="53">
                  <c:v>1992</c:v>
                </c:pt>
                <c:pt idx="54">
                  <c:v>1992</c:v>
                </c:pt>
                <c:pt idx="55">
                  <c:v>1993</c:v>
                </c:pt>
                <c:pt idx="56">
                  <c:v>1993</c:v>
                </c:pt>
                <c:pt idx="57">
                  <c:v>1994</c:v>
                </c:pt>
                <c:pt idx="58">
                  <c:v>1994</c:v>
                </c:pt>
                <c:pt idx="59">
                  <c:v>1994</c:v>
                </c:pt>
                <c:pt idx="60">
                  <c:v>1995</c:v>
                </c:pt>
                <c:pt idx="61">
                  <c:v>1995</c:v>
                </c:pt>
                <c:pt idx="62">
                  <c:v>1996</c:v>
                </c:pt>
                <c:pt idx="63">
                  <c:v>1997</c:v>
                </c:pt>
                <c:pt idx="64">
                  <c:v>1997</c:v>
                </c:pt>
                <c:pt idx="65">
                  <c:v>1997</c:v>
                </c:pt>
                <c:pt idx="66">
                  <c:v>1997</c:v>
                </c:pt>
                <c:pt idx="67">
                  <c:v>1997</c:v>
                </c:pt>
                <c:pt idx="68">
                  <c:v>1998</c:v>
                </c:pt>
                <c:pt idx="69">
                  <c:v>1999</c:v>
                </c:pt>
                <c:pt idx="70">
                  <c:v>1999</c:v>
                </c:pt>
                <c:pt idx="71">
                  <c:v>1999</c:v>
                </c:pt>
                <c:pt idx="72">
                  <c:v>1999</c:v>
                </c:pt>
                <c:pt idx="73">
                  <c:v>1999</c:v>
                </c:pt>
                <c:pt idx="74">
                  <c:v>1999</c:v>
                </c:pt>
                <c:pt idx="75">
                  <c:v>2000</c:v>
                </c:pt>
                <c:pt idx="76">
                  <c:v>2000</c:v>
                </c:pt>
                <c:pt idx="77">
                  <c:v>2000</c:v>
                </c:pt>
                <c:pt idx="78">
                  <c:v>2001</c:v>
                </c:pt>
                <c:pt idx="79">
                  <c:v>2001</c:v>
                </c:pt>
                <c:pt idx="80">
                  <c:v>2002</c:v>
                </c:pt>
                <c:pt idx="81">
                  <c:v>2002</c:v>
                </c:pt>
                <c:pt idx="82">
                  <c:v>2003</c:v>
                </c:pt>
                <c:pt idx="83">
                  <c:v>2003</c:v>
                </c:pt>
                <c:pt idx="84">
                  <c:v>2003</c:v>
                </c:pt>
                <c:pt idx="85">
                  <c:v>2003</c:v>
                </c:pt>
                <c:pt idx="86">
                  <c:v>2004</c:v>
                </c:pt>
                <c:pt idx="87">
                  <c:v>2004</c:v>
                </c:pt>
                <c:pt idx="88">
                  <c:v>2004</c:v>
                </c:pt>
                <c:pt idx="89">
                  <c:v>2005</c:v>
                </c:pt>
                <c:pt idx="90">
                  <c:v>2005</c:v>
                </c:pt>
                <c:pt idx="91">
                  <c:v>2005</c:v>
                </c:pt>
                <c:pt idx="92">
                  <c:v>2005</c:v>
                </c:pt>
                <c:pt idx="93">
                  <c:v>2006</c:v>
                </c:pt>
                <c:pt idx="94">
                  <c:v>2006</c:v>
                </c:pt>
                <c:pt idx="95">
                  <c:v>2006</c:v>
                </c:pt>
                <c:pt idx="96">
                  <c:v>2006</c:v>
                </c:pt>
                <c:pt idx="97">
                  <c:v>2007</c:v>
                </c:pt>
                <c:pt idx="98">
                  <c:v>2007</c:v>
                </c:pt>
                <c:pt idx="99">
                  <c:v>2007</c:v>
                </c:pt>
                <c:pt idx="100">
                  <c:v>2007</c:v>
                </c:pt>
                <c:pt idx="101">
                  <c:v>2007</c:v>
                </c:pt>
                <c:pt idx="102">
                  <c:v>2007</c:v>
                </c:pt>
                <c:pt idx="103">
                  <c:v>2007</c:v>
                </c:pt>
                <c:pt idx="104">
                  <c:v>2008</c:v>
                </c:pt>
                <c:pt idx="105">
                  <c:v>2008</c:v>
                </c:pt>
                <c:pt idx="106">
                  <c:v>2008</c:v>
                </c:pt>
                <c:pt idx="107">
                  <c:v>2008</c:v>
                </c:pt>
                <c:pt idx="108">
                  <c:v>2008</c:v>
                </c:pt>
                <c:pt idx="109">
                  <c:v>2008</c:v>
                </c:pt>
                <c:pt idx="110">
                  <c:v>2009</c:v>
                </c:pt>
                <c:pt idx="111">
                  <c:v>2009</c:v>
                </c:pt>
                <c:pt idx="112">
                  <c:v>2010</c:v>
                </c:pt>
                <c:pt idx="113">
                  <c:v>2010</c:v>
                </c:pt>
                <c:pt idx="114">
                  <c:v>2010</c:v>
                </c:pt>
                <c:pt idx="115">
                  <c:v>2010</c:v>
                </c:pt>
                <c:pt idx="116">
                  <c:v>2010</c:v>
                </c:pt>
                <c:pt idx="117">
                  <c:v>2010</c:v>
                </c:pt>
                <c:pt idx="118">
                  <c:v>2011</c:v>
                </c:pt>
                <c:pt idx="119">
                  <c:v>2011</c:v>
                </c:pt>
                <c:pt idx="120">
                  <c:v>2011</c:v>
                </c:pt>
                <c:pt idx="122">
                  <c:v>2011</c:v>
                </c:pt>
                <c:pt idx="123">
                  <c:v>2012</c:v>
                </c:pt>
                <c:pt idx="124">
                  <c:v>2012</c:v>
                </c:pt>
                <c:pt idx="125">
                  <c:v>2012</c:v>
                </c:pt>
                <c:pt idx="126">
                  <c:v>2012</c:v>
                </c:pt>
                <c:pt idx="127">
                  <c:v>2012</c:v>
                </c:pt>
                <c:pt idx="128">
                  <c:v>2012</c:v>
                </c:pt>
                <c:pt idx="129">
                  <c:v>2012</c:v>
                </c:pt>
                <c:pt idx="130">
                  <c:v>2012</c:v>
                </c:pt>
                <c:pt idx="131">
                  <c:v>2012</c:v>
                </c:pt>
                <c:pt idx="132">
                  <c:v>2013</c:v>
                </c:pt>
                <c:pt idx="133">
                  <c:v>2013</c:v>
                </c:pt>
                <c:pt idx="134">
                  <c:v>2013</c:v>
                </c:pt>
                <c:pt idx="135">
                  <c:v>2013</c:v>
                </c:pt>
                <c:pt idx="136">
                  <c:v>2014</c:v>
                </c:pt>
                <c:pt idx="137">
                  <c:v>2014</c:v>
                </c:pt>
                <c:pt idx="138">
                  <c:v>2014</c:v>
                </c:pt>
                <c:pt idx="139">
                  <c:v>2014</c:v>
                </c:pt>
                <c:pt idx="140">
                  <c:v>2014</c:v>
                </c:pt>
                <c:pt idx="141">
                  <c:v>2014</c:v>
                </c:pt>
                <c:pt idx="142">
                  <c:v>2015</c:v>
                </c:pt>
                <c:pt idx="143">
                  <c:v>2015</c:v>
                </c:pt>
                <c:pt idx="144">
                  <c:v>2015</c:v>
                </c:pt>
                <c:pt idx="148">
                  <c:v>2015</c:v>
                </c:pt>
                <c:pt idx="149">
                  <c:v>2015</c:v>
                </c:pt>
                <c:pt idx="150">
                  <c:v>2015</c:v>
                </c:pt>
                <c:pt idx="151">
                  <c:v>2015</c:v>
                </c:pt>
                <c:pt idx="152">
                  <c:v>2016</c:v>
                </c:pt>
                <c:pt idx="153">
                  <c:v>2016</c:v>
                </c:pt>
                <c:pt idx="154">
                  <c:v>2016</c:v>
                </c:pt>
                <c:pt idx="155">
                  <c:v>2016</c:v>
                </c:pt>
                <c:pt idx="156">
                  <c:v>2016</c:v>
                </c:pt>
                <c:pt idx="157">
                  <c:v>2016</c:v>
                </c:pt>
                <c:pt idx="158">
                  <c:v>2016</c:v>
                </c:pt>
                <c:pt idx="159">
                  <c:v>2017</c:v>
                </c:pt>
                <c:pt idx="160">
                  <c:v>2017</c:v>
                </c:pt>
                <c:pt idx="161">
                  <c:v>2017</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2018</c:v>
                </c:pt>
                <c:pt idx="177">
                  <c:v>2018</c:v>
                </c:pt>
                <c:pt idx="178">
                  <c:v>2018</c:v>
                </c:pt>
                <c:pt idx="179">
                  <c:v>2018</c:v>
                </c:pt>
                <c:pt idx="180">
                  <c:v>2018</c:v>
                </c:pt>
                <c:pt idx="181">
                  <c:v>2018</c:v>
                </c:pt>
                <c:pt idx="182">
                  <c:v>2018</c:v>
                </c:pt>
                <c:pt idx="183">
                  <c:v>2018</c:v>
                </c:pt>
                <c:pt idx="184">
                  <c:v>2019</c:v>
                </c:pt>
                <c:pt idx="185">
                  <c:v>2018</c:v>
                </c:pt>
                <c:pt idx="186">
                  <c:v>2018</c:v>
                </c:pt>
                <c:pt idx="187">
                  <c:v>2018</c:v>
                </c:pt>
                <c:pt idx="188">
                  <c:v>2019</c:v>
                </c:pt>
                <c:pt idx="189">
                  <c:v>2019</c:v>
                </c:pt>
                <c:pt idx="190">
                  <c:v>2019</c:v>
                </c:pt>
                <c:pt idx="191">
                  <c:v>2019</c:v>
                </c:pt>
              </c:numCache>
            </c:numRef>
          </c:xVal>
          <c:yVal>
            <c:numRef>
              <c:f>Transistors!$B:$B</c:f>
              <c:numCache>
                <c:formatCode>General</c:formatCode>
                <c:ptCount val="1048576"/>
                <c:pt idx="1">
                  <c:v>0</c:v>
                </c:pt>
                <c:pt idx="2" formatCode="#,##0">
                  <c:v>2250</c:v>
                </c:pt>
                <c:pt idx="3" formatCode="#,##0">
                  <c:v>3500</c:v>
                </c:pt>
                <c:pt idx="4" formatCode="#,##0">
                  <c:v>2500</c:v>
                </c:pt>
                <c:pt idx="5" formatCode="#,##0">
                  <c:v>11000</c:v>
                </c:pt>
                <c:pt idx="6" formatCode="#,##0">
                  <c:v>3000</c:v>
                </c:pt>
                <c:pt idx="7" formatCode="#,##0">
                  <c:v>4100</c:v>
                </c:pt>
                <c:pt idx="8" formatCode="#,##0">
                  <c:v>6000</c:v>
                </c:pt>
                <c:pt idx="9" formatCode="#,##0">
                  <c:v>8000</c:v>
                </c:pt>
                <c:pt idx="10" formatCode="#,##0">
                  <c:v>4528</c:v>
                </c:pt>
                <c:pt idx="11" formatCode="#,##0">
                  <c:v>4000</c:v>
                </c:pt>
                <c:pt idx="12" formatCode="#,##0">
                  <c:v>5000</c:v>
                </c:pt>
                <c:pt idx="13" formatCode="#,##0">
                  <c:v>5000</c:v>
                </c:pt>
                <c:pt idx="14" formatCode="#,##0">
                  <c:v>8500</c:v>
                </c:pt>
                <c:pt idx="15" formatCode="#,##0">
                  <c:v>6500</c:v>
                </c:pt>
                <c:pt idx="16" formatCode="#,##0">
                  <c:v>8000</c:v>
                </c:pt>
                <c:pt idx="17">
                  <c:v>0</c:v>
                </c:pt>
                <c:pt idx="18" formatCode="#,##0">
                  <c:v>7000</c:v>
                </c:pt>
                <c:pt idx="19" formatCode="#,##0">
                  <c:v>9000</c:v>
                </c:pt>
                <c:pt idx="20" formatCode="#,##0">
                  <c:v>29000</c:v>
                </c:pt>
                <c:pt idx="21" formatCode="#,##0">
                  <c:v>17500</c:v>
                </c:pt>
                <c:pt idx="22" formatCode="#,##0">
                  <c:v>29000</c:v>
                </c:pt>
                <c:pt idx="23" formatCode="#,##0">
                  <c:v>68000</c:v>
                </c:pt>
                <c:pt idx="24" formatCode="#,##0">
                  <c:v>50000</c:v>
                </c:pt>
                <c:pt idx="25" formatCode="#,##0">
                  <c:v>11500</c:v>
                </c:pt>
                <c:pt idx="26" formatCode="#,##0">
                  <c:v>45000</c:v>
                </c:pt>
                <c:pt idx="27" formatCode="#,##0">
                  <c:v>55000</c:v>
                </c:pt>
                <c:pt idx="28" formatCode="#,##0">
                  <c:v>134000</c:v>
                </c:pt>
                <c:pt idx="29" formatCode="#,##0">
                  <c:v>22000</c:v>
                </c:pt>
                <c:pt idx="30" formatCode="#,##0">
                  <c:v>63000</c:v>
                </c:pt>
                <c:pt idx="31" formatCode="#,##0">
                  <c:v>190000</c:v>
                </c:pt>
                <c:pt idx="32" formatCode="#,##0">
                  <c:v>275000</c:v>
                </c:pt>
                <c:pt idx="33" formatCode="#,##0">
                  <c:v>25000</c:v>
                </c:pt>
                <c:pt idx="34" formatCode="#,##0">
                  <c:v>16000</c:v>
                </c:pt>
                <c:pt idx="35" formatCode="#,##0">
                  <c:v>110000</c:v>
                </c:pt>
                <c:pt idx="36" formatCode="#,##0">
                  <c:v>375000</c:v>
                </c:pt>
                <c:pt idx="37" formatCode="#,##0">
                  <c:v>27000</c:v>
                </c:pt>
                <c:pt idx="38" formatCode="#,##0">
                  <c:v>91000</c:v>
                </c:pt>
                <c:pt idx="39" formatCode="#,##0">
                  <c:v>385000</c:v>
                </c:pt>
                <c:pt idx="40" formatCode="#,##0">
                  <c:v>730000</c:v>
                </c:pt>
                <c:pt idx="41" formatCode="#,##0">
                  <c:v>273000</c:v>
                </c:pt>
                <c:pt idx="42" formatCode="#,##0">
                  <c:v>553000</c:v>
                </c:pt>
                <c:pt idx="43" formatCode="#,##0">
                  <c:v>180000</c:v>
                </c:pt>
                <c:pt idx="44" formatCode="#,##0">
                  <c:v>250000</c:v>
                </c:pt>
                <c:pt idx="45" formatCode="#,##0">
                  <c:v>600000</c:v>
                </c:pt>
                <c:pt idx="46" formatCode="#,##0">
                  <c:v>1000000</c:v>
                </c:pt>
                <c:pt idx="47" formatCode="#,##0">
                  <c:v>1180235</c:v>
                </c:pt>
                <c:pt idx="48" formatCode="#,##0">
                  <c:v>310000</c:v>
                </c:pt>
                <c:pt idx="49" formatCode="#,##0">
                  <c:v>1200000</c:v>
                </c:pt>
                <c:pt idx="50" formatCode="#,##0">
                  <c:v>1350000</c:v>
                </c:pt>
                <c:pt idx="51" formatCode="#,##0">
                  <c:v>35000</c:v>
                </c:pt>
                <c:pt idx="52" formatCode="#,##0">
                  <c:v>600000</c:v>
                </c:pt>
                <c:pt idx="53" formatCode="#,##0">
                  <c:v>900000</c:v>
                </c:pt>
                <c:pt idx="54" formatCode="#,##0">
                  <c:v>1680000</c:v>
                </c:pt>
                <c:pt idx="55" formatCode="#,##0">
                  <c:v>2800000</c:v>
                </c:pt>
                <c:pt idx="56" formatCode="#,##0">
                  <c:v>3100000</c:v>
                </c:pt>
                <c:pt idx="57" formatCode="#,##0">
                  <c:v>578977</c:v>
                </c:pt>
                <c:pt idx="58" formatCode="#,##0">
                  <c:v>7000</c:v>
                </c:pt>
                <c:pt idx="59" formatCode="#,##0">
                  <c:v>2500000</c:v>
                </c:pt>
                <c:pt idx="60" formatCode="#,##0">
                  <c:v>2500000</c:v>
                </c:pt>
                <c:pt idx="61" formatCode="#,##0">
                  <c:v>5500000</c:v>
                </c:pt>
                <c:pt idx="62" formatCode="#,##0">
                  <c:v>4300000</c:v>
                </c:pt>
                <c:pt idx="63" formatCode="#,##0">
                  <c:v>10000000</c:v>
                </c:pt>
                <c:pt idx="64" formatCode="#,##0">
                  <c:v>7500000</c:v>
                </c:pt>
                <c:pt idx="65" formatCode="#,##0">
                  <c:v>8800000</c:v>
                </c:pt>
                <c:pt idx="66" formatCode="#,##0">
                  <c:v>15000</c:v>
                </c:pt>
                <c:pt idx="67" formatCode="#,##0">
                  <c:v>140000</c:v>
                </c:pt>
                <c:pt idx="68" formatCode="#,##0">
                  <c:v>7500000</c:v>
                </c:pt>
                <c:pt idx="69" formatCode="#,##0">
                  <c:v>111000</c:v>
                </c:pt>
                <c:pt idx="70" formatCode="#,##0">
                  <c:v>9500000</c:v>
                </c:pt>
                <c:pt idx="71" formatCode="#,##0">
                  <c:v>13500000</c:v>
                </c:pt>
                <c:pt idx="72" formatCode="#,##0">
                  <c:v>27400000</c:v>
                </c:pt>
                <c:pt idx="73" formatCode="#,##0">
                  <c:v>21300000</c:v>
                </c:pt>
                <c:pt idx="74" formatCode="#,##0">
                  <c:v>22000000</c:v>
                </c:pt>
                <c:pt idx="75" formatCode="#,##0">
                  <c:v>21000000</c:v>
                </c:pt>
                <c:pt idx="76" formatCode="#,##0">
                  <c:v>21000000</c:v>
                </c:pt>
                <c:pt idx="77" formatCode="#,##0">
                  <c:v>42000000</c:v>
                </c:pt>
                <c:pt idx="78" formatCode="#,##0">
                  <c:v>191000000</c:v>
                </c:pt>
                <c:pt idx="79" formatCode="#,##0">
                  <c:v>45000000</c:v>
                </c:pt>
                <c:pt idx="80" formatCode="#,##0">
                  <c:v>55000000</c:v>
                </c:pt>
                <c:pt idx="81" formatCode="#,##0">
                  <c:v>220000000</c:v>
                </c:pt>
                <c:pt idx="82" formatCode="#,##0">
                  <c:v>152000000</c:v>
                </c:pt>
                <c:pt idx="83" formatCode="#,##0">
                  <c:v>54300000</c:v>
                </c:pt>
                <c:pt idx="84" formatCode="#,##0">
                  <c:v>105900000</c:v>
                </c:pt>
                <c:pt idx="85" formatCode="#,##0">
                  <c:v>410000000</c:v>
                </c:pt>
                <c:pt idx="86" formatCode="#,##0">
                  <c:v>112000000</c:v>
                </c:pt>
                <c:pt idx="87" formatCode="#,##0">
                  <c:v>400000000</c:v>
                </c:pt>
                <c:pt idx="88" formatCode="#,##0">
                  <c:v>592000000</c:v>
                </c:pt>
                <c:pt idx="89" formatCode="#,##0">
                  <c:v>169000000</c:v>
                </c:pt>
                <c:pt idx="90" formatCode="#,##0">
                  <c:v>228000000</c:v>
                </c:pt>
                <c:pt idx="91" formatCode="#,##0">
                  <c:v>165000000</c:v>
                </c:pt>
                <c:pt idx="92" formatCode="#,##0">
                  <c:v>250000000</c:v>
                </c:pt>
                <c:pt idx="93" formatCode="#,##0">
                  <c:v>184000000</c:v>
                </c:pt>
                <c:pt idx="94" formatCode="#,##0">
                  <c:v>362000000</c:v>
                </c:pt>
                <c:pt idx="95" formatCode="#,##0">
                  <c:v>291000000</c:v>
                </c:pt>
                <c:pt idx="96" formatCode="#,##0">
                  <c:v>1700000000</c:v>
                </c:pt>
                <c:pt idx="97" formatCode="#,##0">
                  <c:v>463000000</c:v>
                </c:pt>
                <c:pt idx="98" formatCode="#,##0">
                  <c:v>26000000</c:v>
                </c:pt>
                <c:pt idx="99" formatCode="#,##0">
                  <c:v>411000000</c:v>
                </c:pt>
                <c:pt idx="100" formatCode="#,##0">
                  <c:v>789000000</c:v>
                </c:pt>
                <c:pt idx="101" formatCode="#,##0">
                  <c:v>169000000</c:v>
                </c:pt>
                <c:pt idx="102" formatCode="#,##0">
                  <c:v>250000000</c:v>
                </c:pt>
                <c:pt idx="103" formatCode="#,##0">
                  <c:v>540000000</c:v>
                </c:pt>
                <c:pt idx="104" formatCode="#,##0">
                  <c:v>230000000</c:v>
                </c:pt>
                <c:pt idx="105" formatCode="#,##0">
                  <c:v>731000000</c:v>
                </c:pt>
                <c:pt idx="106" formatCode="#,##0">
                  <c:v>758000000</c:v>
                </c:pt>
                <c:pt idx="107" formatCode="#,##0">
                  <c:v>47000000</c:v>
                </c:pt>
                <c:pt idx="108" formatCode="#,##0">
                  <c:v>600000000</c:v>
                </c:pt>
                <c:pt idx="109" formatCode="#,##0">
                  <c:v>1900000000</c:v>
                </c:pt>
                <c:pt idx="110" formatCode="#,##0">
                  <c:v>904000000</c:v>
                </c:pt>
                <c:pt idx="111" formatCode="#,##0">
                  <c:v>760000000</c:v>
                </c:pt>
                <c:pt idx="112" formatCode="#,##0">
                  <c:v>1000000000</c:v>
                </c:pt>
                <c:pt idx="113" formatCode="#,##0">
                  <c:v>1170000000</c:v>
                </c:pt>
                <c:pt idx="114" formatCode="#,##0">
                  <c:v>1200000000</c:v>
                </c:pt>
                <c:pt idx="115" formatCode="#,##0">
                  <c:v>1400000000</c:v>
                </c:pt>
                <c:pt idx="116" formatCode="#,##0">
                  <c:v>2000000000</c:v>
                </c:pt>
                <c:pt idx="117" formatCode="#,##0">
                  <c:v>2300000000</c:v>
                </c:pt>
                <c:pt idx="118" formatCode="#,##0">
                  <c:v>1870000000</c:v>
                </c:pt>
                <c:pt idx="119" formatCode="#,##0">
                  <c:v>1160000000</c:v>
                </c:pt>
                <c:pt idx="120" formatCode="#,##0">
                  <c:v>2270000000</c:v>
                </c:pt>
                <c:pt idx="122" formatCode="#,##0">
                  <c:v>2600000000</c:v>
                </c:pt>
                <c:pt idx="123" formatCode="#,##0">
                  <c:v>432000000</c:v>
                </c:pt>
                <c:pt idx="124" formatCode="#,##0">
                  <c:v>2990000000</c:v>
                </c:pt>
                <c:pt idx="125" formatCode="#,##0">
                  <c:v>1200000000</c:v>
                </c:pt>
                <c:pt idx="126" formatCode="#,##0">
                  <c:v>1303000000</c:v>
                </c:pt>
                <c:pt idx="127" formatCode="#,##0">
                  <c:v>1400000000</c:v>
                </c:pt>
                <c:pt idx="128" formatCode="#,##0">
                  <c:v>2100000000</c:v>
                </c:pt>
                <c:pt idx="129" formatCode="#,##0">
                  <c:v>2750000000</c:v>
                </c:pt>
                <c:pt idx="130" formatCode="#,##0">
                  <c:v>3100000000</c:v>
                </c:pt>
                <c:pt idx="131" formatCode="#,##0">
                  <c:v>5000000000</c:v>
                </c:pt>
                <c:pt idx="132" formatCode="#,##0">
                  <c:v>1000000000</c:v>
                </c:pt>
                <c:pt idx="133" formatCode="#,##0">
                  <c:v>1860000000</c:v>
                </c:pt>
                <c:pt idx="134" formatCode="#,##0">
                  <c:v>4200000000</c:v>
                </c:pt>
                <c:pt idx="135" formatCode="#,##0">
                  <c:v>5000000000</c:v>
                </c:pt>
                <c:pt idx="136" formatCode="#,##0">
                  <c:v>1400000000</c:v>
                </c:pt>
                <c:pt idx="137" formatCode="#,##0">
                  <c:v>2000000000</c:v>
                </c:pt>
                <c:pt idx="138" formatCode="#,##0">
                  <c:v>2600000000</c:v>
                </c:pt>
                <c:pt idx="139" formatCode="#,##0">
                  <c:v>3000000000</c:v>
                </c:pt>
                <c:pt idx="140" formatCode="#,##0">
                  <c:v>4310000000</c:v>
                </c:pt>
                <c:pt idx="141" formatCode="#,##0">
                  <c:v>5560000000</c:v>
                </c:pt>
                <c:pt idx="142" formatCode="#,##0">
                  <c:v>1750000000</c:v>
                </c:pt>
                <c:pt idx="143" formatCode="#,##0">
                  <c:v>1900000000</c:v>
                </c:pt>
                <c:pt idx="144" formatCode="#,##0">
                  <c:v>2000000000</c:v>
                </c:pt>
                <c:pt idx="148" formatCode="#,##0">
                  <c:v>3000000000</c:v>
                </c:pt>
                <c:pt idx="149" formatCode="#,##0">
                  <c:v>3990000000</c:v>
                </c:pt>
                <c:pt idx="150" formatCode="#,##0">
                  <c:v>7100000000</c:v>
                </c:pt>
                <c:pt idx="151" formatCode="#,##0">
                  <c:v>10000000000</c:v>
                </c:pt>
                <c:pt idx="152" formatCode="#,##0">
                  <c:v>3000000000</c:v>
                </c:pt>
                <c:pt idx="153" formatCode="#,##0">
                  <c:v>3200000000</c:v>
                </c:pt>
                <c:pt idx="154" formatCode="#,##0">
                  <c:v>3300000000</c:v>
                </c:pt>
                <c:pt idx="155" formatCode="#,##0">
                  <c:v>4000000000</c:v>
                </c:pt>
                <c:pt idx="156" formatCode="#,##0">
                  <c:v>7200000000</c:v>
                </c:pt>
                <c:pt idx="157" formatCode="#,##0">
                  <c:v>8000000000</c:v>
                </c:pt>
                <c:pt idx="158">
                  <c:v>0</c:v>
                </c:pt>
                <c:pt idx="159" formatCode="#,##0">
                  <c:v>5300000000</c:v>
                </c:pt>
                <c:pt idx="160" formatCode="#,##0">
                  <c:v>5300000000</c:v>
                </c:pt>
                <c:pt idx="161" formatCode="#,##0">
                  <c:v>4300000000</c:v>
                </c:pt>
                <c:pt idx="162" formatCode="#,##0">
                  <c:v>4800000000</c:v>
                </c:pt>
                <c:pt idx="163" formatCode="#,##0">
                  <c:v>4800000000</c:v>
                </c:pt>
                <c:pt idx="164" formatCode="#,##0">
                  <c:v>4800000000</c:v>
                </c:pt>
                <c:pt idx="165" formatCode="#,##0">
                  <c:v>6100000000</c:v>
                </c:pt>
                <c:pt idx="166" formatCode="#,##0">
                  <c:v>5500000000</c:v>
                </c:pt>
                <c:pt idx="167" formatCode="#,##0">
                  <c:v>7000000000</c:v>
                </c:pt>
                <c:pt idx="168" formatCode="#,##0">
                  <c:v>8000000000</c:v>
                </c:pt>
                <c:pt idx="169" formatCode="#,##0">
                  <c:v>8000000000</c:v>
                </c:pt>
                <c:pt idx="170" formatCode="#,##0">
                  <c:v>9700000000</c:v>
                </c:pt>
                <c:pt idx="171" formatCode="#,##0">
                  <c:v>250000000</c:v>
                </c:pt>
                <c:pt idx="172" formatCode="#,##0">
                  <c:v>5450000000</c:v>
                </c:pt>
                <c:pt idx="173" formatCode="#,##0">
                  <c:v>4300000000</c:v>
                </c:pt>
                <c:pt idx="174" formatCode="#,##0">
                  <c:v>18000000000</c:v>
                </c:pt>
                <c:pt idx="175" formatCode="#,##0">
                  <c:v>19200000000</c:v>
                </c:pt>
                <c:pt idx="176">
                  <c:v>0</c:v>
                </c:pt>
                <c:pt idx="177">
                  <c:v>0</c:v>
                </c:pt>
                <c:pt idx="178">
                  <c:v>0</c:v>
                </c:pt>
                <c:pt idx="179" formatCode="#,##0">
                  <c:v>8500000000</c:v>
                </c:pt>
                <c:pt idx="180" formatCode="#,##0">
                  <c:v>6900000000</c:v>
                </c:pt>
                <c:pt idx="181" formatCode="#,##0">
                  <c:v>6900000000</c:v>
                </c:pt>
                <c:pt idx="182" formatCode="#,##0">
                  <c:v>5500000000</c:v>
                </c:pt>
                <c:pt idx="183" formatCode="#,##0">
                  <c:v>10000000000</c:v>
                </c:pt>
                <c:pt idx="184" formatCode="#,##0">
                  <c:v>8500000000</c:v>
                </c:pt>
                <c:pt idx="185" formatCode="#,##0">
                  <c:v>8786000000</c:v>
                </c:pt>
                <c:pt idx="186" formatCode="#,##0">
                  <c:v>23600000000</c:v>
                </c:pt>
                <c:pt idx="187" formatCode="#,##0">
                  <c:v>9000000000</c:v>
                </c:pt>
                <c:pt idx="188">
                  <c:v>0</c:v>
                </c:pt>
                <c:pt idx="189" formatCode="#,##0">
                  <c:v>5990000000</c:v>
                </c:pt>
                <c:pt idx="190" formatCode="#,##0">
                  <c:v>9890000000</c:v>
                </c:pt>
                <c:pt idx="191" formatCode="#,##0">
                  <c:v>39540000000</c:v>
                </c:pt>
              </c:numCache>
            </c:numRef>
          </c:yVal>
          <c:smooth val="0"/>
          <c:extLst>
            <c:ext xmlns:c16="http://schemas.microsoft.com/office/drawing/2014/chart" uri="{C3380CC4-5D6E-409C-BE32-E72D297353CC}">
              <c16:uniqueId val="{0000000B-5A31-497E-83BB-446DB0A10CA6}"/>
            </c:ext>
          </c:extLst>
        </c:ser>
        <c:dLbls>
          <c:showLegendKey val="0"/>
          <c:showVal val="0"/>
          <c:showCatName val="0"/>
          <c:showSerName val="0"/>
          <c:showPercent val="0"/>
          <c:showBubbleSize val="0"/>
        </c:dLbls>
        <c:axId val="463825040"/>
        <c:axId val="463821432"/>
      </c:scatterChart>
      <c:valAx>
        <c:axId val="463825040"/>
        <c:scaling>
          <c:orientation val="minMax"/>
          <c:max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r"/>
      <c:layout>
        <c:manualLayout>
          <c:xMode val="edge"/>
          <c:yMode val="edge"/>
          <c:x val="0.73199388404834742"/>
          <c:y val="9.8450405343929737E-2"/>
          <c:w val="0.26800607594224296"/>
          <c:h val="0.64079825734836326"/>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meshes'!$A$2:$A$27</c:f>
              <c:numCache>
                <c:formatCode>General</c:formatCode>
                <c:ptCount val="22"/>
                <c:pt idx="0">
                  <c:v>2015</c:v>
                </c:pt>
                <c:pt idx="1">
                  <c:v>2016</c:v>
                </c:pt>
                <c:pt idx="2">
                  <c:v>2017</c:v>
                </c:pt>
                <c:pt idx="3">
                  <c:v>2018</c:v>
                </c:pt>
                <c:pt idx="4">
                  <c:v>2020</c:v>
                </c:pt>
                <c:pt idx="5">
                  <c:v>2020</c:v>
                </c:pt>
                <c:pt idx="6">
                  <c:v>2021</c:v>
                </c:pt>
                <c:pt idx="7">
                  <c:v>2021</c:v>
                </c:pt>
                <c:pt idx="8">
                  <c:v>2021</c:v>
                </c:pt>
                <c:pt idx="9">
                  <c:v>2021</c:v>
                </c:pt>
                <c:pt idx="10">
                  <c:v>2021</c:v>
                </c:pt>
                <c:pt idx="11">
                  <c:v>2021</c:v>
                </c:pt>
                <c:pt idx="12">
                  <c:v>2021</c:v>
                </c:pt>
                <c:pt idx="13">
                  <c:v>2021</c:v>
                </c:pt>
              </c:numCache>
            </c:numRef>
          </c:xVal>
          <c:yVal>
            <c:numRef>
              <c:f>'Waveguide meshes'!$D$2:$D$27</c:f>
              <c:numCache>
                <c:formatCode>General</c:formatCode>
                <c:ptCount val="22"/>
                <c:pt idx="0">
                  <c:v>14</c:v>
                </c:pt>
                <c:pt idx="1">
                  <c:v>60</c:v>
                </c:pt>
                <c:pt idx="2">
                  <c:v>80</c:v>
                </c:pt>
                <c:pt idx="3">
                  <c:v>10</c:v>
                </c:pt>
                <c:pt idx="4">
                  <c:v>19</c:v>
                </c:pt>
                <c:pt idx="5">
                  <c:v>32</c:v>
                </c:pt>
                <c:pt idx="6">
                  <c:v>200</c:v>
                </c:pt>
                <c:pt idx="7">
                  <c:v>90</c:v>
                </c:pt>
                <c:pt idx="8">
                  <c:v>336</c:v>
                </c:pt>
                <c:pt idx="9">
                  <c:v>400</c:v>
                </c:pt>
                <c:pt idx="10">
                  <c:v>344</c:v>
                </c:pt>
                <c:pt idx="11">
                  <c:v>576</c:v>
                </c:pt>
                <c:pt idx="12">
                  <c:v>508</c:v>
                </c:pt>
                <c:pt idx="13">
                  <c:v>154</c:v>
                </c:pt>
              </c:numCache>
            </c:numRef>
          </c:yVal>
          <c:smooth val="0"/>
          <c:extLst>
            <c:ext xmlns:c16="http://schemas.microsoft.com/office/drawing/2014/chart" uri="{C3380CC4-5D6E-409C-BE32-E72D297353CC}">
              <c16:uniqueId val="{00000000-160A-4C98-BE75-DF194006890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Feedfoward!$A$3:$A$18</c:f>
              <c:numCache>
                <c:formatCode>General</c:formatCode>
                <c:ptCount val="16"/>
                <c:pt idx="0">
                  <c:v>2016</c:v>
                </c:pt>
                <c:pt idx="1">
                  <c:v>2016</c:v>
                </c:pt>
                <c:pt idx="2">
                  <c:v>2017</c:v>
                </c:pt>
                <c:pt idx="3">
                  <c:v>2017</c:v>
                </c:pt>
                <c:pt idx="4">
                  <c:v>2017</c:v>
                </c:pt>
                <c:pt idx="5">
                  <c:v>2018</c:v>
                </c:pt>
                <c:pt idx="6">
                  <c:v>2019</c:v>
                </c:pt>
                <c:pt idx="7">
                  <c:v>2019</c:v>
                </c:pt>
                <c:pt idx="8">
                  <c:v>2020</c:v>
                </c:pt>
                <c:pt idx="9">
                  <c:v>2021</c:v>
                </c:pt>
                <c:pt idx="10">
                  <c:v>2021</c:v>
                </c:pt>
                <c:pt idx="11">
                  <c:v>2021</c:v>
                </c:pt>
                <c:pt idx="12">
                  <c:v>2021</c:v>
                </c:pt>
                <c:pt idx="13">
                  <c:v>2021</c:v>
                </c:pt>
                <c:pt idx="14">
                  <c:v>2021</c:v>
                </c:pt>
                <c:pt idx="15">
                  <c:v>2021</c:v>
                </c:pt>
              </c:numCache>
            </c:numRef>
          </c:xVal>
          <c:yVal>
            <c:numRef>
              <c:f>Feedfoward!$D$3:$D$21</c:f>
              <c:numCache>
                <c:formatCode>General</c:formatCode>
                <c:ptCount val="19"/>
                <c:pt idx="0">
                  <c:v>30</c:v>
                </c:pt>
                <c:pt idx="1">
                  <c:v>18</c:v>
                </c:pt>
                <c:pt idx="2">
                  <c:v>12</c:v>
                </c:pt>
                <c:pt idx="3">
                  <c:v>176</c:v>
                </c:pt>
                <c:pt idx="4">
                  <c:v>112</c:v>
                </c:pt>
                <c:pt idx="5">
                  <c:v>120</c:v>
                </c:pt>
                <c:pt idx="6">
                  <c:v>48</c:v>
                </c:pt>
                <c:pt idx="7">
                  <c:v>20</c:v>
                </c:pt>
                <c:pt idx="8">
                  <c:v>4096</c:v>
                </c:pt>
                <c:pt idx="9">
                  <c:v>12</c:v>
                </c:pt>
                <c:pt idx="10">
                  <c:v>1300</c:v>
                </c:pt>
                <c:pt idx="11">
                  <c:v>56</c:v>
                </c:pt>
                <c:pt idx="12">
                  <c:v>32</c:v>
                </c:pt>
                <c:pt idx="13">
                  <c:v>128</c:v>
                </c:pt>
                <c:pt idx="14">
                  <c:v>20</c:v>
                </c:pt>
                <c:pt idx="15">
                  <c:v>20</c:v>
                </c:pt>
              </c:numCache>
            </c:numRef>
          </c:yVal>
          <c:smooth val="0"/>
          <c:extLst>
            <c:ext xmlns:c16="http://schemas.microsoft.com/office/drawing/2014/chart" uri="{C3380CC4-5D6E-409C-BE32-E72D297353CC}">
              <c16:uniqueId val="{00000001-160A-4C98-BE75-DF194006890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OpticalSwitches!$A$4:$A$33</c:f>
              <c:numCache>
                <c:formatCode>General</c:formatCode>
                <c:ptCount val="30"/>
                <c:pt idx="0">
                  <c:v>2015</c:v>
                </c:pt>
                <c:pt idx="1">
                  <c:v>2016</c:v>
                </c:pt>
                <c:pt idx="2">
                  <c:v>2017</c:v>
                </c:pt>
                <c:pt idx="3">
                  <c:v>2018</c:v>
                </c:pt>
                <c:pt idx="4">
                  <c:v>2018</c:v>
                </c:pt>
                <c:pt idx="5">
                  <c:v>2019</c:v>
                </c:pt>
                <c:pt idx="6">
                  <c:v>2019</c:v>
                </c:pt>
                <c:pt idx="7">
                  <c:v>2019</c:v>
                </c:pt>
                <c:pt idx="8">
                  <c:v>2020</c:v>
                </c:pt>
              </c:numCache>
            </c:numRef>
          </c:xVal>
          <c:yVal>
            <c:numRef>
              <c:f>OpticalSwitches!$D$4:$D$33</c:f>
              <c:numCache>
                <c:formatCode>General</c:formatCode>
                <c:ptCount val="30"/>
                <c:pt idx="0">
                  <c:v>2048</c:v>
                </c:pt>
                <c:pt idx="1">
                  <c:v>112</c:v>
                </c:pt>
                <c:pt idx="2">
                  <c:v>24</c:v>
                </c:pt>
                <c:pt idx="3">
                  <c:v>448</c:v>
                </c:pt>
                <c:pt idx="4">
                  <c:v>768</c:v>
                </c:pt>
                <c:pt idx="5">
                  <c:v>18</c:v>
                </c:pt>
                <c:pt idx="6">
                  <c:v>2048</c:v>
                </c:pt>
                <c:pt idx="7">
                  <c:v>2048</c:v>
                </c:pt>
                <c:pt idx="8">
                  <c:v>192</c:v>
                </c:pt>
              </c:numCache>
            </c:numRef>
          </c:yVal>
          <c:smooth val="0"/>
          <c:extLst>
            <c:ext xmlns:c16="http://schemas.microsoft.com/office/drawing/2014/chart" uri="{C3380CC4-5D6E-409C-BE32-E72D297353CC}">
              <c16:uniqueId val="{00000002-160A-4C98-BE75-DF194006890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devices'!$A$2:$A$67</c:f>
              <c:numCache>
                <c:formatCode>General</c:formatCode>
                <c:ptCount val="6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2019</c:v>
                </c:pt>
                <c:pt idx="43">
                  <c:v>2019</c:v>
                </c:pt>
                <c:pt idx="44">
                  <c:v>2019</c:v>
                </c:pt>
                <c:pt idx="45">
                  <c:v>2019</c:v>
                </c:pt>
                <c:pt idx="46">
                  <c:v>2019</c:v>
                </c:pt>
                <c:pt idx="47">
                  <c:v>2019</c:v>
                </c:pt>
                <c:pt idx="48">
                  <c:v>2019</c:v>
                </c:pt>
                <c:pt idx="49">
                  <c:v>2020</c:v>
                </c:pt>
                <c:pt idx="50">
                  <c:v>2020</c:v>
                </c:pt>
                <c:pt idx="51">
                  <c:v>2021</c:v>
                </c:pt>
                <c:pt idx="52">
                  <c:v>2021</c:v>
                </c:pt>
              </c:numCache>
            </c:numRef>
          </c:xVal>
          <c:yVal>
            <c:numRef>
              <c:f>'Other Reconfigurable devices'!$D$2:$D$67</c:f>
              <c:numCache>
                <c:formatCode>General</c:formatCode>
                <c:ptCount val="6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13</c:v>
                </c:pt>
                <c:pt idx="44">
                  <c:v>512</c:v>
                </c:pt>
                <c:pt idx="45">
                  <c:v>16</c:v>
                </c:pt>
                <c:pt idx="46">
                  <c:v>144</c:v>
                </c:pt>
                <c:pt idx="47">
                  <c:v>3</c:v>
                </c:pt>
                <c:pt idx="48">
                  <c:v>6</c:v>
                </c:pt>
                <c:pt idx="49">
                  <c:v>160</c:v>
                </c:pt>
                <c:pt idx="50">
                  <c:v>512</c:v>
                </c:pt>
                <c:pt idx="51">
                  <c:v>16</c:v>
                </c:pt>
                <c:pt idx="52">
                  <c:v>64</c:v>
                </c:pt>
              </c:numCache>
            </c:numRef>
          </c:yVal>
          <c:smooth val="0"/>
          <c:extLst>
            <c:ext xmlns:c16="http://schemas.microsoft.com/office/drawing/2014/chart" uri="{C3380CC4-5D6E-409C-BE32-E72D297353CC}">
              <c16:uniqueId val="{00000003-160A-4C98-BE75-DF1940068907}"/>
            </c:ext>
          </c:extLst>
        </c:ser>
        <c:ser>
          <c:idx val="2"/>
          <c:order val="4"/>
          <c:tx>
            <c:strRef>
              <c:f>Hoja1!$D$42</c:f>
              <c:strCache>
                <c:ptCount val="1"/>
                <c:pt idx="0">
                  <c:v>x2/24M</c:v>
                </c:pt>
              </c:strCache>
            </c:strRef>
          </c:tx>
          <c:spPr>
            <a:ln w="19050" cap="rnd">
              <a:solidFill>
                <a:schemeClr val="accent1">
                  <a:lumMod val="50000"/>
                  <a:alpha val="60000"/>
                </a:schemeClr>
              </a:solidFill>
              <a:prstDash val="dash"/>
              <a:round/>
            </a:ln>
            <a:effectLst/>
          </c:spPr>
          <c:marker>
            <c:symbol val="circle"/>
            <c:size val="3"/>
            <c:spPr>
              <a:solidFill>
                <a:schemeClr val="bg1">
                  <a:lumMod val="50000"/>
                  <a:alpha val="33000"/>
                </a:schemeClr>
              </a:solidFill>
              <a:ln w="9525">
                <a:noFill/>
              </a:ln>
              <a:effectLst/>
            </c:spPr>
          </c:marker>
          <c:xVal>
            <c:numRef>
              <c:f>(Hoja1!$A$43,Hoja1!$A$45,Hoja1!$A$47,Hoja1!$A$49,Hoja1!$A$51,Hoja1!$A$53,Hoja1!$A$55,Hoja1!$A$57,Hoja1!$A$59,Hoja1!$A$61,Hoja1!$A$63)</c:f>
              <c:numCache>
                <c:formatCode>General</c:formatCode>
                <c:ptCount val="11"/>
                <c:pt idx="0">
                  <c:v>2015</c:v>
                </c:pt>
                <c:pt idx="1">
                  <c:v>2017</c:v>
                </c:pt>
                <c:pt idx="2">
                  <c:v>2019</c:v>
                </c:pt>
                <c:pt idx="3">
                  <c:v>2021</c:v>
                </c:pt>
                <c:pt idx="4">
                  <c:v>2023</c:v>
                </c:pt>
                <c:pt idx="5">
                  <c:v>2025</c:v>
                </c:pt>
                <c:pt idx="6">
                  <c:v>2027</c:v>
                </c:pt>
                <c:pt idx="7">
                  <c:v>2029</c:v>
                </c:pt>
                <c:pt idx="8">
                  <c:v>2031</c:v>
                </c:pt>
                <c:pt idx="9">
                  <c:v>2033</c:v>
                </c:pt>
                <c:pt idx="10">
                  <c:v>2035</c:v>
                </c:pt>
              </c:numCache>
            </c:numRef>
          </c:xVal>
          <c:yVal>
            <c:numRef>
              <c:f>(Hoja1!$D$43,Hoja1!$D$45,Hoja1!$D$47,Hoja1!$D$49,Hoja1!$D$51,Hoja1!$D$53,Hoja1!$D$55,Hoja1!$D$57,Hoja1!$D$59,Hoja1!$D$61,Hoja1!$D$63)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4-160A-4C98-BE75-DF1940068907}"/>
            </c:ext>
          </c:extLst>
        </c:ser>
        <c:ser>
          <c:idx val="3"/>
          <c:order val="5"/>
          <c:tx>
            <c:strRef>
              <c:f>Hoja1!$E$42</c:f>
              <c:strCache>
                <c:ptCount val="1"/>
                <c:pt idx="0">
                  <c:v>x2/18M</c:v>
                </c:pt>
              </c:strCache>
            </c:strRef>
          </c:tx>
          <c:spPr>
            <a:ln w="25400" cap="rnd">
              <a:solidFill>
                <a:schemeClr val="tx1"/>
              </a:solidFill>
              <a:prstDash val="sysDot"/>
              <a:round/>
            </a:ln>
            <a:effectLst/>
          </c:spPr>
          <c:marker>
            <c:symbol val="circle"/>
            <c:size val="5"/>
            <c:spPr>
              <a:solidFill>
                <a:schemeClr val="tx1">
                  <a:alpha val="3000"/>
                </a:schemeClr>
              </a:solidFill>
              <a:ln w="9525">
                <a:noFill/>
              </a:ln>
              <a:effectLst/>
            </c:spPr>
          </c:marker>
          <c:xVal>
            <c:numRef>
              <c:f>(Hoja1!$A$43,Hoja1!$A$46,Hoja1!$A$49,Hoja1!$A$52,Hoja1!$A$55,Hoja1!$A$58,Hoja1!$A$61)</c:f>
              <c:numCache>
                <c:formatCode>General</c:formatCode>
                <c:ptCount val="7"/>
                <c:pt idx="0">
                  <c:v>2015</c:v>
                </c:pt>
                <c:pt idx="1">
                  <c:v>2018</c:v>
                </c:pt>
                <c:pt idx="2">
                  <c:v>2021</c:v>
                </c:pt>
                <c:pt idx="3">
                  <c:v>2024</c:v>
                </c:pt>
                <c:pt idx="4">
                  <c:v>2027</c:v>
                </c:pt>
                <c:pt idx="5">
                  <c:v>2030</c:v>
                </c:pt>
                <c:pt idx="6">
                  <c:v>2033</c:v>
                </c:pt>
              </c:numCache>
            </c:numRef>
          </c:xVal>
          <c:yVal>
            <c:numRef>
              <c:f>(Hoja1!$E$43,Hoja1!$E$46,Hoja1!$E$49,Hoja1!$E$52,Hoja1!$E$55,Hoja1!$E$58,Hoja1!$E$61)</c:f>
              <c:numCache>
                <c:formatCode>General</c:formatCode>
                <c:ptCount val="7"/>
                <c:pt idx="0">
                  <c:v>15</c:v>
                </c:pt>
                <c:pt idx="1">
                  <c:v>60</c:v>
                </c:pt>
                <c:pt idx="2">
                  <c:v>240</c:v>
                </c:pt>
                <c:pt idx="3">
                  <c:v>960</c:v>
                </c:pt>
                <c:pt idx="4">
                  <c:v>3840</c:v>
                </c:pt>
                <c:pt idx="5">
                  <c:v>15360</c:v>
                </c:pt>
                <c:pt idx="6">
                  <c:v>61440</c:v>
                </c:pt>
              </c:numCache>
            </c:numRef>
          </c:yVal>
          <c:smooth val="0"/>
          <c:extLst>
            <c:ext xmlns:c16="http://schemas.microsoft.com/office/drawing/2014/chart" uri="{C3380CC4-5D6E-409C-BE32-E72D297353CC}">
              <c16:uniqueId val="{00000005-160A-4C98-BE75-DF1940068907}"/>
            </c:ext>
          </c:extLst>
        </c:ser>
        <c:ser>
          <c:idx val="4"/>
          <c:order val="6"/>
          <c:tx>
            <c:strRef>
              <c:f>Hoja1!$F$42</c:f>
              <c:strCache>
                <c:ptCount val="1"/>
                <c:pt idx="0">
                  <c:v>x2/12M</c:v>
                </c:pt>
              </c:strCache>
            </c:strRef>
          </c:tx>
          <c:spPr>
            <a:ln w="25400" cap="rnd">
              <a:solidFill>
                <a:schemeClr val="tx1">
                  <a:lumMod val="50000"/>
                  <a:lumOff val="50000"/>
                  <a:alpha val="27000"/>
                </a:schemeClr>
              </a:solidFill>
              <a:prstDash val="sysDash"/>
              <a:round/>
            </a:ln>
            <a:effectLst/>
          </c:spPr>
          <c:marker>
            <c:symbol val="circle"/>
            <c:size val="5"/>
            <c:spPr>
              <a:solidFill>
                <a:schemeClr val="accent2">
                  <a:alpha val="2000"/>
                </a:schemeClr>
              </a:solidFill>
              <a:ln w="9525">
                <a:noFill/>
              </a:ln>
              <a:effectLst/>
            </c:spPr>
          </c:marker>
          <c:xVal>
            <c:numRef>
              <c:f>Hoja1!$A$43:$A$68</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xVal>
          <c:yVal>
            <c:numRef>
              <c:f>Hoja1!$F$43:$F$68</c:f>
              <c:numCache>
                <c:formatCode>General</c:formatCode>
                <c:ptCount val="26"/>
                <c:pt idx="0">
                  <c:v>15</c:v>
                </c:pt>
                <c:pt idx="1">
                  <c:v>30</c:v>
                </c:pt>
                <c:pt idx="2">
                  <c:v>60</c:v>
                </c:pt>
                <c:pt idx="3">
                  <c:v>120</c:v>
                </c:pt>
                <c:pt idx="4">
                  <c:v>240</c:v>
                </c:pt>
                <c:pt idx="5">
                  <c:v>480</c:v>
                </c:pt>
                <c:pt idx="6">
                  <c:v>960</c:v>
                </c:pt>
                <c:pt idx="7">
                  <c:v>1920</c:v>
                </c:pt>
                <c:pt idx="8">
                  <c:v>3840</c:v>
                </c:pt>
                <c:pt idx="9">
                  <c:v>7680</c:v>
                </c:pt>
                <c:pt idx="10">
                  <c:v>15360</c:v>
                </c:pt>
                <c:pt idx="11">
                  <c:v>30720</c:v>
                </c:pt>
                <c:pt idx="12">
                  <c:v>61440</c:v>
                </c:pt>
                <c:pt idx="13">
                  <c:v>122880</c:v>
                </c:pt>
                <c:pt idx="14">
                  <c:v>245760</c:v>
                </c:pt>
                <c:pt idx="15">
                  <c:v>491520</c:v>
                </c:pt>
                <c:pt idx="16">
                  <c:v>983040</c:v>
                </c:pt>
                <c:pt idx="17">
                  <c:v>1966080</c:v>
                </c:pt>
                <c:pt idx="18">
                  <c:v>3932160</c:v>
                </c:pt>
                <c:pt idx="19">
                  <c:v>7864320</c:v>
                </c:pt>
                <c:pt idx="20">
                  <c:v>15728640</c:v>
                </c:pt>
                <c:pt idx="21">
                  <c:v>31457280</c:v>
                </c:pt>
                <c:pt idx="22">
                  <c:v>62914560</c:v>
                </c:pt>
                <c:pt idx="23">
                  <c:v>125829120</c:v>
                </c:pt>
                <c:pt idx="24">
                  <c:v>251658240</c:v>
                </c:pt>
                <c:pt idx="25">
                  <c:v>503316480</c:v>
                </c:pt>
              </c:numCache>
            </c:numRef>
          </c:yVal>
          <c:smooth val="0"/>
          <c:extLst>
            <c:ext xmlns:c16="http://schemas.microsoft.com/office/drawing/2014/chart" uri="{C3380CC4-5D6E-409C-BE32-E72D297353CC}">
              <c16:uniqueId val="{00000006-160A-4C98-BE75-DF1940068907}"/>
            </c:ext>
          </c:extLst>
        </c:ser>
        <c:ser>
          <c:idx val="5"/>
          <c:order val="7"/>
          <c:tx>
            <c:strRef>
              <c:f>Hoja1!$C$42</c:f>
              <c:strCache>
                <c:ptCount val="1"/>
                <c:pt idx="0">
                  <c:v>x2/36M</c:v>
                </c:pt>
              </c:strCache>
            </c:strRef>
          </c:tx>
          <c:spPr>
            <a:ln w="25400" cap="rnd">
              <a:solidFill>
                <a:schemeClr val="bg1">
                  <a:lumMod val="75000"/>
                  <a:alpha val="48000"/>
                </a:schemeClr>
              </a:solidFill>
              <a:prstDash val="lgDash"/>
              <a:round/>
            </a:ln>
            <a:effectLst/>
          </c:spPr>
          <c:marker>
            <c:symbol val="circle"/>
            <c:size val="5"/>
            <c:spPr>
              <a:solidFill>
                <a:schemeClr val="bg1">
                  <a:lumMod val="95000"/>
                  <a:alpha val="11000"/>
                </a:schemeClr>
              </a:solidFill>
              <a:ln w="9525">
                <a:noFill/>
              </a:ln>
              <a:effectLst/>
            </c:spPr>
          </c:marker>
          <c:xVal>
            <c:numRef>
              <c:f>(Hoja1!$A$43,Hoja1!$A$48,Hoja1!$A$53,Hoja1!$A$58,Hoja1!$A$63)</c:f>
              <c:numCache>
                <c:formatCode>General</c:formatCode>
                <c:ptCount val="5"/>
                <c:pt idx="0">
                  <c:v>2015</c:v>
                </c:pt>
                <c:pt idx="1">
                  <c:v>2020</c:v>
                </c:pt>
                <c:pt idx="2">
                  <c:v>2025</c:v>
                </c:pt>
                <c:pt idx="3">
                  <c:v>2030</c:v>
                </c:pt>
                <c:pt idx="4">
                  <c:v>2035</c:v>
                </c:pt>
              </c:numCache>
            </c:numRef>
          </c:xVal>
          <c:yVal>
            <c:numRef>
              <c:f>(Hoja1!$C$43,Hoja1!$C$48,Hoja1!$C$53,Hoja1!$C$58,Hoja1!$C$63)</c:f>
              <c:numCache>
                <c:formatCode>General</c:formatCode>
                <c:ptCount val="5"/>
                <c:pt idx="0">
                  <c:v>15</c:v>
                </c:pt>
                <c:pt idx="1">
                  <c:v>60</c:v>
                </c:pt>
                <c:pt idx="2">
                  <c:v>240</c:v>
                </c:pt>
                <c:pt idx="3">
                  <c:v>960</c:v>
                </c:pt>
                <c:pt idx="4">
                  <c:v>3840</c:v>
                </c:pt>
              </c:numCache>
            </c:numRef>
          </c:yVal>
          <c:smooth val="0"/>
          <c:extLst>
            <c:ext xmlns:c16="http://schemas.microsoft.com/office/drawing/2014/chart" uri="{C3380CC4-5D6E-409C-BE32-E72D297353CC}">
              <c16:uniqueId val="{00000007-160A-4C98-BE75-DF1940068907}"/>
            </c:ext>
          </c:extLst>
        </c:ser>
        <c:ser>
          <c:idx val="8"/>
          <c:order val="8"/>
          <c:tx>
            <c:strRef>
              <c:f>Hoja1!$B$42</c:f>
              <c:strCache>
                <c:ptCount val="1"/>
                <c:pt idx="0">
                  <c:v>x2/48M</c:v>
                </c:pt>
              </c:strCache>
            </c:strRef>
          </c:tx>
          <c:spPr>
            <a:ln w="25400" cap="rnd">
              <a:solidFill>
                <a:schemeClr val="bg1">
                  <a:lumMod val="85000"/>
                </a:schemeClr>
              </a:solidFill>
              <a:prstDash val="lgDash"/>
              <a:round/>
            </a:ln>
            <a:effectLst/>
          </c:spPr>
          <c:marker>
            <c:symbol val="circle"/>
            <c:size val="5"/>
            <c:spPr>
              <a:solidFill>
                <a:schemeClr val="accent6">
                  <a:lumMod val="50000"/>
                  <a:alpha val="6000"/>
                </a:schemeClr>
              </a:solidFill>
              <a:ln w="9525">
                <a:noFill/>
              </a:ln>
              <a:effectLst/>
            </c:spPr>
          </c:marker>
          <c:xVal>
            <c:numRef>
              <c:f>(Hoja1!$A$43,Hoja1!$A$47,Hoja1!$A$51,Hoja1!$A$55,Hoja1!$A$59,Hoja1!$A$63,Hoja1!$A$67)</c:f>
              <c:numCache>
                <c:formatCode>General</c:formatCode>
                <c:ptCount val="7"/>
                <c:pt idx="0">
                  <c:v>2015</c:v>
                </c:pt>
                <c:pt idx="1">
                  <c:v>2019</c:v>
                </c:pt>
                <c:pt idx="2">
                  <c:v>2023</c:v>
                </c:pt>
                <c:pt idx="3">
                  <c:v>2027</c:v>
                </c:pt>
                <c:pt idx="4">
                  <c:v>2031</c:v>
                </c:pt>
                <c:pt idx="5">
                  <c:v>2035</c:v>
                </c:pt>
                <c:pt idx="6">
                  <c:v>2039</c:v>
                </c:pt>
              </c:numCache>
            </c:numRef>
          </c:xVal>
          <c:yVal>
            <c:numRef>
              <c:f>(Hoja1!$B$43,Hoja1!$B$47,Hoja1!$B$51,Hoja1!$B$55,Hoja1!$B$59,Hoja1!$B$63,Hoja1!$B$67)</c:f>
              <c:numCache>
                <c:formatCode>General</c:formatCode>
                <c:ptCount val="7"/>
                <c:pt idx="0">
                  <c:v>15</c:v>
                </c:pt>
                <c:pt idx="1">
                  <c:v>30</c:v>
                </c:pt>
                <c:pt idx="2">
                  <c:v>60</c:v>
                </c:pt>
                <c:pt idx="3">
                  <c:v>120</c:v>
                </c:pt>
                <c:pt idx="4">
                  <c:v>240</c:v>
                </c:pt>
                <c:pt idx="5">
                  <c:v>480</c:v>
                </c:pt>
                <c:pt idx="6">
                  <c:v>960</c:v>
                </c:pt>
              </c:numCache>
            </c:numRef>
          </c:yVal>
          <c:smooth val="0"/>
          <c:extLst>
            <c:ext xmlns:c16="http://schemas.microsoft.com/office/drawing/2014/chart" uri="{C3380CC4-5D6E-409C-BE32-E72D297353CC}">
              <c16:uniqueId val="{00000008-160A-4C98-BE75-DF1940068907}"/>
            </c:ext>
          </c:extLst>
        </c:ser>
        <c:ser>
          <c:idx val="9"/>
          <c:order val="9"/>
          <c:tx>
            <c:strRef>
              <c:f>Hoja1!$D$72</c:f>
              <c:strCache>
                <c:ptCount val="1"/>
                <c:pt idx="0">
                  <c:v>x2/24M</c:v>
                </c:pt>
              </c:strCache>
            </c:strRef>
          </c:tx>
          <c:spPr>
            <a:ln w="25400" cap="rnd">
              <a:solidFill>
                <a:srgbClr val="FF0000">
                  <a:alpha val="21000"/>
                </a:srgbClr>
              </a:solidFill>
              <a:round/>
            </a:ln>
            <a:effectLst/>
          </c:spPr>
          <c:marker>
            <c:symbol val="circle"/>
            <c:size val="5"/>
            <c:spPr>
              <a:solidFill>
                <a:srgbClr val="FF0000">
                  <a:alpha val="4000"/>
                </a:srgbClr>
              </a:solidFill>
              <a:ln w="9525">
                <a:noFill/>
              </a:ln>
              <a:effectLst/>
            </c:spPr>
          </c:marker>
          <c:xVal>
            <c:numRef>
              <c:f>(Hoja1!$A$73,Hoja1!$A$75,Hoja1!$A$77,Hoja1!$A$79,Hoja1!$A$81,Hoja1!$A$83,Hoja1!$A$85,Hoja1!$A$87,Hoja1!$A$89,Hoja1!$A$91,Hoja1!$A$93)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(Hoja1!$D$73,Hoja1!$D$75,Hoja1!$D$77,Hoja1!$D$79,Hoja1!$D$81,Hoja1!$D$83,Hoja1!$D$85,Hoja1!$D$87,Hoja1!$D$89,Hoja1!$D$91,Hoja1!$D$93)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160A-4C98-BE75-DF194006890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max val="1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b"/>
      <c:layout>
        <c:manualLayout>
          <c:xMode val="edge"/>
          <c:yMode val="edge"/>
          <c:x val="0.62407283821795523"/>
          <c:y val="0.48777861855411259"/>
          <c:w val="0.34564206283425608"/>
          <c:h val="0.32623239447188063"/>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73422007421952251"/>
        </c:manualLayout>
      </c:layout>
      <c:scatterChart>
        <c:scatterStyle val="lineMarker"/>
        <c:varyColors val="0"/>
        <c:ser>
          <c:idx val="0"/>
          <c:order val="0"/>
          <c:tx>
            <c:v>GP-Meshes</c:v>
          </c:tx>
          <c:spPr>
            <a:ln w="25400" cap="rnd">
              <a:noFill/>
              <a:round/>
            </a:ln>
            <a:effectLst/>
          </c:spPr>
          <c:marker>
            <c:symbol val="circle"/>
            <c:size val="5"/>
            <c:spPr>
              <a:solidFill>
                <a:schemeClr val="accent1"/>
              </a:solidFill>
              <a:ln w="9525">
                <a:solidFill>
                  <a:schemeClr val="accent1"/>
                </a:solidFill>
              </a:ln>
              <a:effectLst/>
            </c:spPr>
          </c:marker>
          <c:xVal>
            <c:numRef>
              <c:f>'Waveguide meshes'!$A$2:$A$27</c:f>
              <c:numCache>
                <c:formatCode>General</c:formatCode>
                <c:ptCount val="22"/>
                <c:pt idx="0">
                  <c:v>2015</c:v>
                </c:pt>
                <c:pt idx="1">
                  <c:v>2016</c:v>
                </c:pt>
                <c:pt idx="2">
                  <c:v>2017</c:v>
                </c:pt>
                <c:pt idx="3">
                  <c:v>2018</c:v>
                </c:pt>
                <c:pt idx="4">
                  <c:v>2020</c:v>
                </c:pt>
                <c:pt idx="5">
                  <c:v>2020</c:v>
                </c:pt>
                <c:pt idx="6">
                  <c:v>2021</c:v>
                </c:pt>
                <c:pt idx="7">
                  <c:v>2021</c:v>
                </c:pt>
                <c:pt idx="8">
                  <c:v>2021</c:v>
                </c:pt>
                <c:pt idx="9">
                  <c:v>2021</c:v>
                </c:pt>
                <c:pt idx="10">
                  <c:v>2021</c:v>
                </c:pt>
                <c:pt idx="11">
                  <c:v>2021</c:v>
                </c:pt>
                <c:pt idx="12">
                  <c:v>2021</c:v>
                </c:pt>
                <c:pt idx="13">
                  <c:v>2021</c:v>
                </c:pt>
              </c:numCache>
            </c:numRef>
          </c:xVal>
          <c:yVal>
            <c:numRef>
              <c:f>'Waveguide meshes'!$P$2:$P$27</c:f>
              <c:numCache>
                <c:formatCode>General</c:formatCode>
                <c:ptCount val="22"/>
                <c:pt idx="1">
                  <c:v>0.26666666666666666</c:v>
                </c:pt>
                <c:pt idx="4">
                  <c:v>3.9256198347107438</c:v>
                </c:pt>
                <c:pt idx="5">
                  <c:v>199.99999999999997</c:v>
                </c:pt>
                <c:pt idx="7">
                  <c:v>0.9</c:v>
                </c:pt>
                <c:pt idx="11">
                  <c:v>1.9136212624584719</c:v>
                </c:pt>
                <c:pt idx="12">
                  <c:v>1.140343000808117</c:v>
                </c:pt>
              </c:numCache>
            </c:numRef>
          </c:yVal>
          <c:smooth val="0"/>
          <c:extLst>
            <c:ext xmlns:c16="http://schemas.microsoft.com/office/drawing/2014/chart" uri="{C3380CC4-5D6E-409C-BE32-E72D297353CC}">
              <c16:uniqueId val="{00000000-A64D-4DB2-8A01-FAA6E9E90EA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Feedfoward!$A$2:$A$30</c:f>
              <c:numCache>
                <c:formatCode>General</c:formatCode>
                <c:ptCount val="29"/>
                <c:pt idx="1">
                  <c:v>2016</c:v>
                </c:pt>
                <c:pt idx="2">
                  <c:v>2016</c:v>
                </c:pt>
                <c:pt idx="3">
                  <c:v>2017</c:v>
                </c:pt>
                <c:pt idx="4">
                  <c:v>2017</c:v>
                </c:pt>
                <c:pt idx="5">
                  <c:v>2017</c:v>
                </c:pt>
                <c:pt idx="6">
                  <c:v>2018</c:v>
                </c:pt>
                <c:pt idx="7">
                  <c:v>2019</c:v>
                </c:pt>
                <c:pt idx="8">
                  <c:v>2019</c:v>
                </c:pt>
                <c:pt idx="9">
                  <c:v>2020</c:v>
                </c:pt>
                <c:pt idx="10">
                  <c:v>2021</c:v>
                </c:pt>
                <c:pt idx="11">
                  <c:v>2021</c:v>
                </c:pt>
                <c:pt idx="12">
                  <c:v>2021</c:v>
                </c:pt>
                <c:pt idx="13">
                  <c:v>2021</c:v>
                </c:pt>
                <c:pt idx="14">
                  <c:v>2021</c:v>
                </c:pt>
                <c:pt idx="15">
                  <c:v>2021</c:v>
                </c:pt>
                <c:pt idx="16">
                  <c:v>2021</c:v>
                </c:pt>
              </c:numCache>
            </c:numRef>
          </c:xVal>
          <c:yVal>
            <c:numRef>
              <c:f>Feedfoward!$R$2:$R$31</c:f>
              <c:numCache>
                <c:formatCode>0.00</c:formatCode>
                <c:ptCount val="30"/>
                <c:pt idx="2">
                  <c:v>6</c:v>
                </c:pt>
                <c:pt idx="3">
                  <c:v>2.3166023166023169</c:v>
                </c:pt>
                <c:pt idx="4">
                  <c:v>19.4905869324474</c:v>
                </c:pt>
                <c:pt idx="5">
                  <c:v>12.121212121212119</c:v>
                </c:pt>
                <c:pt idx="6">
                  <c:v>6.9025021570319245</c:v>
                </c:pt>
                <c:pt idx="7">
                  <c:v>4.9230769230769234</c:v>
                </c:pt>
                <c:pt idx="8">
                  <c:v>0</c:v>
                </c:pt>
                <c:pt idx="10">
                  <c:v>0.3</c:v>
                </c:pt>
                <c:pt idx="11">
                  <c:v>17.421275934249422</c:v>
                </c:pt>
                <c:pt idx="12">
                  <c:v>3.5</c:v>
                </c:pt>
                <c:pt idx="14">
                  <c:v>2.9143897996357011</c:v>
                </c:pt>
                <c:pt idx="15">
                  <c:v>2.6666666666666665</c:v>
                </c:pt>
                <c:pt idx="16">
                  <c:v>0.15625</c:v>
                </c:pt>
              </c:numCache>
            </c:numRef>
          </c:yVal>
          <c:smooth val="0"/>
          <c:extLst>
            <c:ext xmlns:c16="http://schemas.microsoft.com/office/drawing/2014/chart" uri="{C3380CC4-5D6E-409C-BE32-E72D297353CC}">
              <c16:uniqueId val="{00000001-A64D-4DB2-8A01-FAA6E9E90EA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OpticalSwitches!$A$4:$A$33</c:f>
              <c:numCache>
                <c:formatCode>General</c:formatCode>
                <c:ptCount val="30"/>
                <c:pt idx="0">
                  <c:v>2015</c:v>
                </c:pt>
                <c:pt idx="1">
                  <c:v>2016</c:v>
                </c:pt>
                <c:pt idx="2">
                  <c:v>2017</c:v>
                </c:pt>
                <c:pt idx="3">
                  <c:v>2018</c:v>
                </c:pt>
                <c:pt idx="4">
                  <c:v>2018</c:v>
                </c:pt>
                <c:pt idx="5">
                  <c:v>2019</c:v>
                </c:pt>
                <c:pt idx="6">
                  <c:v>2019</c:v>
                </c:pt>
                <c:pt idx="7">
                  <c:v>2019</c:v>
                </c:pt>
                <c:pt idx="8">
                  <c:v>2020</c:v>
                </c:pt>
              </c:numCache>
            </c:numRef>
          </c:xVal>
          <c:yVal>
            <c:numRef>
              <c:f>OpticalSwitches!$P$4:$P$24</c:f>
              <c:numCache>
                <c:formatCode>General</c:formatCode>
                <c:ptCount val="21"/>
                <c:pt idx="0">
                  <c:v>25</c:v>
                </c:pt>
                <c:pt idx="5">
                  <c:v>5.5</c:v>
                </c:pt>
                <c:pt idx="6">
                  <c:v>26</c:v>
                </c:pt>
                <c:pt idx="7">
                  <c:v>26</c:v>
                </c:pt>
                <c:pt idx="8">
                  <c:v>14</c:v>
                </c:pt>
              </c:numCache>
            </c:numRef>
          </c:yVal>
          <c:smooth val="0"/>
          <c:extLst>
            <c:ext xmlns:c16="http://schemas.microsoft.com/office/drawing/2014/chart" uri="{C3380CC4-5D6E-409C-BE32-E72D297353CC}">
              <c16:uniqueId val="{00000002-A64D-4DB2-8A01-FAA6E9E90EA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devices'!$A$2:$A$61</c:f>
              <c:numCache>
                <c:formatCode>General</c:formatCode>
                <c:ptCount val="60"/>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2019</c:v>
                </c:pt>
                <c:pt idx="43">
                  <c:v>2019</c:v>
                </c:pt>
                <c:pt idx="44">
                  <c:v>2019</c:v>
                </c:pt>
                <c:pt idx="45">
                  <c:v>2019</c:v>
                </c:pt>
                <c:pt idx="46">
                  <c:v>2019</c:v>
                </c:pt>
                <c:pt idx="47">
                  <c:v>2019</c:v>
                </c:pt>
                <c:pt idx="48">
                  <c:v>2019</c:v>
                </c:pt>
                <c:pt idx="49">
                  <c:v>2020</c:v>
                </c:pt>
                <c:pt idx="50">
                  <c:v>2020</c:v>
                </c:pt>
                <c:pt idx="51">
                  <c:v>2021</c:v>
                </c:pt>
                <c:pt idx="52">
                  <c:v>2021</c:v>
                </c:pt>
              </c:numCache>
            </c:numRef>
          </c:xVal>
          <c:yVal>
            <c:numRef>
              <c:f>'Other Reconfigurable devices'!$R$2:$R$61</c:f>
              <c:numCache>
                <c:formatCode>General</c:formatCode>
                <c:ptCount val="60"/>
                <c:pt idx="0">
                  <c:v>37.5</c:v>
                </c:pt>
                <c:pt idx="1">
                  <c:v>0.05</c:v>
                </c:pt>
                <c:pt idx="2">
                  <c:v>0.53333333333333333</c:v>
                </c:pt>
                <c:pt idx="3">
                  <c:v>2.2222222222222223</c:v>
                </c:pt>
                <c:pt idx="4">
                  <c:v>1.1428571428571428</c:v>
                </c:pt>
                <c:pt idx="5">
                  <c:v>0</c:v>
                </c:pt>
                <c:pt idx="6">
                  <c:v>4.3797348484848481E-2</c:v>
                </c:pt>
                <c:pt idx="7">
                  <c:v>0</c:v>
                </c:pt>
                <c:pt idx="8">
                  <c:v>0</c:v>
                </c:pt>
                <c:pt idx="9">
                  <c:v>4.5925925925925926</c:v>
                </c:pt>
                <c:pt idx="10">
                  <c:v>0.3401360544217687</c:v>
                </c:pt>
                <c:pt idx="11">
                  <c:v>0.33333333333333331</c:v>
                </c:pt>
                <c:pt idx="12">
                  <c:v>0.1</c:v>
                </c:pt>
                <c:pt idx="13">
                  <c:v>0.265625</c:v>
                </c:pt>
                <c:pt idx="14">
                  <c:v>0.84951456310679607</c:v>
                </c:pt>
                <c:pt idx="15">
                  <c:v>37.037037037037038</c:v>
                </c:pt>
                <c:pt idx="16">
                  <c:v>1.3333333333333333</c:v>
                </c:pt>
                <c:pt idx="17">
                  <c:v>1.30718954248366E-3</c:v>
                </c:pt>
                <c:pt idx="18">
                  <c:v>192.90123456790127</c:v>
                </c:pt>
                <c:pt idx="19">
                  <c:v>1.8581081081081079</c:v>
                </c:pt>
                <c:pt idx="20">
                  <c:v>0.33333333333333331</c:v>
                </c:pt>
                <c:pt idx="21">
                  <c:v>0.1</c:v>
                </c:pt>
                <c:pt idx="22">
                  <c:v>0</c:v>
                </c:pt>
                <c:pt idx="23">
                  <c:v>0</c:v>
                </c:pt>
                <c:pt idx="24">
                  <c:v>0.92753623188405798</c:v>
                </c:pt>
                <c:pt idx="25">
                  <c:v>21.333333333333332</c:v>
                </c:pt>
                <c:pt idx="26">
                  <c:v>0.18181818181818182</c:v>
                </c:pt>
                <c:pt idx="27">
                  <c:v>208.33333333333334</c:v>
                </c:pt>
                <c:pt idx="28">
                  <c:v>0</c:v>
                </c:pt>
                <c:pt idx="29">
                  <c:v>7</c:v>
                </c:pt>
                <c:pt idx="30">
                  <c:v>0</c:v>
                </c:pt>
                <c:pt idx="31">
                  <c:v>0</c:v>
                </c:pt>
                <c:pt idx="33">
                  <c:v>0</c:v>
                </c:pt>
                <c:pt idx="34">
                  <c:v>0.45714285714285713</c:v>
                </c:pt>
                <c:pt idx="35">
                  <c:v>0.140625</c:v>
                </c:pt>
                <c:pt idx="36">
                  <c:v>3.5519125683060109</c:v>
                </c:pt>
                <c:pt idx="37">
                  <c:v>37.280701754385959</c:v>
                </c:pt>
                <c:pt idx="38">
                  <c:v>0.34444444444444444</c:v>
                </c:pt>
                <c:pt idx="39">
                  <c:v>6.9636670670775231</c:v>
                </c:pt>
                <c:pt idx="40">
                  <c:v>3.7162162162162158</c:v>
                </c:pt>
                <c:pt idx="41">
                  <c:v>0</c:v>
                </c:pt>
                <c:pt idx="42">
                  <c:v>0.7372510228861715</c:v>
                </c:pt>
                <c:pt idx="43">
                  <c:v>0</c:v>
                </c:pt>
                <c:pt idx="44">
                  <c:v>32</c:v>
                </c:pt>
                <c:pt idx="45">
                  <c:v>16.842105263157894</c:v>
                </c:pt>
                <c:pt idx="46">
                  <c:v>69.230769230769226</c:v>
                </c:pt>
                <c:pt idx="47">
                  <c:v>0</c:v>
                </c:pt>
                <c:pt idx="48">
                  <c:v>0.1</c:v>
                </c:pt>
                <c:pt idx="49">
                  <c:v>3.7386322214018004</c:v>
                </c:pt>
                <c:pt idx="50">
                  <c:v>4.2666666666666666</c:v>
                </c:pt>
                <c:pt idx="52">
                  <c:v>0.79012345679012341</c:v>
                </c:pt>
              </c:numCache>
            </c:numRef>
          </c:yVal>
          <c:smooth val="0"/>
          <c:extLst>
            <c:ext xmlns:c16="http://schemas.microsoft.com/office/drawing/2014/chart" uri="{C3380CC4-5D6E-409C-BE32-E72D297353CC}">
              <c16:uniqueId val="{00000003-A64D-4DB2-8A01-FAA6E9E90EA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At val="1.0000000000000002E-3"/>
        <c:crossBetween val="midCat"/>
      </c:valAx>
      <c:valAx>
        <c:axId val="463821432"/>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Actuators/mm2</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b"/>
      <c:layout>
        <c:manualLayout>
          <c:xMode val="edge"/>
          <c:yMode val="edge"/>
          <c:x val="0.65241986172218724"/>
          <c:y val="0.50574601983534262"/>
          <c:w val="0.276277225725162"/>
          <c:h val="0.32417441226648164"/>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3"/>
            <c:spPr>
              <a:solidFill>
                <a:schemeClr val="accent1"/>
              </a:solidFill>
              <a:ln w="9525">
                <a:solidFill>
                  <a:schemeClr val="accent1"/>
                </a:solidFill>
              </a:ln>
              <a:effectLst/>
            </c:spPr>
          </c:marker>
          <c:dPt>
            <c:idx val="7"/>
            <c:marker>
              <c:symbol val="circle"/>
              <c:size val="3"/>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57D2-4C41-9156-3CBD1CB05296}"/>
              </c:ext>
            </c:extLst>
          </c:dPt>
          <c:dPt>
            <c:idx val="11"/>
            <c:marker>
              <c:symbol val="circle"/>
              <c:size val="3"/>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57D2-4C41-9156-3CBD1CB05296}"/>
              </c:ext>
            </c:extLst>
          </c:dPt>
          <c:dPt>
            <c:idx val="12"/>
            <c:marker>
              <c:symbol val="circle"/>
              <c:size val="3"/>
              <c:spPr>
                <a:solidFill>
                  <a:schemeClr val="accent5">
                    <a:lumMod val="40000"/>
                    <a:lumOff val="60000"/>
                  </a:schemeClr>
                </a:solidFill>
                <a:ln w="9525">
                  <a:solidFill>
                    <a:schemeClr val="accent5">
                      <a:lumMod val="40000"/>
                      <a:lumOff val="6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57D2-4C41-9156-3CBD1CB05296}"/>
              </c:ext>
            </c:extLst>
          </c:dPt>
          <c:dPt>
            <c:idx val="15"/>
            <c:marker>
              <c:symbol val="circle"/>
              <c:size val="3"/>
              <c:spPr>
                <a:solidFill>
                  <a:srgbClr val="FF0000"/>
                </a:solidFill>
                <a:ln w="9525" cap="sq">
                  <a:solidFill>
                    <a:schemeClr val="tx1">
                      <a:alpha val="99000"/>
                    </a:schemeClr>
                  </a:solidFill>
                  <a:bevel/>
                </a:ln>
                <a:effectLst/>
              </c:spPr>
            </c:marker>
            <c:bubble3D val="0"/>
            <c:extLst>
              <c:ext xmlns:c16="http://schemas.microsoft.com/office/drawing/2014/chart" uri="{C3380CC4-5D6E-409C-BE32-E72D297353CC}">
                <c16:uniqueId val="{00000005-57D2-4C41-9156-3CBD1CB05296}"/>
              </c:ext>
            </c:extLst>
          </c:dPt>
          <c:dPt>
            <c:idx val="16"/>
            <c:marker>
              <c:symbol val="circle"/>
              <c:size val="3"/>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7-57D2-4C41-9156-3CBD1CB05296}"/>
              </c:ext>
            </c:extLst>
          </c:dPt>
          <c:xVal>
            <c:numRef>
              <c:f>'Waveguide meshes'!$A$2:$A$22</c:f>
              <c:numCache>
                <c:formatCode>General</c:formatCode>
                <c:ptCount val="17"/>
                <c:pt idx="0">
                  <c:v>2015</c:v>
                </c:pt>
                <c:pt idx="1">
                  <c:v>2016</c:v>
                </c:pt>
                <c:pt idx="2">
                  <c:v>2017</c:v>
                </c:pt>
                <c:pt idx="3">
                  <c:v>2018</c:v>
                </c:pt>
                <c:pt idx="4">
                  <c:v>2020</c:v>
                </c:pt>
                <c:pt idx="5">
                  <c:v>2020</c:v>
                </c:pt>
                <c:pt idx="6">
                  <c:v>2021</c:v>
                </c:pt>
                <c:pt idx="7">
                  <c:v>2021</c:v>
                </c:pt>
                <c:pt idx="8">
                  <c:v>2021</c:v>
                </c:pt>
                <c:pt idx="9">
                  <c:v>2021</c:v>
                </c:pt>
                <c:pt idx="10">
                  <c:v>2021</c:v>
                </c:pt>
                <c:pt idx="11">
                  <c:v>2021</c:v>
                </c:pt>
                <c:pt idx="12">
                  <c:v>2021</c:v>
                </c:pt>
                <c:pt idx="13">
                  <c:v>2021</c:v>
                </c:pt>
              </c:numCache>
            </c:numRef>
          </c:xVal>
          <c:yVal>
            <c:numRef>
              <c:f>'Waveguide meshes'!$D$2:$D$22</c:f>
              <c:numCache>
                <c:formatCode>General</c:formatCode>
                <c:ptCount val="17"/>
                <c:pt idx="0">
                  <c:v>14</c:v>
                </c:pt>
                <c:pt idx="1">
                  <c:v>60</c:v>
                </c:pt>
                <c:pt idx="2">
                  <c:v>80</c:v>
                </c:pt>
                <c:pt idx="3">
                  <c:v>10</c:v>
                </c:pt>
                <c:pt idx="4">
                  <c:v>19</c:v>
                </c:pt>
                <c:pt idx="5">
                  <c:v>32</c:v>
                </c:pt>
                <c:pt idx="6">
                  <c:v>200</c:v>
                </c:pt>
                <c:pt idx="7">
                  <c:v>90</c:v>
                </c:pt>
                <c:pt idx="8">
                  <c:v>336</c:v>
                </c:pt>
                <c:pt idx="9">
                  <c:v>400</c:v>
                </c:pt>
                <c:pt idx="10">
                  <c:v>344</c:v>
                </c:pt>
                <c:pt idx="11">
                  <c:v>576</c:v>
                </c:pt>
                <c:pt idx="12">
                  <c:v>508</c:v>
                </c:pt>
                <c:pt idx="13">
                  <c:v>154</c:v>
                </c:pt>
              </c:numCache>
            </c:numRef>
          </c:yVal>
          <c:smooth val="0"/>
          <c:extLst>
            <c:ext xmlns:c16="http://schemas.microsoft.com/office/drawing/2014/chart" uri="{C3380CC4-5D6E-409C-BE32-E72D297353CC}">
              <c16:uniqueId val="{00000008-57D2-4C41-9156-3CBD1CB05296}"/>
            </c:ext>
          </c:extLst>
        </c:ser>
        <c:ser>
          <c:idx val="1"/>
          <c:order val="1"/>
          <c:tx>
            <c:v>Multiport Interferometers</c:v>
          </c:tx>
          <c:spPr>
            <a:ln w="25400" cap="rnd">
              <a:noFill/>
              <a:round/>
            </a:ln>
            <a:effectLst/>
          </c:spPr>
          <c:marker>
            <c:symbol val="square"/>
            <c:size val="3"/>
            <c:spPr>
              <a:solidFill>
                <a:srgbClr val="7030A0"/>
              </a:solidFill>
              <a:ln w="9525">
                <a:solidFill>
                  <a:srgbClr val="7030A0"/>
                </a:solidFill>
              </a:ln>
              <a:effectLst/>
            </c:spPr>
          </c:marker>
          <c:dPt>
            <c:idx val="10"/>
            <c:marker>
              <c:symbol val="square"/>
              <c:size val="3"/>
              <c:spPr>
                <a:solidFill>
                  <a:srgbClr val="D5B8EA"/>
                </a:solidFill>
                <a:ln w="9525">
                  <a:solidFill>
                    <a:srgbClr val="7030A0"/>
                  </a:solidFill>
                </a:ln>
                <a:effectLst/>
              </c:spPr>
            </c:marker>
            <c:bubble3D val="0"/>
            <c:extLst>
              <c:ext xmlns:c16="http://schemas.microsoft.com/office/drawing/2014/chart" uri="{C3380CC4-5D6E-409C-BE32-E72D297353CC}">
                <c16:uniqueId val="{00000008-52BB-406F-9C86-BFE0286EAC74}"/>
              </c:ext>
            </c:extLst>
          </c:dPt>
          <c:xVal>
            <c:numRef>
              <c:f>Feedfoward!$A$3:$A$20</c:f>
              <c:numCache>
                <c:formatCode>General</c:formatCode>
                <c:ptCount val="18"/>
                <c:pt idx="0">
                  <c:v>2016</c:v>
                </c:pt>
                <c:pt idx="1">
                  <c:v>2016</c:v>
                </c:pt>
                <c:pt idx="2">
                  <c:v>2017</c:v>
                </c:pt>
                <c:pt idx="3">
                  <c:v>2017</c:v>
                </c:pt>
                <c:pt idx="4">
                  <c:v>2017</c:v>
                </c:pt>
                <c:pt idx="5">
                  <c:v>2018</c:v>
                </c:pt>
                <c:pt idx="6">
                  <c:v>2019</c:v>
                </c:pt>
                <c:pt idx="7">
                  <c:v>2019</c:v>
                </c:pt>
                <c:pt idx="8">
                  <c:v>2020</c:v>
                </c:pt>
                <c:pt idx="9">
                  <c:v>2021</c:v>
                </c:pt>
                <c:pt idx="10">
                  <c:v>2021</c:v>
                </c:pt>
                <c:pt idx="11">
                  <c:v>2021</c:v>
                </c:pt>
                <c:pt idx="12">
                  <c:v>2021</c:v>
                </c:pt>
                <c:pt idx="13">
                  <c:v>2021</c:v>
                </c:pt>
                <c:pt idx="14">
                  <c:v>2021</c:v>
                </c:pt>
                <c:pt idx="15">
                  <c:v>2021</c:v>
                </c:pt>
              </c:numCache>
            </c:numRef>
          </c:xVal>
          <c:yVal>
            <c:numRef>
              <c:f>Feedfoward!$D$3:$D$20</c:f>
              <c:numCache>
                <c:formatCode>General</c:formatCode>
                <c:ptCount val="18"/>
                <c:pt idx="0">
                  <c:v>30</c:v>
                </c:pt>
                <c:pt idx="1">
                  <c:v>18</c:v>
                </c:pt>
                <c:pt idx="2">
                  <c:v>12</c:v>
                </c:pt>
                <c:pt idx="3">
                  <c:v>176</c:v>
                </c:pt>
                <c:pt idx="4">
                  <c:v>112</c:v>
                </c:pt>
                <c:pt idx="5">
                  <c:v>120</c:v>
                </c:pt>
                <c:pt idx="6">
                  <c:v>48</c:v>
                </c:pt>
                <c:pt idx="7">
                  <c:v>20</c:v>
                </c:pt>
                <c:pt idx="8">
                  <c:v>4096</c:v>
                </c:pt>
                <c:pt idx="9">
                  <c:v>12</c:v>
                </c:pt>
                <c:pt idx="10">
                  <c:v>1300</c:v>
                </c:pt>
                <c:pt idx="11">
                  <c:v>56</c:v>
                </c:pt>
                <c:pt idx="12">
                  <c:v>32</c:v>
                </c:pt>
                <c:pt idx="13">
                  <c:v>128</c:v>
                </c:pt>
                <c:pt idx="14">
                  <c:v>20</c:v>
                </c:pt>
                <c:pt idx="15">
                  <c:v>20</c:v>
                </c:pt>
              </c:numCache>
            </c:numRef>
          </c:yVal>
          <c:smooth val="0"/>
          <c:extLst>
            <c:ext xmlns:c16="http://schemas.microsoft.com/office/drawing/2014/chart" uri="{C3380CC4-5D6E-409C-BE32-E72D297353CC}">
              <c16:uniqueId val="{0000000A-57D2-4C41-9156-3CBD1CB05296}"/>
            </c:ext>
          </c:extLst>
        </c:ser>
        <c:ser>
          <c:idx val="2"/>
          <c:order val="2"/>
          <c:tx>
            <c:v>Transistors</c:v>
          </c:tx>
          <c:spPr>
            <a:ln w="25400" cap="rnd">
              <a:noFill/>
              <a:round/>
            </a:ln>
            <a:effectLst/>
          </c:spPr>
          <c:marker>
            <c:symbol val="circle"/>
            <c:size val="3"/>
            <c:spPr>
              <a:solidFill>
                <a:schemeClr val="accent2"/>
              </a:solidFill>
              <a:ln w="9525">
                <a:solidFill>
                  <a:schemeClr val="accent2"/>
                </a:solidFill>
              </a:ln>
              <a:effectLst/>
            </c:spPr>
          </c:marker>
          <c:xVal>
            <c:numRef>
              <c:f>Transistors!$A:$A</c:f>
              <c:numCache>
                <c:formatCode>General</c:formatCode>
                <c:ptCount val="1048576"/>
                <c:pt idx="1">
                  <c:v>1970</c:v>
                </c:pt>
                <c:pt idx="2">
                  <c:v>1971</c:v>
                </c:pt>
                <c:pt idx="3">
                  <c:v>1972</c:v>
                </c:pt>
                <c:pt idx="4">
                  <c:v>1973</c:v>
                </c:pt>
                <c:pt idx="5">
                  <c:v>1973</c:v>
                </c:pt>
                <c:pt idx="6">
                  <c:v>1974</c:v>
                </c:pt>
                <c:pt idx="7">
                  <c:v>1974</c:v>
                </c:pt>
                <c:pt idx="8">
                  <c:v>1974</c:v>
                </c:pt>
                <c:pt idx="9">
                  <c:v>1974</c:v>
                </c:pt>
                <c:pt idx="10">
                  <c:v>1975</c:v>
                </c:pt>
                <c:pt idx="11">
                  <c:v>1975</c:v>
                </c:pt>
                <c:pt idx="12">
                  <c:v>1975</c:v>
                </c:pt>
                <c:pt idx="13">
                  <c:v>1976</c:v>
                </c:pt>
                <c:pt idx="14">
                  <c:v>1976</c:v>
                </c:pt>
                <c:pt idx="15">
                  <c:v>1976</c:v>
                </c:pt>
                <c:pt idx="16">
                  <c:v>1976</c:v>
                </c:pt>
                <c:pt idx="17">
                  <c:v>1977</c:v>
                </c:pt>
                <c:pt idx="18">
                  <c:v>1977</c:v>
                </c:pt>
                <c:pt idx="19">
                  <c:v>1978</c:v>
                </c:pt>
                <c:pt idx="20">
                  <c:v>1978</c:v>
                </c:pt>
                <c:pt idx="21">
                  <c:v>1979</c:v>
                </c:pt>
                <c:pt idx="22">
                  <c:v>1979</c:v>
                </c:pt>
                <c:pt idx="23">
                  <c:v>1979</c:v>
                </c:pt>
                <c:pt idx="24">
                  <c:v>1980</c:v>
                </c:pt>
                <c:pt idx="25">
                  <c:v>1981</c:v>
                </c:pt>
                <c:pt idx="26">
                  <c:v>1981</c:v>
                </c:pt>
                <c:pt idx="27">
                  <c:v>1982</c:v>
                </c:pt>
                <c:pt idx="28">
                  <c:v>1982</c:v>
                </c:pt>
                <c:pt idx="29">
                  <c:v>1983</c:v>
                </c:pt>
                <c:pt idx="30">
                  <c:v>1984</c:v>
                </c:pt>
                <c:pt idx="31">
                  <c:v>1984</c:v>
                </c:pt>
                <c:pt idx="32">
                  <c:v>1985</c:v>
                </c:pt>
                <c:pt idx="33">
                  <c:v>1985</c:v>
                </c:pt>
                <c:pt idx="34">
                  <c:v>1985</c:v>
                </c:pt>
                <c:pt idx="35">
                  <c:v>1986</c:v>
                </c:pt>
                <c:pt idx="36">
                  <c:v>1986</c:v>
                </c:pt>
                <c:pt idx="37">
                  <c:v>1986</c:v>
                </c:pt>
                <c:pt idx="38">
                  <c:v>1986</c:v>
                </c:pt>
                <c:pt idx="39">
                  <c:v>1987</c:v>
                </c:pt>
                <c:pt idx="40">
                  <c:v>1987</c:v>
                </c:pt>
                <c:pt idx="41">
                  <c:v>1987</c:v>
                </c:pt>
                <c:pt idx="42">
                  <c:v>1987</c:v>
                </c:pt>
                <c:pt idx="43">
                  <c:v>1988</c:v>
                </c:pt>
                <c:pt idx="44">
                  <c:v>1988</c:v>
                </c:pt>
                <c:pt idx="45">
                  <c:v>1989</c:v>
                </c:pt>
                <c:pt idx="46">
                  <c:v>1989</c:v>
                </c:pt>
                <c:pt idx="47">
                  <c:v>1989</c:v>
                </c:pt>
                <c:pt idx="48">
                  <c:v>1989</c:v>
                </c:pt>
                <c:pt idx="49">
                  <c:v>1990</c:v>
                </c:pt>
                <c:pt idx="50">
                  <c:v>1991</c:v>
                </c:pt>
                <c:pt idx="51">
                  <c:v>1991</c:v>
                </c:pt>
                <c:pt idx="52">
                  <c:v>1992</c:v>
                </c:pt>
                <c:pt idx="53">
                  <c:v>1992</c:v>
                </c:pt>
                <c:pt idx="54">
                  <c:v>1992</c:v>
                </c:pt>
                <c:pt idx="55">
                  <c:v>1993</c:v>
                </c:pt>
                <c:pt idx="56">
                  <c:v>1993</c:v>
                </c:pt>
                <c:pt idx="57">
                  <c:v>1994</c:v>
                </c:pt>
                <c:pt idx="58">
                  <c:v>1994</c:v>
                </c:pt>
                <c:pt idx="59">
                  <c:v>1994</c:v>
                </c:pt>
                <c:pt idx="60">
                  <c:v>1995</c:v>
                </c:pt>
                <c:pt idx="61">
                  <c:v>1995</c:v>
                </c:pt>
                <c:pt idx="62">
                  <c:v>1996</c:v>
                </c:pt>
                <c:pt idx="63">
                  <c:v>1997</c:v>
                </c:pt>
                <c:pt idx="64">
                  <c:v>1997</c:v>
                </c:pt>
                <c:pt idx="65">
                  <c:v>1997</c:v>
                </c:pt>
                <c:pt idx="66">
                  <c:v>1997</c:v>
                </c:pt>
                <c:pt idx="67">
                  <c:v>1997</c:v>
                </c:pt>
                <c:pt idx="68">
                  <c:v>1998</c:v>
                </c:pt>
                <c:pt idx="69">
                  <c:v>1999</c:v>
                </c:pt>
                <c:pt idx="70">
                  <c:v>1999</c:v>
                </c:pt>
                <c:pt idx="71">
                  <c:v>1999</c:v>
                </c:pt>
                <c:pt idx="72">
                  <c:v>1999</c:v>
                </c:pt>
                <c:pt idx="73">
                  <c:v>1999</c:v>
                </c:pt>
                <c:pt idx="74">
                  <c:v>1999</c:v>
                </c:pt>
                <c:pt idx="75">
                  <c:v>2000</c:v>
                </c:pt>
                <c:pt idx="76">
                  <c:v>2000</c:v>
                </c:pt>
                <c:pt idx="77">
                  <c:v>2000</c:v>
                </c:pt>
                <c:pt idx="78">
                  <c:v>2001</c:v>
                </c:pt>
                <c:pt idx="79">
                  <c:v>2001</c:v>
                </c:pt>
                <c:pt idx="80">
                  <c:v>2002</c:v>
                </c:pt>
                <c:pt idx="81">
                  <c:v>2002</c:v>
                </c:pt>
                <c:pt idx="82">
                  <c:v>2003</c:v>
                </c:pt>
                <c:pt idx="83">
                  <c:v>2003</c:v>
                </c:pt>
                <c:pt idx="84">
                  <c:v>2003</c:v>
                </c:pt>
                <c:pt idx="85">
                  <c:v>2003</c:v>
                </c:pt>
                <c:pt idx="86">
                  <c:v>2004</c:v>
                </c:pt>
                <c:pt idx="87">
                  <c:v>2004</c:v>
                </c:pt>
                <c:pt idx="88">
                  <c:v>2004</c:v>
                </c:pt>
                <c:pt idx="89">
                  <c:v>2005</c:v>
                </c:pt>
                <c:pt idx="90">
                  <c:v>2005</c:v>
                </c:pt>
                <c:pt idx="91">
                  <c:v>2005</c:v>
                </c:pt>
                <c:pt idx="92">
                  <c:v>2005</c:v>
                </c:pt>
                <c:pt idx="93">
                  <c:v>2006</c:v>
                </c:pt>
                <c:pt idx="94">
                  <c:v>2006</c:v>
                </c:pt>
                <c:pt idx="95">
                  <c:v>2006</c:v>
                </c:pt>
                <c:pt idx="96">
                  <c:v>2006</c:v>
                </c:pt>
                <c:pt idx="97">
                  <c:v>2007</c:v>
                </c:pt>
                <c:pt idx="98">
                  <c:v>2007</c:v>
                </c:pt>
                <c:pt idx="99">
                  <c:v>2007</c:v>
                </c:pt>
                <c:pt idx="100">
                  <c:v>2007</c:v>
                </c:pt>
                <c:pt idx="101">
                  <c:v>2007</c:v>
                </c:pt>
                <c:pt idx="102">
                  <c:v>2007</c:v>
                </c:pt>
                <c:pt idx="103">
                  <c:v>2007</c:v>
                </c:pt>
                <c:pt idx="104">
                  <c:v>2008</c:v>
                </c:pt>
                <c:pt idx="105">
                  <c:v>2008</c:v>
                </c:pt>
                <c:pt idx="106">
                  <c:v>2008</c:v>
                </c:pt>
                <c:pt idx="107">
                  <c:v>2008</c:v>
                </c:pt>
                <c:pt idx="108">
                  <c:v>2008</c:v>
                </c:pt>
                <c:pt idx="109">
                  <c:v>2008</c:v>
                </c:pt>
                <c:pt idx="110">
                  <c:v>2009</c:v>
                </c:pt>
                <c:pt idx="111">
                  <c:v>2009</c:v>
                </c:pt>
                <c:pt idx="112">
                  <c:v>2010</c:v>
                </c:pt>
                <c:pt idx="113">
                  <c:v>2010</c:v>
                </c:pt>
                <c:pt idx="114">
                  <c:v>2010</c:v>
                </c:pt>
                <c:pt idx="115">
                  <c:v>2010</c:v>
                </c:pt>
                <c:pt idx="116">
                  <c:v>2010</c:v>
                </c:pt>
                <c:pt idx="117">
                  <c:v>2010</c:v>
                </c:pt>
                <c:pt idx="118">
                  <c:v>2011</c:v>
                </c:pt>
                <c:pt idx="119">
                  <c:v>2011</c:v>
                </c:pt>
                <c:pt idx="120">
                  <c:v>2011</c:v>
                </c:pt>
                <c:pt idx="122">
                  <c:v>2011</c:v>
                </c:pt>
                <c:pt idx="123">
                  <c:v>2012</c:v>
                </c:pt>
                <c:pt idx="124">
                  <c:v>2012</c:v>
                </c:pt>
                <c:pt idx="125">
                  <c:v>2012</c:v>
                </c:pt>
                <c:pt idx="126">
                  <c:v>2012</c:v>
                </c:pt>
                <c:pt idx="127">
                  <c:v>2012</c:v>
                </c:pt>
                <c:pt idx="128">
                  <c:v>2012</c:v>
                </c:pt>
                <c:pt idx="129">
                  <c:v>2012</c:v>
                </c:pt>
                <c:pt idx="130">
                  <c:v>2012</c:v>
                </c:pt>
                <c:pt idx="131">
                  <c:v>2012</c:v>
                </c:pt>
                <c:pt idx="132">
                  <c:v>2013</c:v>
                </c:pt>
                <c:pt idx="133">
                  <c:v>2013</c:v>
                </c:pt>
                <c:pt idx="134">
                  <c:v>2013</c:v>
                </c:pt>
                <c:pt idx="135">
                  <c:v>2013</c:v>
                </c:pt>
                <c:pt idx="136">
                  <c:v>2014</c:v>
                </c:pt>
                <c:pt idx="137">
                  <c:v>2014</c:v>
                </c:pt>
                <c:pt idx="138">
                  <c:v>2014</c:v>
                </c:pt>
                <c:pt idx="139">
                  <c:v>2014</c:v>
                </c:pt>
                <c:pt idx="140">
                  <c:v>2014</c:v>
                </c:pt>
                <c:pt idx="141">
                  <c:v>2014</c:v>
                </c:pt>
                <c:pt idx="142">
                  <c:v>2015</c:v>
                </c:pt>
                <c:pt idx="143">
                  <c:v>2015</c:v>
                </c:pt>
                <c:pt idx="144">
                  <c:v>2015</c:v>
                </c:pt>
                <c:pt idx="148">
                  <c:v>2015</c:v>
                </c:pt>
                <c:pt idx="149">
                  <c:v>2015</c:v>
                </c:pt>
                <c:pt idx="150">
                  <c:v>2015</c:v>
                </c:pt>
                <c:pt idx="151">
                  <c:v>2015</c:v>
                </c:pt>
                <c:pt idx="152">
                  <c:v>2016</c:v>
                </c:pt>
                <c:pt idx="153">
                  <c:v>2016</c:v>
                </c:pt>
                <c:pt idx="154">
                  <c:v>2016</c:v>
                </c:pt>
                <c:pt idx="155">
                  <c:v>2016</c:v>
                </c:pt>
                <c:pt idx="156">
                  <c:v>2016</c:v>
                </c:pt>
                <c:pt idx="157">
                  <c:v>2016</c:v>
                </c:pt>
                <c:pt idx="158">
                  <c:v>2016</c:v>
                </c:pt>
                <c:pt idx="159">
                  <c:v>2017</c:v>
                </c:pt>
                <c:pt idx="160">
                  <c:v>2017</c:v>
                </c:pt>
                <c:pt idx="161">
                  <c:v>2017</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2018</c:v>
                </c:pt>
                <c:pt idx="177">
                  <c:v>2018</c:v>
                </c:pt>
                <c:pt idx="178">
                  <c:v>2018</c:v>
                </c:pt>
                <c:pt idx="179">
                  <c:v>2018</c:v>
                </c:pt>
                <c:pt idx="180">
                  <c:v>2018</c:v>
                </c:pt>
                <c:pt idx="181">
                  <c:v>2018</c:v>
                </c:pt>
                <c:pt idx="182">
                  <c:v>2018</c:v>
                </c:pt>
                <c:pt idx="183">
                  <c:v>2018</c:v>
                </c:pt>
                <c:pt idx="184">
                  <c:v>2019</c:v>
                </c:pt>
                <c:pt idx="185">
                  <c:v>2018</c:v>
                </c:pt>
                <c:pt idx="186">
                  <c:v>2018</c:v>
                </c:pt>
                <c:pt idx="187">
                  <c:v>2018</c:v>
                </c:pt>
                <c:pt idx="188">
                  <c:v>2019</c:v>
                </c:pt>
                <c:pt idx="189">
                  <c:v>2019</c:v>
                </c:pt>
                <c:pt idx="190">
                  <c:v>2019</c:v>
                </c:pt>
                <c:pt idx="191">
                  <c:v>2019</c:v>
                </c:pt>
              </c:numCache>
            </c:numRef>
          </c:xVal>
          <c:yVal>
            <c:numRef>
              <c:f>Transistors!$B:$B</c:f>
              <c:numCache>
                <c:formatCode>General</c:formatCode>
                <c:ptCount val="1048576"/>
                <c:pt idx="1">
                  <c:v>0</c:v>
                </c:pt>
                <c:pt idx="2" formatCode="#,##0">
                  <c:v>2250</c:v>
                </c:pt>
                <c:pt idx="3" formatCode="#,##0">
                  <c:v>3500</c:v>
                </c:pt>
                <c:pt idx="4" formatCode="#,##0">
                  <c:v>2500</c:v>
                </c:pt>
                <c:pt idx="5" formatCode="#,##0">
                  <c:v>11000</c:v>
                </c:pt>
                <c:pt idx="6" formatCode="#,##0">
                  <c:v>3000</c:v>
                </c:pt>
                <c:pt idx="7" formatCode="#,##0">
                  <c:v>4100</c:v>
                </c:pt>
                <c:pt idx="8" formatCode="#,##0">
                  <c:v>6000</c:v>
                </c:pt>
                <c:pt idx="9" formatCode="#,##0">
                  <c:v>8000</c:v>
                </c:pt>
                <c:pt idx="10" formatCode="#,##0">
                  <c:v>4528</c:v>
                </c:pt>
                <c:pt idx="11" formatCode="#,##0">
                  <c:v>4000</c:v>
                </c:pt>
                <c:pt idx="12" formatCode="#,##0">
                  <c:v>5000</c:v>
                </c:pt>
                <c:pt idx="13" formatCode="#,##0">
                  <c:v>5000</c:v>
                </c:pt>
                <c:pt idx="14" formatCode="#,##0">
                  <c:v>8500</c:v>
                </c:pt>
                <c:pt idx="15" formatCode="#,##0">
                  <c:v>6500</c:v>
                </c:pt>
                <c:pt idx="16" formatCode="#,##0">
                  <c:v>8000</c:v>
                </c:pt>
                <c:pt idx="17">
                  <c:v>0</c:v>
                </c:pt>
                <c:pt idx="18" formatCode="#,##0">
                  <c:v>7000</c:v>
                </c:pt>
                <c:pt idx="19" formatCode="#,##0">
                  <c:v>9000</c:v>
                </c:pt>
                <c:pt idx="20" formatCode="#,##0">
                  <c:v>29000</c:v>
                </c:pt>
                <c:pt idx="21" formatCode="#,##0">
                  <c:v>17500</c:v>
                </c:pt>
                <c:pt idx="22" formatCode="#,##0">
                  <c:v>29000</c:v>
                </c:pt>
                <c:pt idx="23" formatCode="#,##0">
                  <c:v>68000</c:v>
                </c:pt>
                <c:pt idx="24" formatCode="#,##0">
                  <c:v>50000</c:v>
                </c:pt>
                <c:pt idx="25" formatCode="#,##0">
                  <c:v>11500</c:v>
                </c:pt>
                <c:pt idx="26" formatCode="#,##0">
                  <c:v>45000</c:v>
                </c:pt>
                <c:pt idx="27" formatCode="#,##0">
                  <c:v>55000</c:v>
                </c:pt>
                <c:pt idx="28" formatCode="#,##0">
                  <c:v>134000</c:v>
                </c:pt>
                <c:pt idx="29" formatCode="#,##0">
                  <c:v>22000</c:v>
                </c:pt>
                <c:pt idx="30" formatCode="#,##0">
                  <c:v>63000</c:v>
                </c:pt>
                <c:pt idx="31" formatCode="#,##0">
                  <c:v>190000</c:v>
                </c:pt>
                <c:pt idx="32" formatCode="#,##0">
                  <c:v>275000</c:v>
                </c:pt>
                <c:pt idx="33" formatCode="#,##0">
                  <c:v>25000</c:v>
                </c:pt>
                <c:pt idx="34" formatCode="#,##0">
                  <c:v>16000</c:v>
                </c:pt>
                <c:pt idx="35" formatCode="#,##0">
                  <c:v>110000</c:v>
                </c:pt>
                <c:pt idx="36" formatCode="#,##0">
                  <c:v>375000</c:v>
                </c:pt>
                <c:pt idx="37" formatCode="#,##0">
                  <c:v>27000</c:v>
                </c:pt>
                <c:pt idx="38" formatCode="#,##0">
                  <c:v>91000</c:v>
                </c:pt>
                <c:pt idx="39" formatCode="#,##0">
                  <c:v>385000</c:v>
                </c:pt>
                <c:pt idx="40" formatCode="#,##0">
                  <c:v>730000</c:v>
                </c:pt>
                <c:pt idx="41" formatCode="#,##0">
                  <c:v>273000</c:v>
                </c:pt>
                <c:pt idx="42" formatCode="#,##0">
                  <c:v>553000</c:v>
                </c:pt>
                <c:pt idx="43" formatCode="#,##0">
                  <c:v>180000</c:v>
                </c:pt>
                <c:pt idx="44" formatCode="#,##0">
                  <c:v>250000</c:v>
                </c:pt>
                <c:pt idx="45" formatCode="#,##0">
                  <c:v>600000</c:v>
                </c:pt>
                <c:pt idx="46" formatCode="#,##0">
                  <c:v>1000000</c:v>
                </c:pt>
                <c:pt idx="47" formatCode="#,##0">
                  <c:v>1180235</c:v>
                </c:pt>
                <c:pt idx="48" formatCode="#,##0">
                  <c:v>310000</c:v>
                </c:pt>
                <c:pt idx="49" formatCode="#,##0">
                  <c:v>1200000</c:v>
                </c:pt>
                <c:pt idx="50" formatCode="#,##0">
                  <c:v>1350000</c:v>
                </c:pt>
                <c:pt idx="51" formatCode="#,##0">
                  <c:v>35000</c:v>
                </c:pt>
                <c:pt idx="52" formatCode="#,##0">
                  <c:v>600000</c:v>
                </c:pt>
                <c:pt idx="53" formatCode="#,##0">
                  <c:v>900000</c:v>
                </c:pt>
                <c:pt idx="54" formatCode="#,##0">
                  <c:v>1680000</c:v>
                </c:pt>
                <c:pt idx="55" formatCode="#,##0">
                  <c:v>2800000</c:v>
                </c:pt>
                <c:pt idx="56" formatCode="#,##0">
                  <c:v>3100000</c:v>
                </c:pt>
                <c:pt idx="57" formatCode="#,##0">
                  <c:v>578977</c:v>
                </c:pt>
                <c:pt idx="58" formatCode="#,##0">
                  <c:v>7000</c:v>
                </c:pt>
                <c:pt idx="59" formatCode="#,##0">
                  <c:v>2500000</c:v>
                </c:pt>
                <c:pt idx="60" formatCode="#,##0">
                  <c:v>2500000</c:v>
                </c:pt>
                <c:pt idx="61" formatCode="#,##0">
                  <c:v>5500000</c:v>
                </c:pt>
                <c:pt idx="62" formatCode="#,##0">
                  <c:v>4300000</c:v>
                </c:pt>
                <c:pt idx="63" formatCode="#,##0">
                  <c:v>10000000</c:v>
                </c:pt>
                <c:pt idx="64" formatCode="#,##0">
                  <c:v>7500000</c:v>
                </c:pt>
                <c:pt idx="65" formatCode="#,##0">
                  <c:v>8800000</c:v>
                </c:pt>
                <c:pt idx="66" formatCode="#,##0">
                  <c:v>15000</c:v>
                </c:pt>
                <c:pt idx="67" formatCode="#,##0">
                  <c:v>140000</c:v>
                </c:pt>
                <c:pt idx="68" formatCode="#,##0">
                  <c:v>7500000</c:v>
                </c:pt>
                <c:pt idx="69" formatCode="#,##0">
                  <c:v>111000</c:v>
                </c:pt>
                <c:pt idx="70" formatCode="#,##0">
                  <c:v>9500000</c:v>
                </c:pt>
                <c:pt idx="71" formatCode="#,##0">
                  <c:v>13500000</c:v>
                </c:pt>
                <c:pt idx="72" formatCode="#,##0">
                  <c:v>27400000</c:v>
                </c:pt>
                <c:pt idx="73" formatCode="#,##0">
                  <c:v>21300000</c:v>
                </c:pt>
                <c:pt idx="74" formatCode="#,##0">
                  <c:v>22000000</c:v>
                </c:pt>
                <c:pt idx="75" formatCode="#,##0">
                  <c:v>21000000</c:v>
                </c:pt>
                <c:pt idx="76" formatCode="#,##0">
                  <c:v>21000000</c:v>
                </c:pt>
                <c:pt idx="77" formatCode="#,##0">
                  <c:v>42000000</c:v>
                </c:pt>
                <c:pt idx="78" formatCode="#,##0">
                  <c:v>191000000</c:v>
                </c:pt>
                <c:pt idx="79" formatCode="#,##0">
                  <c:v>45000000</c:v>
                </c:pt>
                <c:pt idx="80" formatCode="#,##0">
                  <c:v>55000000</c:v>
                </c:pt>
                <c:pt idx="81" formatCode="#,##0">
                  <c:v>220000000</c:v>
                </c:pt>
                <c:pt idx="82" formatCode="#,##0">
                  <c:v>152000000</c:v>
                </c:pt>
                <c:pt idx="83" formatCode="#,##0">
                  <c:v>54300000</c:v>
                </c:pt>
                <c:pt idx="84" formatCode="#,##0">
                  <c:v>105900000</c:v>
                </c:pt>
                <c:pt idx="85" formatCode="#,##0">
                  <c:v>410000000</c:v>
                </c:pt>
                <c:pt idx="86" formatCode="#,##0">
                  <c:v>112000000</c:v>
                </c:pt>
                <c:pt idx="87" formatCode="#,##0">
                  <c:v>400000000</c:v>
                </c:pt>
                <c:pt idx="88" formatCode="#,##0">
                  <c:v>592000000</c:v>
                </c:pt>
                <c:pt idx="89" formatCode="#,##0">
                  <c:v>169000000</c:v>
                </c:pt>
                <c:pt idx="90" formatCode="#,##0">
                  <c:v>228000000</c:v>
                </c:pt>
                <c:pt idx="91" formatCode="#,##0">
                  <c:v>165000000</c:v>
                </c:pt>
                <c:pt idx="92" formatCode="#,##0">
                  <c:v>250000000</c:v>
                </c:pt>
                <c:pt idx="93" formatCode="#,##0">
                  <c:v>184000000</c:v>
                </c:pt>
                <c:pt idx="94" formatCode="#,##0">
                  <c:v>362000000</c:v>
                </c:pt>
                <c:pt idx="95" formatCode="#,##0">
                  <c:v>291000000</c:v>
                </c:pt>
                <c:pt idx="96" formatCode="#,##0">
                  <c:v>1700000000</c:v>
                </c:pt>
                <c:pt idx="97" formatCode="#,##0">
                  <c:v>463000000</c:v>
                </c:pt>
                <c:pt idx="98" formatCode="#,##0">
                  <c:v>26000000</c:v>
                </c:pt>
                <c:pt idx="99" formatCode="#,##0">
                  <c:v>411000000</c:v>
                </c:pt>
                <c:pt idx="100" formatCode="#,##0">
                  <c:v>789000000</c:v>
                </c:pt>
                <c:pt idx="101" formatCode="#,##0">
                  <c:v>169000000</c:v>
                </c:pt>
                <c:pt idx="102" formatCode="#,##0">
                  <c:v>250000000</c:v>
                </c:pt>
                <c:pt idx="103" formatCode="#,##0">
                  <c:v>540000000</c:v>
                </c:pt>
                <c:pt idx="104" formatCode="#,##0">
                  <c:v>230000000</c:v>
                </c:pt>
                <c:pt idx="105" formatCode="#,##0">
                  <c:v>731000000</c:v>
                </c:pt>
                <c:pt idx="106" formatCode="#,##0">
                  <c:v>758000000</c:v>
                </c:pt>
                <c:pt idx="107" formatCode="#,##0">
                  <c:v>47000000</c:v>
                </c:pt>
                <c:pt idx="108" formatCode="#,##0">
                  <c:v>600000000</c:v>
                </c:pt>
                <c:pt idx="109" formatCode="#,##0">
                  <c:v>1900000000</c:v>
                </c:pt>
                <c:pt idx="110" formatCode="#,##0">
                  <c:v>904000000</c:v>
                </c:pt>
                <c:pt idx="111" formatCode="#,##0">
                  <c:v>760000000</c:v>
                </c:pt>
                <c:pt idx="112" formatCode="#,##0">
                  <c:v>1000000000</c:v>
                </c:pt>
                <c:pt idx="113" formatCode="#,##0">
                  <c:v>1170000000</c:v>
                </c:pt>
                <c:pt idx="114" formatCode="#,##0">
                  <c:v>1200000000</c:v>
                </c:pt>
                <c:pt idx="115" formatCode="#,##0">
                  <c:v>1400000000</c:v>
                </c:pt>
                <c:pt idx="116" formatCode="#,##0">
                  <c:v>2000000000</c:v>
                </c:pt>
                <c:pt idx="117" formatCode="#,##0">
                  <c:v>2300000000</c:v>
                </c:pt>
                <c:pt idx="118" formatCode="#,##0">
                  <c:v>1870000000</c:v>
                </c:pt>
                <c:pt idx="119" formatCode="#,##0">
                  <c:v>1160000000</c:v>
                </c:pt>
                <c:pt idx="120" formatCode="#,##0">
                  <c:v>2270000000</c:v>
                </c:pt>
                <c:pt idx="122" formatCode="#,##0">
                  <c:v>2600000000</c:v>
                </c:pt>
                <c:pt idx="123" formatCode="#,##0">
                  <c:v>432000000</c:v>
                </c:pt>
                <c:pt idx="124" formatCode="#,##0">
                  <c:v>2990000000</c:v>
                </c:pt>
                <c:pt idx="125" formatCode="#,##0">
                  <c:v>1200000000</c:v>
                </c:pt>
                <c:pt idx="126" formatCode="#,##0">
                  <c:v>1303000000</c:v>
                </c:pt>
                <c:pt idx="127" formatCode="#,##0">
                  <c:v>1400000000</c:v>
                </c:pt>
                <c:pt idx="128" formatCode="#,##0">
                  <c:v>2100000000</c:v>
                </c:pt>
                <c:pt idx="129" formatCode="#,##0">
                  <c:v>2750000000</c:v>
                </c:pt>
                <c:pt idx="130" formatCode="#,##0">
                  <c:v>3100000000</c:v>
                </c:pt>
                <c:pt idx="131" formatCode="#,##0">
                  <c:v>5000000000</c:v>
                </c:pt>
                <c:pt idx="132" formatCode="#,##0">
                  <c:v>1000000000</c:v>
                </c:pt>
                <c:pt idx="133" formatCode="#,##0">
                  <c:v>1860000000</c:v>
                </c:pt>
                <c:pt idx="134" formatCode="#,##0">
                  <c:v>4200000000</c:v>
                </c:pt>
                <c:pt idx="135" formatCode="#,##0">
                  <c:v>5000000000</c:v>
                </c:pt>
                <c:pt idx="136" formatCode="#,##0">
                  <c:v>1400000000</c:v>
                </c:pt>
                <c:pt idx="137" formatCode="#,##0">
                  <c:v>2000000000</c:v>
                </c:pt>
                <c:pt idx="138" formatCode="#,##0">
                  <c:v>2600000000</c:v>
                </c:pt>
                <c:pt idx="139" formatCode="#,##0">
                  <c:v>3000000000</c:v>
                </c:pt>
                <c:pt idx="140" formatCode="#,##0">
                  <c:v>4310000000</c:v>
                </c:pt>
                <c:pt idx="141" formatCode="#,##0">
                  <c:v>5560000000</c:v>
                </c:pt>
                <c:pt idx="142" formatCode="#,##0">
                  <c:v>1750000000</c:v>
                </c:pt>
                <c:pt idx="143" formatCode="#,##0">
                  <c:v>1900000000</c:v>
                </c:pt>
                <c:pt idx="144" formatCode="#,##0">
                  <c:v>2000000000</c:v>
                </c:pt>
                <c:pt idx="148" formatCode="#,##0">
                  <c:v>3000000000</c:v>
                </c:pt>
                <c:pt idx="149" formatCode="#,##0">
                  <c:v>3990000000</c:v>
                </c:pt>
                <c:pt idx="150" formatCode="#,##0">
                  <c:v>7100000000</c:v>
                </c:pt>
                <c:pt idx="151" formatCode="#,##0">
                  <c:v>10000000000</c:v>
                </c:pt>
                <c:pt idx="152" formatCode="#,##0">
                  <c:v>3000000000</c:v>
                </c:pt>
                <c:pt idx="153" formatCode="#,##0">
                  <c:v>3200000000</c:v>
                </c:pt>
                <c:pt idx="154" formatCode="#,##0">
                  <c:v>3300000000</c:v>
                </c:pt>
                <c:pt idx="155" formatCode="#,##0">
                  <c:v>4000000000</c:v>
                </c:pt>
                <c:pt idx="156" formatCode="#,##0">
                  <c:v>7200000000</c:v>
                </c:pt>
                <c:pt idx="157" formatCode="#,##0">
                  <c:v>8000000000</c:v>
                </c:pt>
                <c:pt idx="158">
                  <c:v>0</c:v>
                </c:pt>
                <c:pt idx="159" formatCode="#,##0">
                  <c:v>5300000000</c:v>
                </c:pt>
                <c:pt idx="160" formatCode="#,##0">
                  <c:v>5300000000</c:v>
                </c:pt>
                <c:pt idx="161" formatCode="#,##0">
                  <c:v>4300000000</c:v>
                </c:pt>
                <c:pt idx="162" formatCode="#,##0">
                  <c:v>4800000000</c:v>
                </c:pt>
                <c:pt idx="163" formatCode="#,##0">
                  <c:v>4800000000</c:v>
                </c:pt>
                <c:pt idx="164" formatCode="#,##0">
                  <c:v>4800000000</c:v>
                </c:pt>
                <c:pt idx="165" formatCode="#,##0">
                  <c:v>6100000000</c:v>
                </c:pt>
                <c:pt idx="166" formatCode="#,##0">
                  <c:v>5500000000</c:v>
                </c:pt>
                <c:pt idx="167" formatCode="#,##0">
                  <c:v>7000000000</c:v>
                </c:pt>
                <c:pt idx="168" formatCode="#,##0">
                  <c:v>8000000000</c:v>
                </c:pt>
                <c:pt idx="169" formatCode="#,##0">
                  <c:v>8000000000</c:v>
                </c:pt>
                <c:pt idx="170" formatCode="#,##0">
                  <c:v>9700000000</c:v>
                </c:pt>
                <c:pt idx="171" formatCode="#,##0">
                  <c:v>250000000</c:v>
                </c:pt>
                <c:pt idx="172" formatCode="#,##0">
                  <c:v>5450000000</c:v>
                </c:pt>
                <c:pt idx="173" formatCode="#,##0">
                  <c:v>4300000000</c:v>
                </c:pt>
                <c:pt idx="174" formatCode="#,##0">
                  <c:v>18000000000</c:v>
                </c:pt>
                <c:pt idx="175" formatCode="#,##0">
                  <c:v>19200000000</c:v>
                </c:pt>
                <c:pt idx="176">
                  <c:v>0</c:v>
                </c:pt>
                <c:pt idx="177">
                  <c:v>0</c:v>
                </c:pt>
                <c:pt idx="178">
                  <c:v>0</c:v>
                </c:pt>
                <c:pt idx="179" formatCode="#,##0">
                  <c:v>8500000000</c:v>
                </c:pt>
                <c:pt idx="180" formatCode="#,##0">
                  <c:v>6900000000</c:v>
                </c:pt>
                <c:pt idx="181" formatCode="#,##0">
                  <c:v>6900000000</c:v>
                </c:pt>
                <c:pt idx="182" formatCode="#,##0">
                  <c:v>5500000000</c:v>
                </c:pt>
                <c:pt idx="183" formatCode="#,##0">
                  <c:v>10000000000</c:v>
                </c:pt>
                <c:pt idx="184" formatCode="#,##0">
                  <c:v>8500000000</c:v>
                </c:pt>
                <c:pt idx="185" formatCode="#,##0">
                  <c:v>8786000000</c:v>
                </c:pt>
                <c:pt idx="186" formatCode="#,##0">
                  <c:v>23600000000</c:v>
                </c:pt>
                <c:pt idx="187" formatCode="#,##0">
                  <c:v>9000000000</c:v>
                </c:pt>
                <c:pt idx="188">
                  <c:v>0</c:v>
                </c:pt>
                <c:pt idx="189" formatCode="#,##0">
                  <c:v>5990000000</c:v>
                </c:pt>
                <c:pt idx="190" formatCode="#,##0">
                  <c:v>9890000000</c:v>
                </c:pt>
                <c:pt idx="191" formatCode="#,##0">
                  <c:v>39540000000</c:v>
                </c:pt>
              </c:numCache>
            </c:numRef>
          </c:yVal>
          <c:smooth val="0"/>
          <c:extLst>
            <c:ext xmlns:c16="http://schemas.microsoft.com/office/drawing/2014/chart" uri="{C3380CC4-5D6E-409C-BE32-E72D297353CC}">
              <c16:uniqueId val="{0000000B-57D2-4C41-9156-3CBD1CB05296}"/>
            </c:ext>
          </c:extLst>
        </c:ser>
        <c:ser>
          <c:idx val="3"/>
          <c:order val="3"/>
          <c:tx>
            <c:v>Other</c:v>
          </c:tx>
          <c:spPr>
            <a:ln w="25400" cap="rnd">
              <a:noFill/>
              <a:round/>
            </a:ln>
            <a:effectLst/>
          </c:spPr>
          <c:marker>
            <c:symbol val="circle"/>
            <c:size val="3"/>
            <c:spPr>
              <a:solidFill>
                <a:schemeClr val="accent4"/>
              </a:solidFill>
              <a:ln w="9525">
                <a:noFill/>
              </a:ln>
              <a:effectLst/>
            </c:spPr>
          </c:marker>
          <c:xVal>
            <c:numRef>
              <c:f>'Other Reconfigurable devices'!$A$6:$A$68</c:f>
              <c:numCache>
                <c:formatCode>General</c:formatCode>
                <c:ptCount val="63"/>
                <c:pt idx="0">
                  <c:v>2008</c:v>
                </c:pt>
                <c:pt idx="1">
                  <c:v>2009</c:v>
                </c:pt>
                <c:pt idx="2">
                  <c:v>2009</c:v>
                </c:pt>
                <c:pt idx="3">
                  <c:v>2010</c:v>
                </c:pt>
                <c:pt idx="4">
                  <c:v>2011</c:v>
                </c:pt>
                <c:pt idx="5">
                  <c:v>2011</c:v>
                </c:pt>
                <c:pt idx="6">
                  <c:v>2011</c:v>
                </c:pt>
                <c:pt idx="7">
                  <c:v>2011</c:v>
                </c:pt>
                <c:pt idx="8">
                  <c:v>2011</c:v>
                </c:pt>
                <c:pt idx="9">
                  <c:v>2012</c:v>
                </c:pt>
                <c:pt idx="10">
                  <c:v>2012</c:v>
                </c:pt>
                <c:pt idx="11">
                  <c:v>2012</c:v>
                </c:pt>
                <c:pt idx="12">
                  <c:v>2013</c:v>
                </c:pt>
                <c:pt idx="13">
                  <c:v>2013</c:v>
                </c:pt>
                <c:pt idx="14">
                  <c:v>2013</c:v>
                </c:pt>
                <c:pt idx="15">
                  <c:v>2014</c:v>
                </c:pt>
                <c:pt idx="16">
                  <c:v>2014</c:v>
                </c:pt>
                <c:pt idx="17">
                  <c:v>2014</c:v>
                </c:pt>
                <c:pt idx="18">
                  <c:v>2015</c:v>
                </c:pt>
                <c:pt idx="19">
                  <c:v>2015</c:v>
                </c:pt>
                <c:pt idx="20">
                  <c:v>2015</c:v>
                </c:pt>
                <c:pt idx="21">
                  <c:v>2015</c:v>
                </c:pt>
                <c:pt idx="22">
                  <c:v>2016</c:v>
                </c:pt>
                <c:pt idx="23">
                  <c:v>2016</c:v>
                </c:pt>
                <c:pt idx="24">
                  <c:v>2016</c:v>
                </c:pt>
                <c:pt idx="25">
                  <c:v>2016</c:v>
                </c:pt>
                <c:pt idx="26">
                  <c:v>2016</c:v>
                </c:pt>
                <c:pt idx="27">
                  <c:v>2017</c:v>
                </c:pt>
                <c:pt idx="28">
                  <c:v>2017</c:v>
                </c:pt>
                <c:pt idx="29">
                  <c:v>2018</c:v>
                </c:pt>
                <c:pt idx="30">
                  <c:v>2018</c:v>
                </c:pt>
                <c:pt idx="31">
                  <c:v>2018</c:v>
                </c:pt>
                <c:pt idx="32">
                  <c:v>2018</c:v>
                </c:pt>
                <c:pt idx="33">
                  <c:v>2018</c:v>
                </c:pt>
                <c:pt idx="34">
                  <c:v>2018</c:v>
                </c:pt>
                <c:pt idx="35">
                  <c:v>2018</c:v>
                </c:pt>
                <c:pt idx="36">
                  <c:v>2018</c:v>
                </c:pt>
                <c:pt idx="37">
                  <c:v>2018</c:v>
                </c:pt>
                <c:pt idx="38">
                  <c:v>2019</c:v>
                </c:pt>
                <c:pt idx="39">
                  <c:v>2019</c:v>
                </c:pt>
                <c:pt idx="40">
                  <c:v>2019</c:v>
                </c:pt>
                <c:pt idx="41">
                  <c:v>2019</c:v>
                </c:pt>
                <c:pt idx="42">
                  <c:v>2019</c:v>
                </c:pt>
                <c:pt idx="43">
                  <c:v>2019</c:v>
                </c:pt>
                <c:pt idx="44">
                  <c:v>2019</c:v>
                </c:pt>
                <c:pt idx="45">
                  <c:v>2020</c:v>
                </c:pt>
                <c:pt idx="46">
                  <c:v>2020</c:v>
                </c:pt>
                <c:pt idx="47">
                  <c:v>2021</c:v>
                </c:pt>
                <c:pt idx="48">
                  <c:v>2021</c:v>
                </c:pt>
              </c:numCache>
            </c:numRef>
          </c:xVal>
          <c:yVal>
            <c:numRef>
              <c:f>'Other Reconfigurable devices'!$D$6:$D$68</c:f>
              <c:numCache>
                <c:formatCode>General</c:formatCode>
                <c:ptCount val="63"/>
                <c:pt idx="0">
                  <c:v>8</c:v>
                </c:pt>
                <c:pt idx="1">
                  <c:v>16</c:v>
                </c:pt>
                <c:pt idx="2">
                  <c:v>37</c:v>
                </c:pt>
                <c:pt idx="3">
                  <c:v>16</c:v>
                </c:pt>
                <c:pt idx="4">
                  <c:v>16</c:v>
                </c:pt>
                <c:pt idx="5">
                  <c:v>31</c:v>
                </c:pt>
                <c:pt idx="6">
                  <c:v>25</c:v>
                </c:pt>
                <c:pt idx="7">
                  <c:v>25</c:v>
                </c:pt>
                <c:pt idx="8">
                  <c:v>26</c:v>
                </c:pt>
                <c:pt idx="9">
                  <c:v>17</c:v>
                </c:pt>
                <c:pt idx="10">
                  <c:v>14</c:v>
                </c:pt>
                <c:pt idx="11">
                  <c:v>20</c:v>
                </c:pt>
                <c:pt idx="12">
                  <c:v>16</c:v>
                </c:pt>
                <c:pt idx="13">
                  <c:v>5</c:v>
                </c:pt>
                <c:pt idx="14">
                  <c:v>64</c:v>
                </c:pt>
                <c:pt idx="15">
                  <c:v>22</c:v>
                </c:pt>
                <c:pt idx="16">
                  <c:v>96</c:v>
                </c:pt>
                <c:pt idx="17">
                  <c:v>26</c:v>
                </c:pt>
                <c:pt idx="18">
                  <c:v>16</c:v>
                </c:pt>
                <c:pt idx="19">
                  <c:v>16</c:v>
                </c:pt>
                <c:pt idx="20">
                  <c:v>64</c:v>
                </c:pt>
                <c:pt idx="21">
                  <c:v>128</c:v>
                </c:pt>
                <c:pt idx="22">
                  <c:v>4</c:v>
                </c:pt>
                <c:pt idx="23">
                  <c:v>50</c:v>
                </c:pt>
                <c:pt idx="24">
                  <c:v>128</c:v>
                </c:pt>
                <c:pt idx="25">
                  <c:v>21</c:v>
                </c:pt>
                <c:pt idx="26">
                  <c:v>4</c:v>
                </c:pt>
                <c:pt idx="27">
                  <c:v>8</c:v>
                </c:pt>
                <c:pt idx="28">
                  <c:v>16</c:v>
                </c:pt>
                <c:pt idx="29">
                  <c:v>8</c:v>
                </c:pt>
                <c:pt idx="30">
                  <c:v>64</c:v>
                </c:pt>
                <c:pt idx="31">
                  <c:v>36</c:v>
                </c:pt>
                <c:pt idx="32">
                  <c:v>13</c:v>
                </c:pt>
                <c:pt idx="33">
                  <c:v>1360</c:v>
                </c:pt>
                <c:pt idx="34">
                  <c:v>31</c:v>
                </c:pt>
                <c:pt idx="35">
                  <c:v>4</c:v>
                </c:pt>
                <c:pt idx="36">
                  <c:v>11</c:v>
                </c:pt>
                <c:pt idx="37">
                  <c:v>4</c:v>
                </c:pt>
                <c:pt idx="38">
                  <c:v>13</c:v>
                </c:pt>
                <c:pt idx="40">
                  <c:v>512</c:v>
                </c:pt>
                <c:pt idx="41">
                  <c:v>16</c:v>
                </c:pt>
                <c:pt idx="42">
                  <c:v>144</c:v>
                </c:pt>
                <c:pt idx="43">
                  <c:v>3</c:v>
                </c:pt>
                <c:pt idx="44">
                  <c:v>6</c:v>
                </c:pt>
                <c:pt idx="45">
                  <c:v>160</c:v>
                </c:pt>
                <c:pt idx="46">
                  <c:v>512</c:v>
                </c:pt>
                <c:pt idx="47">
                  <c:v>16</c:v>
                </c:pt>
                <c:pt idx="48">
                  <c:v>64</c:v>
                </c:pt>
              </c:numCache>
            </c:numRef>
          </c:yVal>
          <c:smooth val="0"/>
          <c:extLst>
            <c:ext xmlns:c16="http://schemas.microsoft.com/office/drawing/2014/chart" uri="{C3380CC4-5D6E-409C-BE32-E72D297353CC}">
              <c16:uniqueId val="{0000000C-57D2-4C41-9156-3CBD1CB05296}"/>
            </c:ext>
          </c:extLst>
        </c:ser>
        <c:ser>
          <c:idx val="4"/>
          <c:order val="4"/>
          <c:tx>
            <c:strRef>
              <c:f>Hoja1!$A$42</c:f>
              <c:strCache>
                <c:ptCount val="1"/>
                <c:pt idx="0">
                  <c:v>Year</c:v>
                </c:pt>
              </c:strCache>
            </c:strRef>
          </c:tx>
          <c:spPr>
            <a:ln w="25400" cap="rnd">
              <a:solidFill>
                <a:srgbClr val="FF0000"/>
              </a:solidFill>
              <a:prstDash val="sysDot"/>
              <a:round/>
            </a:ln>
            <a:effectLst/>
          </c:spPr>
          <c:marker>
            <c:symbol val="none"/>
          </c:marker>
          <c:xVal>
            <c:numRef>
              <c:f>(Hoja1!$A$73,Hoja1!$A$75,Hoja1!$A$77,Hoja1!$A$79,Hoja1!$A$81,Hoja1!$A$83,Hoja1!$A$85,Hoja1!$A$87,Hoja1!$A$89,Hoja1!$A$91,Hoja1!$A$93)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(Hoja1!$D$73,Hoja1!$D$75,Hoja1!$D$77,Hoja1!$D$79,Hoja1!$D$81,Hoja1!$D$83,Hoja1!$D$85,Hoja1!$D$87,Hoja1!$D$89,Hoja1!$D$91,Hoja1!$D$93)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D-57D2-4C41-9156-3CBD1CB05296}"/>
            </c:ext>
          </c:extLst>
        </c:ser>
        <c:dLbls>
          <c:showLegendKey val="0"/>
          <c:showVal val="0"/>
          <c:showCatName val="0"/>
          <c:showSerName val="0"/>
          <c:showPercent val="0"/>
          <c:showBubbleSize val="0"/>
        </c:dLbls>
        <c:axId val="463825040"/>
        <c:axId val="463821432"/>
      </c:scatterChart>
      <c:valAx>
        <c:axId val="463825040"/>
        <c:scaling>
          <c:orientation val="minMax"/>
          <c:max val="203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463825040"/>
        <c:crosses val="autoZero"/>
        <c:crossBetween val="midCat"/>
      </c:valAx>
      <c:spPr>
        <a:noFill/>
        <a:ln>
          <a:noFill/>
        </a:ln>
        <a:effectLst/>
      </c:spPr>
    </c:plotArea>
    <c:legend>
      <c:legendPos val="r"/>
      <c:layout>
        <c:manualLayout>
          <c:xMode val="edge"/>
          <c:yMode val="edge"/>
          <c:x val="0.70365283994073791"/>
          <c:y val="9.8450405343929737E-2"/>
          <c:w val="0.29634716005926215"/>
          <c:h val="0.64193117331621052"/>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Multiport Interferometers</c:v>
          </c:tx>
          <c:spPr>
            <a:ln w="25400" cap="rnd">
              <a:noFill/>
              <a:round/>
            </a:ln>
            <a:effectLst/>
          </c:spPr>
          <c:marker>
            <c:symbol val="circle"/>
            <c:size val="5"/>
            <c:spPr>
              <a:solidFill>
                <a:schemeClr val="accent1"/>
              </a:solidFill>
              <a:ln w="9525">
                <a:solidFill>
                  <a:schemeClr val="accent1"/>
                </a:solidFill>
              </a:ln>
              <a:effectLst/>
            </c:spPr>
          </c:marker>
          <c:xVal>
            <c:numRef>
              <c:f>Feedfoward!$D$2:$D$30</c:f>
              <c:numCache>
                <c:formatCode>General</c:formatCode>
                <c:ptCount val="29"/>
                <c:pt idx="1">
                  <c:v>30</c:v>
                </c:pt>
                <c:pt idx="2">
                  <c:v>18</c:v>
                </c:pt>
                <c:pt idx="3">
                  <c:v>12</c:v>
                </c:pt>
                <c:pt idx="4">
                  <c:v>176</c:v>
                </c:pt>
                <c:pt idx="5">
                  <c:v>112</c:v>
                </c:pt>
                <c:pt idx="6">
                  <c:v>120</c:v>
                </c:pt>
                <c:pt idx="7">
                  <c:v>48</c:v>
                </c:pt>
                <c:pt idx="8">
                  <c:v>20</c:v>
                </c:pt>
                <c:pt idx="9">
                  <c:v>4096</c:v>
                </c:pt>
                <c:pt idx="10">
                  <c:v>12</c:v>
                </c:pt>
                <c:pt idx="11">
                  <c:v>1300</c:v>
                </c:pt>
                <c:pt idx="12">
                  <c:v>56</c:v>
                </c:pt>
                <c:pt idx="13">
                  <c:v>32</c:v>
                </c:pt>
                <c:pt idx="14">
                  <c:v>128</c:v>
                </c:pt>
                <c:pt idx="15">
                  <c:v>20</c:v>
                </c:pt>
                <c:pt idx="16">
                  <c:v>20</c:v>
                </c:pt>
              </c:numCache>
            </c:numRef>
          </c:xVal>
          <c:yVal>
            <c:numRef>
              <c:f>Feedfoward!$Q$2:$Q$31</c:f>
              <c:numCache>
                <c:formatCode>General</c:formatCode>
                <c:ptCount val="30"/>
                <c:pt idx="2">
                  <c:v>3</c:v>
                </c:pt>
                <c:pt idx="3">
                  <c:v>5.18</c:v>
                </c:pt>
                <c:pt idx="4">
                  <c:v>9.0299999999999994</c:v>
                </c:pt>
                <c:pt idx="5">
                  <c:v>9.240000000000002</c:v>
                </c:pt>
                <c:pt idx="6">
                  <c:v>17.384999999999998</c:v>
                </c:pt>
                <c:pt idx="7">
                  <c:v>9.75</c:v>
                </c:pt>
                <c:pt idx="8">
                  <c:v>0</c:v>
                </c:pt>
                <c:pt idx="10">
                  <c:v>40</c:v>
                </c:pt>
                <c:pt idx="11">
                  <c:v>74.621400000000008</c:v>
                </c:pt>
                <c:pt idx="12">
                  <c:v>16</c:v>
                </c:pt>
                <c:pt idx="13">
                  <c:v>0</c:v>
                </c:pt>
                <c:pt idx="14">
                  <c:v>43.92</c:v>
                </c:pt>
                <c:pt idx="15">
                  <c:v>7.5</c:v>
                </c:pt>
                <c:pt idx="16">
                  <c:v>128</c:v>
                </c:pt>
              </c:numCache>
            </c:numRef>
          </c:yVal>
          <c:smooth val="0"/>
          <c:extLst>
            <c:ext xmlns:c16="http://schemas.microsoft.com/office/drawing/2014/chart" uri="{C3380CC4-5D6E-409C-BE32-E72D297353CC}">
              <c16:uniqueId val="{00000000-4C1F-4992-B430-14D1C63EAF56}"/>
            </c:ext>
          </c:extLst>
        </c:ser>
        <c:ser>
          <c:idx val="1"/>
          <c:order val="1"/>
          <c:tx>
            <c:v>Other</c:v>
          </c:tx>
          <c:spPr>
            <a:ln w="25400" cap="rnd">
              <a:noFill/>
              <a:round/>
            </a:ln>
            <a:effectLst/>
          </c:spPr>
          <c:marker>
            <c:symbol val="circle"/>
            <c:size val="5"/>
            <c:spPr>
              <a:solidFill>
                <a:schemeClr val="accent2"/>
              </a:solidFill>
              <a:ln w="9525">
                <a:solidFill>
                  <a:schemeClr val="accent2"/>
                </a:solidFill>
              </a:ln>
              <a:effectLst/>
            </c:spPr>
          </c:marker>
          <c:xVal>
            <c:numRef>
              <c:f>'Other Reconfigurable devices'!$D$2:$D$60</c:f>
              <c:numCache>
                <c:formatCode>General</c:formatCode>
                <c:ptCount val="59"/>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13</c:v>
                </c:pt>
                <c:pt idx="44">
                  <c:v>512</c:v>
                </c:pt>
                <c:pt idx="45">
                  <c:v>16</c:v>
                </c:pt>
                <c:pt idx="46">
                  <c:v>144</c:v>
                </c:pt>
                <c:pt idx="47">
                  <c:v>3</c:v>
                </c:pt>
                <c:pt idx="48">
                  <c:v>6</c:v>
                </c:pt>
                <c:pt idx="49">
                  <c:v>160</c:v>
                </c:pt>
                <c:pt idx="50">
                  <c:v>512</c:v>
                </c:pt>
                <c:pt idx="51">
                  <c:v>16</c:v>
                </c:pt>
                <c:pt idx="52">
                  <c:v>64</c:v>
                </c:pt>
              </c:numCache>
            </c:numRef>
          </c:xVal>
          <c:yVal>
            <c:numRef>
              <c:f>'Other Reconfigurable devices'!$Q$2:$Q$61</c:f>
              <c:numCache>
                <c:formatCode>General</c:formatCode>
                <c:ptCount val="60"/>
                <c:pt idx="0">
                  <c:v>0.24</c:v>
                </c:pt>
                <c:pt idx="1">
                  <c:v>80</c:v>
                </c:pt>
                <c:pt idx="2">
                  <c:v>7.5</c:v>
                </c:pt>
                <c:pt idx="3">
                  <c:v>9</c:v>
                </c:pt>
                <c:pt idx="4">
                  <c:v>7</c:v>
                </c:pt>
                <c:pt idx="5">
                  <c:v>0</c:v>
                </c:pt>
                <c:pt idx="6">
                  <c:v>844.80000000000007</c:v>
                </c:pt>
                <c:pt idx="7">
                  <c:v>0</c:v>
                </c:pt>
                <c:pt idx="8">
                  <c:v>0</c:v>
                </c:pt>
                <c:pt idx="9">
                  <c:v>6.75</c:v>
                </c:pt>
                <c:pt idx="10">
                  <c:v>73.5</c:v>
                </c:pt>
                <c:pt idx="11">
                  <c:v>75</c:v>
                </c:pt>
                <c:pt idx="12">
                  <c:v>260</c:v>
                </c:pt>
                <c:pt idx="13">
                  <c:v>64</c:v>
                </c:pt>
                <c:pt idx="14">
                  <c:v>16.48</c:v>
                </c:pt>
                <c:pt idx="15">
                  <c:v>0.54</c:v>
                </c:pt>
                <c:pt idx="16">
                  <c:v>12</c:v>
                </c:pt>
                <c:pt idx="17">
                  <c:v>3825</c:v>
                </c:pt>
                <c:pt idx="18">
                  <c:v>0.33177599999999996</c:v>
                </c:pt>
                <c:pt idx="19">
                  <c:v>11.840000000000002</c:v>
                </c:pt>
                <c:pt idx="20">
                  <c:v>288</c:v>
                </c:pt>
                <c:pt idx="21">
                  <c:v>260</c:v>
                </c:pt>
                <c:pt idx="22">
                  <c:v>0</c:v>
                </c:pt>
                <c:pt idx="23">
                  <c:v>0</c:v>
                </c:pt>
                <c:pt idx="24">
                  <c:v>69</c:v>
                </c:pt>
                <c:pt idx="25">
                  <c:v>6</c:v>
                </c:pt>
                <c:pt idx="26">
                  <c:v>22</c:v>
                </c:pt>
                <c:pt idx="27">
                  <c:v>0.24</c:v>
                </c:pt>
                <c:pt idx="28">
                  <c:v>0</c:v>
                </c:pt>
                <c:pt idx="29">
                  <c:v>3</c:v>
                </c:pt>
                <c:pt idx="30">
                  <c:v>0</c:v>
                </c:pt>
                <c:pt idx="31">
                  <c:v>0</c:v>
                </c:pt>
                <c:pt idx="33">
                  <c:v>0</c:v>
                </c:pt>
                <c:pt idx="34">
                  <c:v>140</c:v>
                </c:pt>
                <c:pt idx="35">
                  <c:v>256</c:v>
                </c:pt>
                <c:pt idx="36">
                  <c:v>3.66</c:v>
                </c:pt>
                <c:pt idx="37">
                  <c:v>36.480000000000004</c:v>
                </c:pt>
                <c:pt idx="38">
                  <c:v>90</c:v>
                </c:pt>
                <c:pt idx="39">
                  <c:v>0.57440999999999998</c:v>
                </c:pt>
                <c:pt idx="40">
                  <c:v>2.9600000000000004</c:v>
                </c:pt>
                <c:pt idx="41">
                  <c:v>0</c:v>
                </c:pt>
                <c:pt idx="42">
                  <c:v>17.633071500000003</c:v>
                </c:pt>
                <c:pt idx="43">
                  <c:v>256</c:v>
                </c:pt>
                <c:pt idx="44">
                  <c:v>16</c:v>
                </c:pt>
                <c:pt idx="45">
                  <c:v>0.95</c:v>
                </c:pt>
                <c:pt idx="46">
                  <c:v>2.08</c:v>
                </c:pt>
                <c:pt idx="47">
                  <c:v>0</c:v>
                </c:pt>
                <c:pt idx="48">
                  <c:v>60</c:v>
                </c:pt>
                <c:pt idx="49">
                  <c:v>42.796399999999998</c:v>
                </c:pt>
                <c:pt idx="50">
                  <c:v>120</c:v>
                </c:pt>
                <c:pt idx="52">
                  <c:v>20.25</c:v>
                </c:pt>
              </c:numCache>
            </c:numRef>
          </c:yVal>
          <c:smooth val="0"/>
          <c:extLst>
            <c:ext xmlns:c16="http://schemas.microsoft.com/office/drawing/2014/chart" uri="{C3380CC4-5D6E-409C-BE32-E72D297353CC}">
              <c16:uniqueId val="{00000002-4C1F-4992-B430-14D1C63EAF56}"/>
            </c:ext>
          </c:extLst>
        </c:ser>
        <c:dLbls>
          <c:showLegendKey val="0"/>
          <c:showVal val="0"/>
          <c:showCatName val="0"/>
          <c:showSerName val="0"/>
          <c:showPercent val="0"/>
          <c:showBubbleSize val="0"/>
        </c:dLbls>
        <c:axId val="786596560"/>
        <c:axId val="786596888"/>
      </c:scatterChart>
      <c:valAx>
        <c:axId val="7865965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86596888"/>
        <c:crosses val="autoZero"/>
        <c:crossBetween val="midCat"/>
      </c:valAx>
      <c:valAx>
        <c:axId val="78659688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8659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2559</xdr:rowOff>
    </xdr:from>
    <xdr:to>
      <xdr:col>5</xdr:col>
      <xdr:colOff>313791</xdr:colOff>
      <xdr:row>10</xdr:row>
      <xdr:rowOff>141457</xdr:rowOff>
    </xdr:to>
    <xdr:graphicFrame macro="">
      <xdr:nvGraphicFramePr>
        <xdr:cNvPr id="2" name="Gráfico 1">
          <a:extLst>
            <a:ext uri="{FF2B5EF4-FFF2-40B4-BE49-F238E27FC236}">
              <a16:creationId xmlns:a16="http://schemas.microsoft.com/office/drawing/2014/main" id="{002A0C19-A881-43A6-A40C-9C757A005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713442</xdr:colOff>
      <xdr:row>9</xdr:row>
      <xdr:rowOff>89079</xdr:rowOff>
    </xdr:from>
    <xdr:to>
      <xdr:col>11</xdr:col>
      <xdr:colOff>610358</xdr:colOff>
      <xdr:row>19</xdr:row>
      <xdr:rowOff>104223</xdr:rowOff>
    </xdr:to>
    <xdr:graphicFrame macro="">
      <xdr:nvGraphicFramePr>
        <xdr:cNvPr id="3" name="Gráfico 2">
          <a:extLst>
            <a:ext uri="{FF2B5EF4-FFF2-40B4-BE49-F238E27FC236}">
              <a16:creationId xmlns:a16="http://schemas.microsoft.com/office/drawing/2014/main" id="{FE048972-E509-42F2-A3BC-01DA34DBD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56398</xdr:colOff>
      <xdr:row>2</xdr:row>
      <xdr:rowOff>127585</xdr:rowOff>
    </xdr:from>
    <xdr:to>
      <xdr:col>19</xdr:col>
      <xdr:colOff>379912</xdr:colOff>
      <xdr:row>21</xdr:row>
      <xdr:rowOff>94129</xdr:rowOff>
    </xdr:to>
    <xdr:graphicFrame macro="">
      <xdr:nvGraphicFramePr>
        <xdr:cNvPr id="4" name="Gráfico 3">
          <a:extLst>
            <a:ext uri="{FF2B5EF4-FFF2-40B4-BE49-F238E27FC236}">
              <a16:creationId xmlns:a16="http://schemas.microsoft.com/office/drawing/2014/main" id="{9D86737C-4723-49C8-B6FC-86D56EA59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51995</xdr:colOff>
      <xdr:row>0</xdr:row>
      <xdr:rowOff>0</xdr:rowOff>
    </xdr:from>
    <xdr:to>
      <xdr:col>19</xdr:col>
      <xdr:colOff>396752</xdr:colOff>
      <xdr:row>3</xdr:row>
      <xdr:rowOff>82411</xdr:rowOff>
    </xdr:to>
    <xdr:sp macro="" textlink="">
      <xdr:nvSpPr>
        <xdr:cNvPr id="5" name="CuadroTexto 4">
          <a:extLst>
            <a:ext uri="{FF2B5EF4-FFF2-40B4-BE49-F238E27FC236}">
              <a16:creationId xmlns:a16="http://schemas.microsoft.com/office/drawing/2014/main" id="{B7D8B0DF-5F8F-45B9-8E40-9F24180EA967}"/>
            </a:ext>
          </a:extLst>
        </xdr:cNvPr>
        <xdr:cNvSpPr txBox="1"/>
      </xdr:nvSpPr>
      <xdr:spPr>
        <a:xfrm>
          <a:off x="9561755" y="0"/>
          <a:ext cx="5892117" cy="631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Pérez-López Law:</a:t>
          </a:r>
        </a:p>
        <a:p>
          <a:r>
            <a:rPr lang="es-ES" sz="1100"/>
            <a:t>Observation that the number of phase actuators in a large-scale photonic integrated circuit (IC) doubles about every 24-36 months.</a:t>
          </a:r>
        </a:p>
      </xdr:txBody>
    </xdr:sp>
    <xdr:clientData/>
  </xdr:twoCellAnchor>
  <xdr:twoCellAnchor>
    <xdr:from>
      <xdr:col>5</xdr:col>
      <xdr:colOff>52251</xdr:colOff>
      <xdr:row>5</xdr:row>
      <xdr:rowOff>182174</xdr:rowOff>
    </xdr:from>
    <xdr:to>
      <xdr:col>11</xdr:col>
      <xdr:colOff>598713</xdr:colOff>
      <xdr:row>9</xdr:row>
      <xdr:rowOff>87467</xdr:rowOff>
    </xdr:to>
    <xdr:sp macro="" textlink="">
      <xdr:nvSpPr>
        <xdr:cNvPr id="6" name="CuadroTexto 5">
          <a:extLst>
            <a:ext uri="{FF2B5EF4-FFF2-40B4-BE49-F238E27FC236}">
              <a16:creationId xmlns:a16="http://schemas.microsoft.com/office/drawing/2014/main" id="{B2BA6F59-FB32-49AC-878A-F0F8C4067EA8}"/>
            </a:ext>
          </a:extLst>
        </xdr:cNvPr>
        <xdr:cNvSpPr txBox="1"/>
      </xdr:nvSpPr>
      <xdr:spPr>
        <a:xfrm>
          <a:off x="4014651" y="1096574"/>
          <a:ext cx="5301342" cy="636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Moore Law:</a:t>
          </a:r>
        </a:p>
        <a:p>
          <a:r>
            <a:rPr lang="es-ES" sz="1100"/>
            <a:t>Observation that the number of transistors in a large-scale integrated circuits (IC) doubles about every 24 months.</a:t>
          </a:r>
        </a:p>
      </xdr:txBody>
    </xdr:sp>
    <xdr:clientData/>
  </xdr:twoCellAnchor>
  <xdr:twoCellAnchor>
    <xdr:from>
      <xdr:col>17</xdr:col>
      <xdr:colOff>257927</xdr:colOff>
      <xdr:row>18</xdr:row>
      <xdr:rowOff>131140</xdr:rowOff>
    </xdr:from>
    <xdr:to>
      <xdr:col>24</xdr:col>
      <xdr:colOff>603212</xdr:colOff>
      <xdr:row>34</xdr:row>
      <xdr:rowOff>24557</xdr:rowOff>
    </xdr:to>
    <xdr:graphicFrame macro="">
      <xdr:nvGraphicFramePr>
        <xdr:cNvPr id="7" name="Gráfico 6">
          <a:extLst>
            <a:ext uri="{FF2B5EF4-FFF2-40B4-BE49-F238E27FC236}">
              <a16:creationId xmlns:a16="http://schemas.microsoft.com/office/drawing/2014/main" id="{255A99F3-30C7-4207-9FC4-219ED9164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24</xdr:row>
      <xdr:rowOff>0</xdr:rowOff>
    </xdr:from>
    <xdr:to>
      <xdr:col>16</xdr:col>
      <xdr:colOff>174683</xdr:colOff>
      <xdr:row>34</xdr:row>
      <xdr:rowOff>15143</xdr:rowOff>
    </xdr:to>
    <xdr:graphicFrame macro="">
      <xdr:nvGraphicFramePr>
        <xdr:cNvPr id="8" name="Gráfico 7">
          <a:extLst>
            <a:ext uri="{FF2B5EF4-FFF2-40B4-BE49-F238E27FC236}">
              <a16:creationId xmlns:a16="http://schemas.microsoft.com/office/drawing/2014/main" id="{37F513E0-ACC9-47C1-A62C-908B0B9DA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693420</xdr:colOff>
      <xdr:row>3</xdr:row>
      <xdr:rowOff>148590</xdr:rowOff>
    </xdr:from>
    <xdr:to>
      <xdr:col>25</xdr:col>
      <xdr:colOff>510540</xdr:colOff>
      <xdr:row>18</xdr:row>
      <xdr:rowOff>148590</xdr:rowOff>
    </xdr:to>
    <xdr:graphicFrame macro="">
      <xdr:nvGraphicFramePr>
        <xdr:cNvPr id="9" name="Gráfico 8">
          <a:extLst>
            <a:ext uri="{FF2B5EF4-FFF2-40B4-BE49-F238E27FC236}">
              <a16:creationId xmlns:a16="http://schemas.microsoft.com/office/drawing/2014/main" id="{0AFF04F5-868A-40A4-A5A9-52D86F2F7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0.53501</cdr:x>
      <cdr:y>0.08895</cdr:y>
    </cdr:from>
    <cdr:to>
      <cdr:x>0.65074</cdr:x>
      <cdr:y>0.18453</cdr:y>
    </cdr:to>
    <cdr:sp macro="" textlink="">
      <cdr:nvSpPr>
        <cdr:cNvPr id="2" name="CuadroTexto 1">
          <a:extLst xmlns:a="http://schemas.openxmlformats.org/drawingml/2006/main">
            <a:ext uri="{FF2B5EF4-FFF2-40B4-BE49-F238E27FC236}">
              <a16:creationId xmlns:a16="http://schemas.microsoft.com/office/drawing/2014/main" id="{0DF6C463-8A71-4362-B0FC-8A0027761590}"/>
            </a:ext>
          </a:extLst>
        </cdr:cNvPr>
        <cdr:cNvSpPr txBox="1"/>
      </cdr:nvSpPr>
      <cdr:spPr>
        <a:xfrm xmlns:a="http://schemas.openxmlformats.org/drawingml/2006/main" rot="18940235">
          <a:off x="3131995" y="246542"/>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bg1">
                  <a:lumMod val="50000"/>
                </a:schemeClr>
              </a:solidFill>
            </a:rPr>
            <a:t>x2/12M</a:t>
          </a:r>
        </a:p>
      </cdr:txBody>
    </cdr:sp>
  </cdr:relSizeAnchor>
  <cdr:relSizeAnchor xmlns:cdr="http://schemas.openxmlformats.org/drawingml/2006/chartDrawing">
    <cdr:from>
      <cdr:x>0.73571</cdr:x>
      <cdr:y>0.05442</cdr:y>
    </cdr:from>
    <cdr:to>
      <cdr:x>0.85144</cdr:x>
      <cdr:y>0.15</cdr:y>
    </cdr:to>
    <cdr:sp macro="" textlink="">
      <cdr:nvSpPr>
        <cdr:cNvPr id="3" name="CuadroTexto 2">
          <a:extLst xmlns:a="http://schemas.openxmlformats.org/drawingml/2006/main">
            <a:ext uri="{FF2B5EF4-FFF2-40B4-BE49-F238E27FC236}">
              <a16:creationId xmlns:a16="http://schemas.microsoft.com/office/drawing/2014/main" id="{B6728E8D-9DC3-4690-A6F9-05C4229C2ACE}"/>
            </a:ext>
          </a:extLst>
        </cdr:cNvPr>
        <cdr:cNvSpPr txBox="1"/>
      </cdr:nvSpPr>
      <cdr:spPr>
        <a:xfrm xmlns:a="http://schemas.openxmlformats.org/drawingml/2006/main" rot="19618486">
          <a:off x="4301340" y="181320"/>
          <a:ext cx="676620" cy="318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ysClr val="windowText" lastClr="000000"/>
              </a:solidFill>
            </a:rPr>
            <a:t>x2/18M</a:t>
          </a:r>
        </a:p>
      </cdr:txBody>
    </cdr:sp>
  </cdr:relSizeAnchor>
  <cdr:relSizeAnchor xmlns:cdr="http://schemas.openxmlformats.org/drawingml/2006/chartDrawing">
    <cdr:from>
      <cdr:x>0.7755</cdr:x>
      <cdr:y>0.08328</cdr:y>
    </cdr:from>
    <cdr:to>
      <cdr:x>0.89124</cdr:x>
      <cdr:y>0.17886</cdr:y>
    </cdr:to>
    <cdr:sp macro="" textlink="">
      <cdr:nvSpPr>
        <cdr:cNvPr id="4" name="CuadroTexto 3">
          <a:extLst xmlns:a="http://schemas.openxmlformats.org/drawingml/2006/main">
            <a:ext uri="{FF2B5EF4-FFF2-40B4-BE49-F238E27FC236}">
              <a16:creationId xmlns:a16="http://schemas.microsoft.com/office/drawing/2014/main" id="{0D6B31F6-140E-4BCB-879D-67EF399B436D}"/>
            </a:ext>
          </a:extLst>
        </cdr:cNvPr>
        <cdr:cNvSpPr txBox="1"/>
      </cdr:nvSpPr>
      <cdr:spPr>
        <a:xfrm xmlns:a="http://schemas.openxmlformats.org/drawingml/2006/main" rot="20005497">
          <a:off x="4539902" y="230831"/>
          <a:ext cx="677502"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x2/24M</a:t>
          </a:r>
        </a:p>
      </cdr:txBody>
    </cdr:sp>
  </cdr:relSizeAnchor>
  <cdr:relSizeAnchor xmlns:cdr="http://schemas.openxmlformats.org/drawingml/2006/chartDrawing">
    <cdr:from>
      <cdr:x>0.83137</cdr:x>
      <cdr:y>0.12997</cdr:y>
    </cdr:from>
    <cdr:to>
      <cdr:x>0.9471</cdr:x>
      <cdr:y>0.22555</cdr:y>
    </cdr:to>
    <cdr:sp macro="" textlink="">
      <cdr:nvSpPr>
        <cdr:cNvPr id="5" name="CuadroTexto 4">
          <a:extLst xmlns:a="http://schemas.openxmlformats.org/drawingml/2006/main">
            <a:ext uri="{FF2B5EF4-FFF2-40B4-BE49-F238E27FC236}">
              <a16:creationId xmlns:a16="http://schemas.microsoft.com/office/drawing/2014/main" id="{6B6DAB81-501C-476B-9F76-D2F6A5ECFA86}"/>
            </a:ext>
          </a:extLst>
        </cdr:cNvPr>
        <cdr:cNvSpPr txBox="1"/>
      </cdr:nvSpPr>
      <cdr:spPr>
        <a:xfrm xmlns:a="http://schemas.openxmlformats.org/drawingml/2006/main" rot="20360751">
          <a:off x="4866931" y="36024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x2/36M</a:t>
          </a:r>
        </a:p>
      </cdr:txBody>
    </cdr:sp>
  </cdr:relSizeAnchor>
  <cdr:relSizeAnchor xmlns:cdr="http://schemas.openxmlformats.org/drawingml/2006/chartDrawing">
    <cdr:from>
      <cdr:x>0.84839</cdr:x>
      <cdr:y>0.2759</cdr:y>
    </cdr:from>
    <cdr:to>
      <cdr:x>0.96412</cdr:x>
      <cdr:y>0.37147</cdr:y>
    </cdr:to>
    <cdr:sp macro="" textlink="">
      <cdr:nvSpPr>
        <cdr:cNvPr id="7" name="CuadroTexto 6">
          <a:extLst xmlns:a="http://schemas.openxmlformats.org/drawingml/2006/main">
            <a:ext uri="{FF2B5EF4-FFF2-40B4-BE49-F238E27FC236}">
              <a16:creationId xmlns:a16="http://schemas.microsoft.com/office/drawing/2014/main" id="{9FFD58FD-FC12-4F1C-9A99-8338FF22F33C}"/>
            </a:ext>
          </a:extLst>
        </cdr:cNvPr>
        <cdr:cNvSpPr txBox="1"/>
      </cdr:nvSpPr>
      <cdr:spPr>
        <a:xfrm xmlns:a="http://schemas.openxmlformats.org/drawingml/2006/main" rot="20789087">
          <a:off x="4966577" y="76469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x2/48M</a:t>
          </a:r>
        </a:p>
      </cdr:txBody>
    </cdr:sp>
  </cdr:relSizeAnchor>
  <cdr:relSizeAnchor xmlns:cdr="http://schemas.openxmlformats.org/drawingml/2006/chartDrawing">
    <cdr:from>
      <cdr:x>0.5845</cdr:x>
      <cdr:y>0.07468</cdr:y>
    </cdr:from>
    <cdr:to>
      <cdr:x>0.81942</cdr:x>
      <cdr:y>0.17026</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3306817" y="267806"/>
          <a:ext cx="1329063" cy="3427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cdr:txBody>
    </cdr:sp>
  </cdr:relSizeAnchor>
</c:userShapes>
</file>

<file path=xl/persons/person.xml><?xml version="1.0" encoding="utf-8"?>
<personList xmlns="http://schemas.microsoft.com/office/spreadsheetml/2018/threadedcomments" xmlns:x="http://schemas.openxmlformats.org/spreadsheetml/2006/main">
  <person displayName="daniel.perez" id="{201F73C5-173A-4644-8BB2-C0DEDCBB46CB}" userId="daniel.perez"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8E9A01-D58F-46B4-BFAD-D9369A7356D6}" name="Tabla2" displayName="Tabla2" ref="A1:AA25" totalsRowShown="0" headerRowDxfId="2" headerRowBorderDxfId="1" tableBorderDxfId="0">
  <autoFilter ref="A1:AA25" xr:uid="{9B8E9A01-D58F-46B4-BFAD-D9369A7356D6}"/>
  <tableColumns count="27">
    <tableColumn id="1" xr3:uid="{D498B0BB-2B0E-4219-BD29-82A49EF295BB}" name="Year"/>
    <tableColumn id="2" xr3:uid="{E23C80D7-A4F2-4DB2-853B-F4FF298009EE}" name="Authors"/>
    <tableColumn id="3" xr3:uid="{9E34A325-218A-442C-96E2-33D9C2C8B464}" name="PUCs"/>
    <tableColumn id="4" xr3:uid="{F1884761-63DA-4474-B8DF-17F9A9691B10}" name="Phase shifters"/>
    <tableColumn id="5" xr3:uid="{6D1713D4-9217-45C8-86B7-094481FAB562}" name="Optical Ports"/>
    <tableColumn id="6" xr3:uid="{70EFE34A-C888-4FF5-BC1E-70BCA01FE78A}" name="dB/TBU(dB)"/>
    <tableColumn id="7" xr3:uid="{6E6AF568-CB59-4121-B3D3-361566305F34}" name="BUL (um)*1"/>
    <tableColumn id="8" xr3:uid="{31921E48-EEA5-446B-8D1F-C008944DAB7B}" name="BUD (ps)*2"/>
    <tableColumn id="9" xr3:uid="{D8D0383A-C7C4-4F75-9EF2-625A7F1F7E8A}" name="Tuning Effect"/>
    <tableColumn id="10" xr3:uid="{8AD9D11F-1BAC-439E-87DB-D440A969E739}" name="Foundry"/>
    <tableColumn id="11" xr3:uid="{B9CD9024-D03C-4756-B370-4B0E78B06B60}" name="Power consumption(mW) per 2pi"/>
    <tableColumn id="12" xr3:uid="{442CA653-9B1B-411F-9110-195CDB744D2F}" name="Response Time per heater (us)"/>
    <tableColumn id="13" xr3:uid="{D6721EE7-2CC6-4465-9A43-A1963A5BF65D}" name="Topology"/>
    <tableColumn id="14" xr3:uid="{0C2E0EA5-2C77-44C1-9698-A4D086AC4F0C}" name="TBU"/>
    <tableColumn id="15" xr3:uid="{2364F278-2D24-41C1-B1C6-C18CFB00409A}" name="Size width (mm)"/>
    <tableColumn id="16" xr3:uid="{534F481C-CA7F-44C6-8D0C-8603576694F7}" name="Size Length( mm)"/>
    <tableColumn id="17" xr3:uid="{AFF2B807-416A-4993-8058-0E827990EA53}" name="Area (mm2)"/>
    <tableColumn id="18" xr3:uid="{B47F9EE5-8483-4EB1-A277-4D2FD6DF02EB}" name="TBU density (1/mm2)"/>
    <tableColumn id="19" xr3:uid="{50A668B6-B405-445F-9FCE-B0DEC7BCF8CE}" name="Chip-couplers"/>
    <tableColumn id="20" xr3:uid="{D4EDCF30-7C3C-43A9-88BE-9DAC49FB457B}" name="Coupling loss dB/facet"/>
    <tableColumn id="21" xr3:uid="{71D0C5D0-0F08-4AAC-B9E2-E3788A80F66E}" name="ER (dB)"/>
    <tableColumn id="22" xr3:uid="{A4CD76CB-6A29-4C59-B16E-AD9A6E26C1F9}" name="Field"/>
    <tableColumn id="23" xr3:uid="{661266FB-BF0F-484A-8FFA-76633D40148D}" name="Electrical Packaging"/>
    <tableColumn id="24" xr3:uid="{E976683F-525B-4601-97EE-2E2E2AC60133}" name="Integrated Electronics"/>
    <tableColumn id="25" xr3:uid="{6C63BD8E-9B2A-409E-BAF1-980E77115478}" name="Control algorithms"/>
    <tableColumn id="26" xr3:uid="{25699FCA-895D-4EE2-8357-488D9907BBFC}" name="Comments"/>
    <tableColumn id="27" xr3:uid="{4CAF55BA-F044-4ADD-9811-D5FB13890C4E}" name="Ref"/>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4-12T22:12:15.53" personId="{201F73C5-173A-4644-8BB2-C0DEDCBB46CB}" id="{DCE7BAAC-718E-4A35-A72F-842699EEFC42}">
    <text>Check with authors. It is not clear how many phase shifters includes the chip nor the area.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AEB6-973A-4F49-9CE8-0465BE42ACE4}">
  <dimension ref="A1:AD24"/>
  <sheetViews>
    <sheetView tabSelected="1" topLeftCell="Q1" zoomScale="70" zoomScaleNormal="70" workbookViewId="0">
      <selection activeCell="AA6" sqref="B6:AA6"/>
    </sheetView>
  </sheetViews>
  <sheetFormatPr baseColWidth="10" defaultRowHeight="14.4" x14ac:dyDescent="0.3"/>
  <cols>
    <col min="2" max="2" width="16.6640625" bestFit="1" customWidth="1"/>
    <col min="4" max="4" width="13.44140625" bestFit="1" customWidth="1"/>
    <col min="5" max="5" width="13.44140625" customWidth="1"/>
    <col min="6" max="6" width="11.109375" customWidth="1"/>
    <col min="7" max="7" width="10.109375" customWidth="1"/>
    <col min="8" max="8" width="11.21875" customWidth="1"/>
    <col min="10" max="10" width="14" customWidth="1"/>
    <col min="11" max="11" width="14.109375" customWidth="1"/>
    <col min="12" max="12" width="12" customWidth="1"/>
    <col min="13" max="13" width="27.77734375" customWidth="1"/>
    <col min="14" max="14" width="12.44140625" customWidth="1"/>
    <col min="15" max="16" width="14.6640625" customWidth="1"/>
    <col min="17" max="17" width="14.109375" customWidth="1"/>
    <col min="18" max="18" width="20.5546875" customWidth="1"/>
    <col min="19" max="19" width="31.88671875" customWidth="1"/>
    <col min="22" max="22" width="17.88671875" bestFit="1" customWidth="1"/>
    <col min="23" max="23" width="13" bestFit="1" customWidth="1"/>
    <col min="25" max="25" width="41.88671875" bestFit="1" customWidth="1"/>
    <col min="26" max="26" width="33.77734375" customWidth="1"/>
    <col min="27" max="27" width="48.88671875" customWidth="1"/>
  </cols>
  <sheetData>
    <row r="1" spans="1:30" ht="43.2" x14ac:dyDescent="0.3">
      <c r="A1" s="45" t="s">
        <v>20</v>
      </c>
      <c r="B1" s="45" t="s">
        <v>13</v>
      </c>
      <c r="C1" s="45" t="s">
        <v>505</v>
      </c>
      <c r="D1" s="45" t="s">
        <v>1</v>
      </c>
      <c r="E1" s="45" t="s">
        <v>8</v>
      </c>
      <c r="F1" s="45" t="s">
        <v>46</v>
      </c>
      <c r="G1" s="45" t="s">
        <v>44</v>
      </c>
      <c r="H1" s="45" t="s">
        <v>45</v>
      </c>
      <c r="I1" s="45" t="s">
        <v>37</v>
      </c>
      <c r="J1" s="45" t="s">
        <v>3</v>
      </c>
      <c r="K1" s="45" t="s">
        <v>9</v>
      </c>
      <c r="L1" s="45" t="s">
        <v>6</v>
      </c>
      <c r="M1" s="45" t="s">
        <v>28</v>
      </c>
      <c r="N1" s="45" t="s">
        <v>12</v>
      </c>
      <c r="O1" s="45" t="s">
        <v>564</v>
      </c>
      <c r="P1" s="45" t="s">
        <v>563</v>
      </c>
      <c r="Q1" s="45" t="s">
        <v>539</v>
      </c>
      <c r="R1" s="45" t="s">
        <v>755</v>
      </c>
      <c r="S1" s="45" t="s">
        <v>25</v>
      </c>
      <c r="T1" s="45" t="s">
        <v>557</v>
      </c>
      <c r="U1" s="45" t="s">
        <v>496</v>
      </c>
      <c r="V1" s="45" t="s">
        <v>574</v>
      </c>
      <c r="W1" s="45" t="s">
        <v>636</v>
      </c>
      <c r="X1" s="45" t="s">
        <v>644</v>
      </c>
      <c r="Y1" s="45" t="s">
        <v>660</v>
      </c>
      <c r="Z1" s="45" t="s">
        <v>10</v>
      </c>
      <c r="AA1" s="45" t="s">
        <v>492</v>
      </c>
    </row>
    <row r="2" spans="1:30" x14ac:dyDescent="0.3">
      <c r="A2" s="7"/>
      <c r="B2" s="7"/>
      <c r="C2" s="7"/>
      <c r="D2" s="7"/>
      <c r="E2" s="7"/>
      <c r="F2" s="7"/>
      <c r="G2" s="7"/>
      <c r="H2" s="7"/>
      <c r="I2" s="7"/>
      <c r="J2" s="7"/>
      <c r="K2" s="7"/>
      <c r="L2" s="7"/>
      <c r="M2" s="46"/>
      <c r="N2" s="46"/>
      <c r="O2" s="7"/>
      <c r="P2" s="7"/>
      <c r="Q2" s="8"/>
      <c r="R2" s="8"/>
      <c r="S2" s="7"/>
      <c r="AA2" s="10"/>
      <c r="AB2">
        <v>2</v>
      </c>
      <c r="AC2">
        <f t="shared" ref="AC2:AC9" si="0">AB2*(AB2-1)/2</f>
        <v>1</v>
      </c>
      <c r="AD2">
        <f t="shared" ref="AD2:AD9" si="1">2*AB2*(AB2-1)/2</f>
        <v>2</v>
      </c>
    </row>
    <row r="3" spans="1:30" ht="43.2" x14ac:dyDescent="0.3">
      <c r="A3">
        <v>2016</v>
      </c>
      <c r="B3" t="s">
        <v>14</v>
      </c>
      <c r="C3">
        <v>15</v>
      </c>
      <c r="D3">
        <v>30</v>
      </c>
      <c r="E3">
        <v>12</v>
      </c>
      <c r="I3" t="s">
        <v>2</v>
      </c>
      <c r="J3" t="s">
        <v>7</v>
      </c>
      <c r="K3">
        <v>800</v>
      </c>
      <c r="M3" s="47" t="s">
        <v>30</v>
      </c>
      <c r="N3" s="47" t="s">
        <v>48</v>
      </c>
      <c r="R3" s="4"/>
      <c r="S3" t="s">
        <v>24</v>
      </c>
      <c r="T3" s="4" t="s">
        <v>783</v>
      </c>
      <c r="V3" t="s">
        <v>791</v>
      </c>
      <c r="W3" t="s">
        <v>637</v>
      </c>
      <c r="X3" t="s">
        <v>760</v>
      </c>
      <c r="Y3" t="s">
        <v>784</v>
      </c>
      <c r="Z3" s="10"/>
      <c r="AA3" s="10" t="s">
        <v>785</v>
      </c>
      <c r="AB3">
        <v>4</v>
      </c>
      <c r="AC3">
        <f t="shared" si="0"/>
        <v>6</v>
      </c>
      <c r="AD3">
        <f t="shared" si="1"/>
        <v>12</v>
      </c>
    </row>
    <row r="4" spans="1:30" ht="43.2" x14ac:dyDescent="0.3">
      <c r="A4">
        <v>2016</v>
      </c>
      <c r="B4" t="s">
        <v>15</v>
      </c>
      <c r="C4">
        <v>9</v>
      </c>
      <c r="D4">
        <v>18</v>
      </c>
      <c r="E4">
        <v>8</v>
      </c>
      <c r="F4" t="s">
        <v>789</v>
      </c>
      <c r="I4" t="s">
        <v>2</v>
      </c>
      <c r="J4" t="s">
        <v>5</v>
      </c>
      <c r="K4">
        <v>30</v>
      </c>
      <c r="L4">
        <v>250</v>
      </c>
      <c r="M4" s="47" t="s">
        <v>30</v>
      </c>
      <c r="N4" s="47" t="s">
        <v>48</v>
      </c>
      <c r="O4">
        <v>1</v>
      </c>
      <c r="P4">
        <v>3</v>
      </c>
      <c r="Q4">
        <f t="shared" ref="Q4:Q18" si="2">O4*P4</f>
        <v>3</v>
      </c>
      <c r="R4" s="4">
        <f>D4/Q4</f>
        <v>6</v>
      </c>
      <c r="S4" t="s">
        <v>23</v>
      </c>
      <c r="U4">
        <v>40</v>
      </c>
      <c r="V4" t="s">
        <v>782</v>
      </c>
      <c r="W4" t="s">
        <v>657</v>
      </c>
      <c r="X4" t="s">
        <v>645</v>
      </c>
      <c r="Y4" t="s">
        <v>787</v>
      </c>
      <c r="Z4" s="10" t="s">
        <v>788</v>
      </c>
      <c r="AA4" s="10" t="s">
        <v>786</v>
      </c>
      <c r="AB4">
        <v>8</v>
      </c>
      <c r="AC4">
        <f t="shared" si="0"/>
        <v>28</v>
      </c>
      <c r="AD4">
        <f t="shared" si="1"/>
        <v>56</v>
      </c>
    </row>
    <row r="5" spans="1:30" ht="72" x14ac:dyDescent="0.3">
      <c r="A5">
        <v>2017</v>
      </c>
      <c r="B5" t="s">
        <v>16</v>
      </c>
      <c r="C5">
        <v>6</v>
      </c>
      <c r="D5">
        <v>12</v>
      </c>
      <c r="E5">
        <v>8</v>
      </c>
      <c r="F5">
        <v>1</v>
      </c>
      <c r="I5" t="s">
        <v>2</v>
      </c>
      <c r="J5" t="s">
        <v>5</v>
      </c>
      <c r="K5">
        <v>20</v>
      </c>
      <c r="L5">
        <v>10</v>
      </c>
      <c r="M5" s="47" t="s">
        <v>30</v>
      </c>
      <c r="N5" s="47" t="s">
        <v>48</v>
      </c>
      <c r="O5">
        <v>3.7</v>
      </c>
      <c r="P5">
        <v>1.4</v>
      </c>
      <c r="Q5">
        <f t="shared" si="2"/>
        <v>5.18</v>
      </c>
      <c r="R5" s="4">
        <f t="shared" ref="R5:R18" si="3">D5/Q5</f>
        <v>2.3166023166023169</v>
      </c>
      <c r="S5" t="s">
        <v>23</v>
      </c>
      <c r="T5" s="4"/>
      <c r="V5" t="s">
        <v>782</v>
      </c>
      <c r="W5" t="s">
        <v>637</v>
      </c>
      <c r="X5" s="10" t="s">
        <v>792</v>
      </c>
      <c r="Y5" t="s">
        <v>787</v>
      </c>
      <c r="Z5" s="10" t="s">
        <v>793</v>
      </c>
      <c r="AA5" s="51" t="s">
        <v>790</v>
      </c>
      <c r="AB5">
        <v>16</v>
      </c>
      <c r="AC5">
        <f t="shared" si="0"/>
        <v>120</v>
      </c>
      <c r="AD5">
        <f t="shared" si="1"/>
        <v>240</v>
      </c>
    </row>
    <row r="6" spans="1:30" x14ac:dyDescent="0.3">
      <c r="A6">
        <v>2017</v>
      </c>
      <c r="B6" t="s">
        <v>17</v>
      </c>
      <c r="C6">
        <v>88</v>
      </c>
      <c r="D6">
        <v>176</v>
      </c>
      <c r="E6">
        <v>52</v>
      </c>
      <c r="I6" t="s">
        <v>2</v>
      </c>
      <c r="J6" t="s">
        <v>5</v>
      </c>
      <c r="K6">
        <v>20</v>
      </c>
      <c r="M6" s="47" t="s">
        <v>32</v>
      </c>
      <c r="N6" s="47" t="s">
        <v>48</v>
      </c>
      <c r="O6">
        <v>2.1</v>
      </c>
      <c r="P6">
        <v>4.3</v>
      </c>
      <c r="Q6">
        <f t="shared" si="2"/>
        <v>9.0299999999999994</v>
      </c>
      <c r="R6" s="4">
        <f t="shared" si="3"/>
        <v>19.4905869324474</v>
      </c>
      <c r="S6" t="s">
        <v>24</v>
      </c>
      <c r="T6" s="4"/>
      <c r="Z6" s="10"/>
      <c r="AA6" s="10"/>
      <c r="AB6">
        <v>32</v>
      </c>
      <c r="AC6">
        <f t="shared" si="0"/>
        <v>496</v>
      </c>
      <c r="AD6">
        <f t="shared" si="1"/>
        <v>992</v>
      </c>
    </row>
    <row r="7" spans="1:30" x14ac:dyDescent="0.3">
      <c r="A7" s="1">
        <v>2017</v>
      </c>
      <c r="B7" s="1" t="s">
        <v>18</v>
      </c>
      <c r="C7" s="1">
        <v>56</v>
      </c>
      <c r="D7" s="1">
        <f>56*2</f>
        <v>112</v>
      </c>
      <c r="E7" s="1">
        <v>8</v>
      </c>
      <c r="F7" s="1"/>
      <c r="G7" s="1"/>
      <c r="H7" s="1"/>
      <c r="I7" s="1" t="s">
        <v>2</v>
      </c>
      <c r="J7" s="1" t="s">
        <v>5</v>
      </c>
      <c r="K7" s="1">
        <v>20</v>
      </c>
      <c r="L7" s="1"/>
      <c r="M7" s="48" t="s">
        <v>32</v>
      </c>
      <c r="N7" s="47" t="s">
        <v>48</v>
      </c>
      <c r="O7" s="1">
        <v>2.1</v>
      </c>
      <c r="P7" s="1">
        <v>4.4000000000000004</v>
      </c>
      <c r="Q7" s="1">
        <f t="shared" si="2"/>
        <v>9.240000000000002</v>
      </c>
      <c r="R7" s="4">
        <f t="shared" si="3"/>
        <v>12.121212121212119</v>
      </c>
      <c r="S7" s="1" t="s">
        <v>24</v>
      </c>
      <c r="T7" s="5"/>
      <c r="Z7" s="43" t="s">
        <v>22</v>
      </c>
      <c r="AA7" s="10"/>
      <c r="AB7">
        <v>64</v>
      </c>
      <c r="AC7">
        <f t="shared" si="0"/>
        <v>2016</v>
      </c>
      <c r="AD7">
        <f t="shared" si="1"/>
        <v>4032</v>
      </c>
    </row>
    <row r="8" spans="1:30" ht="28.8" x14ac:dyDescent="0.3">
      <c r="A8" s="2">
        <v>2018</v>
      </c>
      <c r="B8" s="2" t="s">
        <v>33</v>
      </c>
      <c r="C8" s="2">
        <f>10*3</f>
        <v>30</v>
      </c>
      <c r="D8" s="2">
        <f>40*3</f>
        <v>120</v>
      </c>
      <c r="E8" s="2">
        <v>40</v>
      </c>
      <c r="F8" s="2"/>
      <c r="G8" s="2"/>
      <c r="H8" s="2"/>
      <c r="I8" t="s">
        <v>2</v>
      </c>
      <c r="J8" s="2" t="s">
        <v>4</v>
      </c>
      <c r="K8" s="3" t="s">
        <v>36</v>
      </c>
      <c r="L8" s="2"/>
      <c r="M8" s="49" t="s">
        <v>35</v>
      </c>
      <c r="N8" s="47" t="s">
        <v>48</v>
      </c>
      <c r="O8">
        <v>3.05</v>
      </c>
      <c r="P8">
        <v>1.9</v>
      </c>
      <c r="Q8">
        <f>O8*P8*3</f>
        <v>17.384999999999998</v>
      </c>
      <c r="R8" s="4">
        <f t="shared" si="3"/>
        <v>6.9025021570319245</v>
      </c>
      <c r="S8" s="2" t="s">
        <v>24</v>
      </c>
      <c r="T8" s="6"/>
      <c r="W8" t="s">
        <v>637</v>
      </c>
      <c r="Z8" s="44" t="s">
        <v>34</v>
      </c>
      <c r="AA8" s="10"/>
      <c r="AB8">
        <v>128</v>
      </c>
      <c r="AC8">
        <f t="shared" si="0"/>
        <v>8128</v>
      </c>
      <c r="AD8">
        <f t="shared" si="1"/>
        <v>16256</v>
      </c>
    </row>
    <row r="9" spans="1:30" ht="28.8" x14ac:dyDescent="0.3">
      <c r="A9">
        <v>2019</v>
      </c>
      <c r="B9" t="s">
        <v>19</v>
      </c>
      <c r="C9">
        <v>20</v>
      </c>
      <c r="D9">
        <v>48</v>
      </c>
      <c r="E9">
        <v>8</v>
      </c>
      <c r="G9" s="28">
        <v>500</v>
      </c>
      <c r="I9" t="s">
        <v>2</v>
      </c>
      <c r="J9" t="s">
        <v>5</v>
      </c>
      <c r="K9">
        <v>54</v>
      </c>
      <c r="M9" s="47" t="s">
        <v>31</v>
      </c>
      <c r="N9" s="47" t="s">
        <v>48</v>
      </c>
      <c r="O9">
        <v>1.3</v>
      </c>
      <c r="P9">
        <v>7.5</v>
      </c>
      <c r="Q9">
        <f t="shared" si="2"/>
        <v>9.75</v>
      </c>
      <c r="R9" s="4">
        <f t="shared" si="3"/>
        <v>4.9230769230769234</v>
      </c>
      <c r="S9" t="s">
        <v>23</v>
      </c>
      <c r="T9" s="4">
        <v>6.9</v>
      </c>
      <c r="V9" t="s">
        <v>782</v>
      </c>
      <c r="W9" t="s">
        <v>637</v>
      </c>
      <c r="X9" t="s">
        <v>645</v>
      </c>
      <c r="Y9" t="s">
        <v>780</v>
      </c>
      <c r="Z9" s="10" t="s">
        <v>781</v>
      </c>
      <c r="AA9" t="s">
        <v>779</v>
      </c>
      <c r="AB9">
        <v>256</v>
      </c>
      <c r="AC9">
        <f t="shared" si="0"/>
        <v>32640</v>
      </c>
      <c r="AD9">
        <f t="shared" si="1"/>
        <v>65280</v>
      </c>
    </row>
    <row r="10" spans="1:30" ht="158.4" x14ac:dyDescent="0.3">
      <c r="A10">
        <v>2019</v>
      </c>
      <c r="B10" t="s">
        <v>763</v>
      </c>
      <c r="C10">
        <v>10</v>
      </c>
      <c r="D10">
        <v>20</v>
      </c>
      <c r="E10">
        <v>8</v>
      </c>
      <c r="F10">
        <v>1.5</v>
      </c>
      <c r="G10" t="s">
        <v>754</v>
      </c>
      <c r="H10" t="s">
        <v>754</v>
      </c>
      <c r="I10" t="s">
        <v>2</v>
      </c>
      <c r="J10" t="s">
        <v>5</v>
      </c>
      <c r="K10" s="2">
        <v>42</v>
      </c>
      <c r="L10">
        <v>30</v>
      </c>
      <c r="M10" s="47" t="s">
        <v>30</v>
      </c>
      <c r="N10" s="47" t="s">
        <v>48</v>
      </c>
      <c r="O10" t="s">
        <v>754</v>
      </c>
      <c r="P10" t="s">
        <v>754</v>
      </c>
      <c r="Q10" t="s">
        <v>754</v>
      </c>
      <c r="R10" s="4" t="s">
        <v>754</v>
      </c>
      <c r="S10" t="s">
        <v>23</v>
      </c>
      <c r="T10" s="4" t="s">
        <v>754</v>
      </c>
      <c r="U10">
        <v>43</v>
      </c>
      <c r="V10" s="4" t="s">
        <v>756</v>
      </c>
      <c r="W10" t="s">
        <v>754</v>
      </c>
      <c r="X10" s="4" t="s">
        <v>645</v>
      </c>
      <c r="Y10" t="s">
        <v>764</v>
      </c>
      <c r="Z10" s="10" t="s">
        <v>765</v>
      </c>
      <c r="AA10" s="10" t="s">
        <v>773</v>
      </c>
    </row>
    <row r="11" spans="1:30" ht="57.6" x14ac:dyDescent="0.3">
      <c r="A11" s="28">
        <v>2020</v>
      </c>
      <c r="B11" s="28" t="s">
        <v>17</v>
      </c>
      <c r="C11" s="28">
        <f>64*63/2</f>
        <v>2016</v>
      </c>
      <c r="D11" s="28">
        <f>C11*2+64</f>
        <v>4096</v>
      </c>
      <c r="E11" s="28">
        <f>64*2</f>
        <v>128</v>
      </c>
      <c r="F11" s="28"/>
      <c r="G11" s="28"/>
      <c r="H11" s="28"/>
      <c r="I11" s="28" t="s">
        <v>613</v>
      </c>
      <c r="J11" s="28" t="s">
        <v>5</v>
      </c>
      <c r="M11" s="47"/>
      <c r="N11" s="47" t="s">
        <v>48</v>
      </c>
      <c r="R11" s="4"/>
      <c r="V11" t="s">
        <v>756</v>
      </c>
      <c r="AA11" s="10" t="s">
        <v>629</v>
      </c>
    </row>
    <row r="12" spans="1:30" ht="28.8" x14ac:dyDescent="0.3">
      <c r="A12">
        <v>2021</v>
      </c>
      <c r="B12" t="s">
        <v>486</v>
      </c>
      <c r="C12">
        <v>6</v>
      </c>
      <c r="D12">
        <v>12</v>
      </c>
      <c r="E12">
        <f>8+8</f>
        <v>16</v>
      </c>
      <c r="F12">
        <v>1.1000000000000001</v>
      </c>
      <c r="I12" t="s">
        <v>2</v>
      </c>
      <c r="J12" t="s">
        <v>487</v>
      </c>
      <c r="M12" s="47" t="s">
        <v>35</v>
      </c>
      <c r="N12" s="47" t="s">
        <v>48</v>
      </c>
      <c r="O12">
        <v>10</v>
      </c>
      <c r="P12">
        <v>4</v>
      </c>
      <c r="Q12">
        <f t="shared" si="2"/>
        <v>40</v>
      </c>
      <c r="R12" s="4">
        <f t="shared" si="3"/>
        <v>0.3</v>
      </c>
      <c r="S12" t="s">
        <v>24</v>
      </c>
      <c r="T12" s="4">
        <v>1.55</v>
      </c>
      <c r="Z12" s="10" t="s">
        <v>488</v>
      </c>
      <c r="AA12" s="10"/>
    </row>
    <row r="13" spans="1:30" x14ac:dyDescent="0.3">
      <c r="A13">
        <v>2021</v>
      </c>
      <c r="B13" t="s">
        <v>58</v>
      </c>
      <c r="C13">
        <v>700</v>
      </c>
      <c r="D13">
        <v>1300</v>
      </c>
      <c r="E13">
        <v>42</v>
      </c>
      <c r="F13" s="1">
        <v>0.35</v>
      </c>
      <c r="G13">
        <v>580</v>
      </c>
      <c r="I13" t="s">
        <v>2</v>
      </c>
      <c r="J13" t="s">
        <v>482</v>
      </c>
      <c r="K13" s="1">
        <v>60</v>
      </c>
      <c r="M13" s="47" t="s">
        <v>35</v>
      </c>
      <c r="N13" s="47" t="s">
        <v>48</v>
      </c>
      <c r="O13">
        <v>11.41</v>
      </c>
      <c r="P13">
        <v>6.54</v>
      </c>
      <c r="Q13">
        <f t="shared" si="2"/>
        <v>74.621400000000008</v>
      </c>
      <c r="R13" s="4">
        <f t="shared" si="3"/>
        <v>17.421275934249422</v>
      </c>
      <c r="S13" t="s">
        <v>24</v>
      </c>
      <c r="T13">
        <v>1.5</v>
      </c>
      <c r="W13" t="s">
        <v>645</v>
      </c>
      <c r="X13" t="s">
        <v>760</v>
      </c>
      <c r="Y13" t="s">
        <v>645</v>
      </c>
      <c r="Z13" s="10" t="s">
        <v>761</v>
      </c>
      <c r="AA13" s="10"/>
    </row>
    <row r="14" spans="1:30" ht="57.6" x14ac:dyDescent="0.3">
      <c r="A14">
        <v>2021</v>
      </c>
      <c r="B14" t="s">
        <v>481</v>
      </c>
      <c r="C14">
        <v>28</v>
      </c>
      <c r="D14">
        <v>56</v>
      </c>
      <c r="E14">
        <v>16</v>
      </c>
      <c r="F14">
        <v>0.4</v>
      </c>
      <c r="G14">
        <v>350</v>
      </c>
      <c r="I14" t="s">
        <v>2</v>
      </c>
      <c r="J14" t="s">
        <v>482</v>
      </c>
      <c r="K14">
        <v>6.1</v>
      </c>
      <c r="L14">
        <f>1/(10000)*1000000</f>
        <v>100</v>
      </c>
      <c r="M14" s="47" t="s">
        <v>30</v>
      </c>
      <c r="N14" s="47" t="s">
        <v>48</v>
      </c>
      <c r="O14">
        <v>2</v>
      </c>
      <c r="P14">
        <v>8</v>
      </c>
      <c r="Q14">
        <f t="shared" si="2"/>
        <v>16</v>
      </c>
      <c r="R14" s="4">
        <f t="shared" si="3"/>
        <v>3.5</v>
      </c>
      <c r="S14" t="s">
        <v>23</v>
      </c>
      <c r="T14">
        <f>11.6/2</f>
        <v>5.8</v>
      </c>
      <c r="U14">
        <v>27</v>
      </c>
      <c r="V14" t="s">
        <v>775</v>
      </c>
      <c r="W14" t="s">
        <v>637</v>
      </c>
      <c r="X14" t="s">
        <v>645</v>
      </c>
      <c r="Y14" t="s">
        <v>776</v>
      </c>
      <c r="Z14" s="10" t="s">
        <v>483</v>
      </c>
      <c r="AA14" s="10" t="s">
        <v>774</v>
      </c>
    </row>
    <row r="15" spans="1:30" ht="61.2" customHeight="1" x14ac:dyDescent="0.3">
      <c r="A15" s="21">
        <v>2021</v>
      </c>
      <c r="B15" s="21" t="s">
        <v>752</v>
      </c>
      <c r="C15">
        <v>14</v>
      </c>
      <c r="D15">
        <f>C15*2+4</f>
        <v>32</v>
      </c>
      <c r="E15">
        <v>8</v>
      </c>
      <c r="F15" t="s">
        <v>754</v>
      </c>
      <c r="G15" s="28">
        <v>500</v>
      </c>
      <c r="H15" t="s">
        <v>754</v>
      </c>
      <c r="I15" t="s">
        <v>2</v>
      </c>
      <c r="J15" t="s">
        <v>5</v>
      </c>
      <c r="K15">
        <v>32</v>
      </c>
      <c r="L15" t="s">
        <v>754</v>
      </c>
      <c r="M15" s="47" t="s">
        <v>753</v>
      </c>
      <c r="N15" s="47" t="s">
        <v>48</v>
      </c>
      <c r="O15" t="s">
        <v>754</v>
      </c>
      <c r="P15" t="s">
        <v>754</v>
      </c>
      <c r="Q15" t="s">
        <v>754</v>
      </c>
      <c r="R15" s="4"/>
      <c r="S15" t="s">
        <v>23</v>
      </c>
      <c r="T15" t="s">
        <v>754</v>
      </c>
      <c r="U15" t="s">
        <v>754</v>
      </c>
      <c r="V15" t="s">
        <v>756</v>
      </c>
      <c r="W15" t="s">
        <v>645</v>
      </c>
      <c r="X15" t="s">
        <v>757</v>
      </c>
      <c r="Y15" t="s">
        <v>758</v>
      </c>
      <c r="Z15" s="10" t="s">
        <v>762</v>
      </c>
      <c r="AA15" s="10" t="s">
        <v>759</v>
      </c>
    </row>
    <row r="16" spans="1:30" ht="39" customHeight="1" x14ac:dyDescent="0.3">
      <c r="A16" s="50">
        <v>2021</v>
      </c>
      <c r="B16" s="50" t="s">
        <v>766</v>
      </c>
      <c r="C16">
        <v>128</v>
      </c>
      <c r="D16">
        <v>128</v>
      </c>
      <c r="E16">
        <v>20</v>
      </c>
      <c r="F16">
        <v>0.7</v>
      </c>
      <c r="G16" s="28">
        <v>600</v>
      </c>
      <c r="H16" t="s">
        <v>754</v>
      </c>
      <c r="I16" t="s">
        <v>2</v>
      </c>
      <c r="J16" t="s">
        <v>5</v>
      </c>
      <c r="K16">
        <f>76*2</f>
        <v>152</v>
      </c>
      <c r="L16" t="s">
        <v>754</v>
      </c>
      <c r="M16" s="47" t="s">
        <v>767</v>
      </c>
      <c r="N16" s="47" t="s">
        <v>768</v>
      </c>
      <c r="O16">
        <v>12.2</v>
      </c>
      <c r="P16">
        <v>3.6</v>
      </c>
      <c r="Q16">
        <f t="shared" si="2"/>
        <v>43.92</v>
      </c>
      <c r="R16" s="4">
        <f t="shared" si="3"/>
        <v>2.9143897996357011</v>
      </c>
      <c r="S16" t="s">
        <v>24</v>
      </c>
      <c r="T16">
        <v>5.67</v>
      </c>
      <c r="U16" t="s">
        <v>754</v>
      </c>
      <c r="V16" t="s">
        <v>769</v>
      </c>
      <c r="W16" t="s">
        <v>637</v>
      </c>
      <c r="X16" t="s">
        <v>760</v>
      </c>
      <c r="Y16" t="s">
        <v>770</v>
      </c>
      <c r="Z16" s="10" t="s">
        <v>771</v>
      </c>
      <c r="AA16" s="10" t="s">
        <v>772</v>
      </c>
    </row>
    <row r="17" spans="1:27" x14ac:dyDescent="0.3">
      <c r="A17" s="50">
        <v>2021</v>
      </c>
      <c r="B17" s="50" t="s">
        <v>777</v>
      </c>
      <c r="C17">
        <v>8</v>
      </c>
      <c r="D17">
        <v>20</v>
      </c>
      <c r="E17">
        <v>8</v>
      </c>
      <c r="F17">
        <v>0.7</v>
      </c>
      <c r="G17" s="28">
        <v>519</v>
      </c>
      <c r="H17" t="s">
        <v>754</v>
      </c>
      <c r="I17" t="s">
        <v>2</v>
      </c>
      <c r="J17" t="s">
        <v>5</v>
      </c>
      <c r="K17">
        <v>110</v>
      </c>
      <c r="M17" s="47" t="s">
        <v>30</v>
      </c>
      <c r="N17" s="47" t="s">
        <v>48</v>
      </c>
      <c r="O17">
        <v>5</v>
      </c>
      <c r="P17">
        <v>1.5</v>
      </c>
      <c r="Q17">
        <f t="shared" si="2"/>
        <v>7.5</v>
      </c>
      <c r="R17" s="4">
        <f t="shared" si="3"/>
        <v>2.6666666666666665</v>
      </c>
      <c r="S17" t="s">
        <v>23</v>
      </c>
      <c r="T17">
        <v>6.5</v>
      </c>
      <c r="U17">
        <v>26.8</v>
      </c>
      <c r="V17" t="s">
        <v>778</v>
      </c>
      <c r="W17" t="s">
        <v>637</v>
      </c>
      <c r="X17" t="s">
        <v>645</v>
      </c>
      <c r="Y17" t="s">
        <v>645</v>
      </c>
      <c r="AA17" s="10"/>
    </row>
    <row r="18" spans="1:27" x14ac:dyDescent="0.3">
      <c r="A18" s="50">
        <v>2021</v>
      </c>
      <c r="B18" s="50" t="s">
        <v>777</v>
      </c>
      <c r="C18">
        <v>10</v>
      </c>
      <c r="D18">
        <v>20</v>
      </c>
      <c r="E18">
        <v>16</v>
      </c>
      <c r="F18">
        <v>1.5</v>
      </c>
      <c r="G18" s="28">
        <v>8400</v>
      </c>
      <c r="H18" t="s">
        <v>754</v>
      </c>
      <c r="I18" t="s">
        <v>2</v>
      </c>
      <c r="J18" t="s">
        <v>487</v>
      </c>
      <c r="K18">
        <v>592</v>
      </c>
      <c r="M18" s="47" t="s">
        <v>35</v>
      </c>
      <c r="N18" s="47" t="s">
        <v>48</v>
      </c>
      <c r="O18">
        <v>16</v>
      </c>
      <c r="P18">
        <v>8</v>
      </c>
      <c r="Q18">
        <f t="shared" si="2"/>
        <v>128</v>
      </c>
      <c r="R18" s="4">
        <f t="shared" si="3"/>
        <v>0.15625</v>
      </c>
      <c r="S18" t="s">
        <v>24</v>
      </c>
      <c r="T18">
        <v>1.5</v>
      </c>
      <c r="U18">
        <v>24</v>
      </c>
      <c r="V18" t="s">
        <v>778</v>
      </c>
      <c r="W18" t="s">
        <v>637</v>
      </c>
      <c r="X18" t="s">
        <v>645</v>
      </c>
      <c r="Y18" t="s">
        <v>645</v>
      </c>
      <c r="AA18" s="10"/>
    </row>
    <row r="19" spans="1:27" x14ac:dyDescent="0.3">
      <c r="N19" s="47"/>
      <c r="AA19" s="10"/>
    </row>
    <row r="20" spans="1:27" x14ac:dyDescent="0.3">
      <c r="AA20" s="10"/>
    </row>
    <row r="21" spans="1:27" x14ac:dyDescent="0.3">
      <c r="AA21" s="10"/>
    </row>
    <row r="22" spans="1:27" x14ac:dyDescent="0.3">
      <c r="AA22" s="10"/>
    </row>
    <row r="23" spans="1:27" x14ac:dyDescent="0.3">
      <c r="AA23" s="10"/>
    </row>
    <row r="24" spans="1:27" x14ac:dyDescent="0.3">
      <c r="AA24" s="1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15DF-4991-472F-AEE0-A74CE4288BA8}">
  <dimension ref="A1:R22"/>
  <sheetViews>
    <sheetView zoomScale="70" zoomScaleNormal="70" workbookViewId="0">
      <selection activeCell="E20" sqref="E20"/>
    </sheetView>
  </sheetViews>
  <sheetFormatPr baseColWidth="10" defaultRowHeight="14.4" x14ac:dyDescent="0.3"/>
  <cols>
    <col min="2" max="2" width="24.33203125" customWidth="1"/>
    <col min="8" max="8" width="18" bestFit="1" customWidth="1"/>
    <col min="9" max="9" width="15.5546875" customWidth="1"/>
    <col min="10" max="10" width="12.109375" customWidth="1"/>
    <col min="11" max="11" width="18.88671875" customWidth="1"/>
  </cols>
  <sheetData>
    <row r="1" spans="1:18" ht="43.2" x14ac:dyDescent="0.3">
      <c r="A1" s="7" t="s">
        <v>20</v>
      </c>
      <c r="B1" s="7" t="s">
        <v>13</v>
      </c>
      <c r="C1" s="7" t="s">
        <v>0</v>
      </c>
      <c r="D1" s="7" t="s">
        <v>1</v>
      </c>
      <c r="E1" s="7" t="s">
        <v>8</v>
      </c>
      <c r="F1" s="7" t="s">
        <v>46</v>
      </c>
      <c r="G1" s="7" t="s">
        <v>44</v>
      </c>
      <c r="H1" s="7" t="s">
        <v>45</v>
      </c>
      <c r="I1" s="7" t="s">
        <v>37</v>
      </c>
      <c r="J1" s="7" t="s">
        <v>3</v>
      </c>
      <c r="K1" s="7" t="s">
        <v>9</v>
      </c>
      <c r="L1" s="7" t="s">
        <v>6</v>
      </c>
      <c r="M1" s="7" t="s">
        <v>28</v>
      </c>
      <c r="N1" s="7" t="s">
        <v>12</v>
      </c>
      <c r="O1" s="7" t="s">
        <v>11</v>
      </c>
      <c r="P1" s="7" t="s">
        <v>21</v>
      </c>
      <c r="Q1" s="7" t="s">
        <v>25</v>
      </c>
      <c r="R1" s="7" t="s">
        <v>10</v>
      </c>
    </row>
    <row r="2" spans="1:18" x14ac:dyDescent="0.3">
      <c r="A2">
        <v>2015</v>
      </c>
      <c r="B2" t="s">
        <v>26</v>
      </c>
      <c r="C2">
        <v>7</v>
      </c>
      <c r="D2">
        <v>14</v>
      </c>
      <c r="E2">
        <v>4</v>
      </c>
      <c r="G2">
        <v>3450</v>
      </c>
      <c r="H2">
        <v>19.7</v>
      </c>
      <c r="I2" t="s">
        <v>2</v>
      </c>
      <c r="J2" t="s">
        <v>27</v>
      </c>
      <c r="K2">
        <v>600</v>
      </c>
      <c r="L2" t="s">
        <v>51</v>
      </c>
      <c r="M2" t="s">
        <v>29</v>
      </c>
      <c r="N2" t="s">
        <v>48</v>
      </c>
      <c r="O2" t="s">
        <v>50</v>
      </c>
      <c r="Q2" t="s">
        <v>40</v>
      </c>
    </row>
    <row r="3" spans="1:18" x14ac:dyDescent="0.3">
      <c r="A3">
        <v>2016</v>
      </c>
      <c r="B3" t="s">
        <v>38</v>
      </c>
      <c r="C3">
        <v>30</v>
      </c>
      <c r="D3">
        <v>60</v>
      </c>
      <c r="E3">
        <v>24</v>
      </c>
      <c r="G3">
        <v>975</v>
      </c>
      <c r="H3">
        <v>13.5</v>
      </c>
      <c r="I3" t="s">
        <v>2</v>
      </c>
      <c r="J3" t="s">
        <v>53</v>
      </c>
      <c r="K3">
        <v>220</v>
      </c>
      <c r="L3" t="s">
        <v>51</v>
      </c>
      <c r="M3" t="s">
        <v>39</v>
      </c>
      <c r="N3" t="s">
        <v>48</v>
      </c>
      <c r="O3" t="s">
        <v>43</v>
      </c>
      <c r="P3">
        <f>60/(15*15)</f>
        <v>0.26666666666666666</v>
      </c>
      <c r="Q3" t="s">
        <v>41</v>
      </c>
    </row>
    <row r="4" spans="1:18" x14ac:dyDescent="0.3">
      <c r="A4">
        <v>2017</v>
      </c>
      <c r="B4" t="s">
        <v>38</v>
      </c>
      <c r="C4">
        <v>40</v>
      </c>
      <c r="D4">
        <v>80</v>
      </c>
      <c r="E4">
        <v>30</v>
      </c>
      <c r="G4">
        <v>1315</v>
      </c>
      <c r="H4">
        <v>8.42</v>
      </c>
      <c r="I4" t="s">
        <v>2</v>
      </c>
      <c r="J4" t="s">
        <v>27</v>
      </c>
      <c r="K4">
        <v>400</v>
      </c>
      <c r="L4" t="s">
        <v>51</v>
      </c>
      <c r="M4" t="s">
        <v>39</v>
      </c>
      <c r="N4" t="s">
        <v>48</v>
      </c>
      <c r="O4" t="s">
        <v>42</v>
      </c>
      <c r="Q4" t="s">
        <v>40</v>
      </c>
    </row>
    <row r="5" spans="1:18" x14ac:dyDescent="0.3">
      <c r="A5">
        <v>2018</v>
      </c>
      <c r="B5" t="s">
        <v>38</v>
      </c>
      <c r="C5">
        <v>5</v>
      </c>
      <c r="D5">
        <v>10</v>
      </c>
      <c r="E5">
        <v>8</v>
      </c>
      <c r="G5">
        <v>1178</v>
      </c>
      <c r="H5" t="s">
        <v>47</v>
      </c>
      <c r="I5" t="s">
        <v>2</v>
      </c>
      <c r="J5" t="s">
        <v>27</v>
      </c>
      <c r="K5">
        <v>600</v>
      </c>
      <c r="L5" t="s">
        <v>51</v>
      </c>
      <c r="M5" t="s">
        <v>30</v>
      </c>
      <c r="N5" t="s">
        <v>49</v>
      </c>
      <c r="O5" t="s">
        <v>42</v>
      </c>
      <c r="Q5" t="s">
        <v>40</v>
      </c>
    </row>
    <row r="6" spans="1:18" hidden="1" x14ac:dyDescent="0.3">
      <c r="A6" s="1">
        <v>2019</v>
      </c>
      <c r="B6" s="1" t="s">
        <v>52</v>
      </c>
      <c r="C6" s="1">
        <v>168</v>
      </c>
      <c r="D6" s="1">
        <v>336</v>
      </c>
      <c r="E6" s="1">
        <v>40</v>
      </c>
      <c r="F6" s="1"/>
      <c r="G6" s="1">
        <v>400</v>
      </c>
      <c r="H6" s="1" t="s">
        <v>47</v>
      </c>
      <c r="I6" t="s">
        <v>2</v>
      </c>
      <c r="J6" s="1" t="s">
        <v>53</v>
      </c>
      <c r="K6" s="1" t="s">
        <v>54</v>
      </c>
      <c r="L6" s="1" t="s">
        <v>51</v>
      </c>
      <c r="M6" s="1" t="s">
        <v>55</v>
      </c>
      <c r="N6" s="1" t="s">
        <v>48</v>
      </c>
      <c r="O6" s="1" t="s">
        <v>56</v>
      </c>
    </row>
    <row r="7" spans="1:18" hidden="1" x14ac:dyDescent="0.3">
      <c r="A7" s="1">
        <v>2020</v>
      </c>
      <c r="B7" s="1" t="s">
        <v>57</v>
      </c>
      <c r="C7" s="1">
        <v>70</v>
      </c>
      <c r="D7" s="1">
        <f>C7*2</f>
        <v>140</v>
      </c>
      <c r="E7" s="1"/>
      <c r="F7" s="1"/>
      <c r="G7" s="1"/>
      <c r="H7" s="1"/>
      <c r="I7" t="s">
        <v>2</v>
      </c>
      <c r="J7" s="1" t="s">
        <v>53</v>
      </c>
      <c r="K7" s="1"/>
      <c r="L7" s="1"/>
    </row>
    <row r="8" spans="1:18" hidden="1" x14ac:dyDescent="0.3">
      <c r="A8" s="1">
        <v>2020</v>
      </c>
      <c r="B8" s="1" t="s">
        <v>59</v>
      </c>
      <c r="C8" s="1">
        <v>45</v>
      </c>
      <c r="D8" s="1">
        <f>C8*2</f>
        <v>90</v>
      </c>
      <c r="G8" s="2"/>
      <c r="H8" s="2"/>
      <c r="I8" t="s">
        <v>2</v>
      </c>
      <c r="J8" s="1" t="s">
        <v>53</v>
      </c>
    </row>
    <row r="9" spans="1:18" hidden="1" x14ac:dyDescent="0.3">
      <c r="A9" s="1">
        <v>2020</v>
      </c>
      <c r="B9" s="1" t="s">
        <v>60</v>
      </c>
      <c r="C9" s="1">
        <v>108</v>
      </c>
      <c r="D9" s="1">
        <f>C9*2</f>
        <v>216</v>
      </c>
      <c r="I9" t="s">
        <v>2</v>
      </c>
    </row>
    <row r="10" spans="1:18" x14ac:dyDescent="0.3">
      <c r="A10" s="2">
        <v>2020</v>
      </c>
      <c r="B10" s="2" t="s">
        <v>489</v>
      </c>
      <c r="C10" s="2">
        <v>19</v>
      </c>
      <c r="D10" s="2">
        <v>19</v>
      </c>
      <c r="E10" s="2">
        <v>20</v>
      </c>
      <c r="F10" s="2"/>
      <c r="G10" s="2">
        <v>380</v>
      </c>
      <c r="H10">
        <v>6.9</v>
      </c>
      <c r="I10" s="2" t="s">
        <v>2</v>
      </c>
      <c r="J10" s="2" t="s">
        <v>53</v>
      </c>
      <c r="K10" s="2" t="s">
        <v>51</v>
      </c>
      <c r="L10" s="2" t="s">
        <v>51</v>
      </c>
      <c r="M10" s="2" t="s">
        <v>39</v>
      </c>
      <c r="N10" s="2" t="s">
        <v>48</v>
      </c>
      <c r="O10" s="2" t="s">
        <v>491</v>
      </c>
      <c r="P10" s="2">
        <f>D10/(2+2.84)</f>
        <v>3.9256198347107438</v>
      </c>
      <c r="Q10" s="2" t="s">
        <v>41</v>
      </c>
      <c r="R10" s="2" t="s">
        <v>490</v>
      </c>
    </row>
    <row r="11" spans="1:18" x14ac:dyDescent="0.3">
      <c r="A11" s="2">
        <v>2020</v>
      </c>
      <c r="B11" s="2" t="s">
        <v>710</v>
      </c>
      <c r="C11" s="2">
        <v>32</v>
      </c>
      <c r="D11" s="2">
        <f>32</f>
        <v>32</v>
      </c>
      <c r="E11" s="2"/>
      <c r="F11" s="2"/>
      <c r="G11" s="2"/>
      <c r="I11" s="2"/>
      <c r="J11" s="2"/>
      <c r="K11" s="2"/>
      <c r="L11" s="2"/>
      <c r="M11" s="2"/>
      <c r="N11" s="2"/>
      <c r="O11" s="1" t="s">
        <v>711</v>
      </c>
      <c r="P11" s="2">
        <f>D11/(0.4*0.4)</f>
        <v>199.99999999999997</v>
      </c>
      <c r="Q11" s="2"/>
      <c r="R11" s="2" t="s">
        <v>712</v>
      </c>
    </row>
    <row r="12" spans="1:18" x14ac:dyDescent="0.3">
      <c r="A12" s="2">
        <v>2021</v>
      </c>
      <c r="B12" s="2" t="s">
        <v>686</v>
      </c>
      <c r="C12" s="2">
        <v>101</v>
      </c>
      <c r="D12" s="2">
        <f>101+99</f>
        <v>200</v>
      </c>
      <c r="E12" s="2"/>
      <c r="F12" s="35">
        <v>0.7</v>
      </c>
      <c r="G12" s="2"/>
      <c r="I12" s="2"/>
      <c r="J12" s="2"/>
      <c r="K12" s="2"/>
      <c r="L12" s="2"/>
      <c r="M12" s="2" t="s">
        <v>39</v>
      </c>
      <c r="N12" s="2" t="s">
        <v>613</v>
      </c>
      <c r="O12" s="2"/>
      <c r="P12" s="2"/>
      <c r="Q12" s="2"/>
      <c r="R12" s="2" t="s">
        <v>687</v>
      </c>
    </row>
    <row r="13" spans="1:18" x14ac:dyDescent="0.3">
      <c r="A13" s="1">
        <v>2021</v>
      </c>
      <c r="B13" s="1" t="s">
        <v>477</v>
      </c>
      <c r="C13">
        <v>45</v>
      </c>
      <c r="D13">
        <f>C13*2</f>
        <v>90</v>
      </c>
      <c r="E13">
        <v>32</v>
      </c>
      <c r="I13" t="s">
        <v>2</v>
      </c>
      <c r="J13" s="1" t="s">
        <v>53</v>
      </c>
      <c r="K13">
        <v>20</v>
      </c>
      <c r="M13" t="s">
        <v>39</v>
      </c>
      <c r="N13" t="s">
        <v>48</v>
      </c>
      <c r="O13" t="s">
        <v>484</v>
      </c>
      <c r="P13">
        <f>D13/(10*10)</f>
        <v>0.9</v>
      </c>
      <c r="Q13" t="s">
        <v>41</v>
      </c>
    </row>
    <row r="14" spans="1:18" x14ac:dyDescent="0.3">
      <c r="A14" s="1">
        <v>2021</v>
      </c>
      <c r="B14" s="1" t="s">
        <v>52</v>
      </c>
      <c r="C14" s="1">
        <v>168</v>
      </c>
      <c r="D14">
        <v>336</v>
      </c>
      <c r="E14" s="1">
        <v>40</v>
      </c>
      <c r="F14" s="1"/>
      <c r="I14" t="s">
        <v>2</v>
      </c>
      <c r="J14" s="1" t="s">
        <v>53</v>
      </c>
      <c r="M14" t="s">
        <v>476</v>
      </c>
      <c r="N14" t="s">
        <v>48</v>
      </c>
    </row>
    <row r="15" spans="1:18" x14ac:dyDescent="0.3">
      <c r="A15" s="1">
        <v>2021</v>
      </c>
      <c r="B15" s="1" t="s">
        <v>61</v>
      </c>
      <c r="C15" s="1">
        <v>200</v>
      </c>
      <c r="D15">
        <v>400</v>
      </c>
      <c r="I15" t="s">
        <v>2</v>
      </c>
    </row>
    <row r="16" spans="1:18" x14ac:dyDescent="0.3">
      <c r="A16" s="1">
        <v>2021</v>
      </c>
      <c r="B16" s="1" t="s">
        <v>480</v>
      </c>
      <c r="C16" s="1">
        <v>172</v>
      </c>
      <c r="D16">
        <f>C16*2</f>
        <v>344</v>
      </c>
      <c r="E16">
        <v>32</v>
      </c>
      <c r="J16" s="1"/>
      <c r="K16" s="1">
        <v>20</v>
      </c>
    </row>
    <row r="17" spans="1:16" x14ac:dyDescent="0.3">
      <c r="A17" s="1">
        <v>2021</v>
      </c>
      <c r="B17" s="1" t="s">
        <v>478</v>
      </c>
      <c r="C17" s="1">
        <v>288</v>
      </c>
      <c r="D17">
        <f>C17*2</f>
        <v>576</v>
      </c>
      <c r="E17" s="1">
        <v>64</v>
      </c>
      <c r="F17" s="1"/>
      <c r="I17" t="s">
        <v>2</v>
      </c>
      <c r="J17" s="1" t="s">
        <v>53</v>
      </c>
      <c r="K17" s="1">
        <v>20</v>
      </c>
      <c r="M17" t="s">
        <v>476</v>
      </c>
      <c r="N17" t="s">
        <v>48</v>
      </c>
      <c r="O17" t="s">
        <v>684</v>
      </c>
      <c r="P17">
        <f>D17/(10*30.1)</f>
        <v>1.9136212624584719</v>
      </c>
    </row>
    <row r="18" spans="1:16" x14ac:dyDescent="0.3">
      <c r="A18" s="1">
        <v>2021</v>
      </c>
      <c r="B18" s="1" t="s">
        <v>479</v>
      </c>
      <c r="C18" s="1">
        <v>254</v>
      </c>
      <c r="D18">
        <f>C18*2</f>
        <v>508</v>
      </c>
      <c r="E18" s="1">
        <v>64</v>
      </c>
      <c r="F18" s="1"/>
      <c r="I18" t="s">
        <v>2</v>
      </c>
      <c r="J18" s="1" t="s">
        <v>53</v>
      </c>
      <c r="K18" s="1">
        <v>20</v>
      </c>
      <c r="M18" t="s">
        <v>476</v>
      </c>
      <c r="N18" t="s">
        <v>48</v>
      </c>
      <c r="O18" t="s">
        <v>685</v>
      </c>
      <c r="P18">
        <f>D18/(14.8*30.1)</f>
        <v>1.140343000808117</v>
      </c>
    </row>
    <row r="19" spans="1:16" x14ac:dyDescent="0.3">
      <c r="A19" s="1">
        <v>2021</v>
      </c>
      <c r="B19" s="1" t="s">
        <v>751</v>
      </c>
      <c r="C19" s="1">
        <f>72+10</f>
        <v>82</v>
      </c>
      <c r="D19">
        <f>72*2+10</f>
        <v>154</v>
      </c>
      <c r="E19" s="1">
        <v>32</v>
      </c>
    </row>
    <row r="22" spans="1:16" x14ac:dyDescent="0.3">
      <c r="A22" s="1"/>
      <c r="B22" s="1"/>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BA7A-BF0A-46C0-890B-DAB173F75AB9}">
  <dimension ref="A1:AA12"/>
  <sheetViews>
    <sheetView zoomScale="40" zoomScaleNormal="40" workbookViewId="0">
      <selection activeCell="T33" sqref="T33"/>
    </sheetView>
  </sheetViews>
  <sheetFormatPr baseColWidth="10" defaultRowHeight="14.4" x14ac:dyDescent="0.3"/>
  <cols>
    <col min="1" max="1" width="9.6640625" customWidth="1"/>
    <col min="2" max="2" width="15.6640625" customWidth="1"/>
    <col min="4" max="4" width="19.5546875" customWidth="1"/>
    <col min="5" max="5" width="18.109375" customWidth="1"/>
    <col min="6" max="6" width="16.6640625" customWidth="1"/>
    <col min="7" max="7" width="15.6640625" customWidth="1"/>
    <col min="8" max="8" width="15.5546875" customWidth="1"/>
    <col min="9" max="9" width="18.5546875" customWidth="1"/>
    <col min="10" max="10" width="12.6640625" customWidth="1"/>
    <col min="11" max="11" width="39.44140625" customWidth="1"/>
    <col min="12" max="12" width="37.6640625" customWidth="1"/>
    <col min="13" max="13" width="13.88671875" customWidth="1"/>
    <col min="15" max="15" width="20.88671875" customWidth="1"/>
    <col min="16" max="16" width="22.88671875" customWidth="1"/>
    <col min="17" max="17" width="16.109375" customWidth="1"/>
    <col min="18" max="18" width="26.109375" customWidth="1"/>
    <col min="19" max="19" width="19.5546875" customWidth="1"/>
    <col min="20" max="20" width="67.5546875" bestFit="1" customWidth="1"/>
    <col min="21" max="21" width="11.88671875" customWidth="1"/>
    <col min="22" max="22" width="19.109375" customWidth="1"/>
    <col min="23" max="23" width="26.6640625" customWidth="1"/>
    <col min="24" max="24" width="28.44140625" customWidth="1"/>
    <col min="25" max="25" width="23.88671875" customWidth="1"/>
    <col min="26" max="26" width="28.88671875" customWidth="1"/>
    <col min="27" max="27" width="34.88671875" customWidth="1"/>
  </cols>
  <sheetData>
    <row r="1" spans="1:27" ht="16.2" x14ac:dyDescent="0.3">
      <c r="A1" s="42" t="s">
        <v>20</v>
      </c>
      <c r="B1" s="42" t="s">
        <v>13</v>
      </c>
      <c r="C1" s="42" t="s">
        <v>505</v>
      </c>
      <c r="D1" s="42" t="s">
        <v>1</v>
      </c>
      <c r="E1" s="42" t="s">
        <v>8</v>
      </c>
      <c r="F1" s="42" t="s">
        <v>495</v>
      </c>
      <c r="G1" s="42" t="s">
        <v>44</v>
      </c>
      <c r="H1" s="42" t="s">
        <v>45</v>
      </c>
      <c r="I1" s="42" t="s">
        <v>37</v>
      </c>
      <c r="J1" s="42" t="s">
        <v>3</v>
      </c>
      <c r="K1" s="42" t="s">
        <v>9</v>
      </c>
      <c r="L1" s="42" t="s">
        <v>6</v>
      </c>
      <c r="M1" s="42" t="s">
        <v>28</v>
      </c>
      <c r="N1" s="42" t="s">
        <v>12</v>
      </c>
      <c r="O1" s="42" t="s">
        <v>564</v>
      </c>
      <c r="P1" s="42" t="s">
        <v>563</v>
      </c>
      <c r="Q1" s="42" t="s">
        <v>539</v>
      </c>
      <c r="R1" s="42" t="s">
        <v>21</v>
      </c>
      <c r="S1" s="42" t="s">
        <v>25</v>
      </c>
      <c r="T1" s="42" t="s">
        <v>557</v>
      </c>
      <c r="U1" s="42" t="s">
        <v>496</v>
      </c>
      <c r="V1" s="42" t="s">
        <v>574</v>
      </c>
      <c r="W1" s="42" t="s">
        <v>636</v>
      </c>
      <c r="X1" s="42" t="s">
        <v>644</v>
      </c>
      <c r="Y1" s="42" t="s">
        <v>660</v>
      </c>
      <c r="Z1" s="42" t="s">
        <v>10</v>
      </c>
      <c r="AA1" s="42" t="s">
        <v>492</v>
      </c>
    </row>
    <row r="2" spans="1:27" x14ac:dyDescent="0.3">
      <c r="A2" s="7"/>
      <c r="B2" s="7"/>
      <c r="C2" s="7"/>
      <c r="D2" s="7"/>
      <c r="E2" s="7"/>
      <c r="F2" s="7"/>
      <c r="G2" s="7"/>
      <c r="H2" s="7"/>
      <c r="I2" s="7"/>
      <c r="J2" s="7"/>
      <c r="K2" s="7"/>
      <c r="L2" s="7"/>
      <c r="M2" s="7"/>
      <c r="N2" s="7"/>
      <c r="O2" s="7"/>
      <c r="P2" s="7"/>
      <c r="Q2" s="7"/>
      <c r="R2" s="7"/>
      <c r="S2" s="7"/>
      <c r="T2" s="7"/>
    </row>
    <row r="3" spans="1:27" x14ac:dyDescent="0.3">
      <c r="A3" s="41">
        <v>2015</v>
      </c>
      <c r="B3" s="7"/>
      <c r="C3" s="7"/>
      <c r="D3" s="7"/>
      <c r="E3" s="7"/>
      <c r="F3" s="7"/>
      <c r="G3" s="7"/>
      <c r="H3" s="7"/>
      <c r="I3" s="7"/>
      <c r="J3" s="7"/>
      <c r="K3" s="7"/>
      <c r="L3" s="7"/>
      <c r="M3" s="7"/>
      <c r="N3" s="7"/>
      <c r="O3" s="7"/>
      <c r="P3" s="7"/>
      <c r="Q3" s="7"/>
      <c r="R3" s="7"/>
      <c r="S3" s="7"/>
    </row>
    <row r="4" spans="1:27" ht="72" x14ac:dyDescent="0.3">
      <c r="A4">
        <v>2015</v>
      </c>
      <c r="B4" t="s">
        <v>493</v>
      </c>
      <c r="C4">
        <v>1024</v>
      </c>
      <c r="D4">
        <f>Tabla2[[#This Row],[PUCs]]*2</f>
        <v>2048</v>
      </c>
      <c r="E4">
        <f>32+32</f>
        <v>64</v>
      </c>
      <c r="F4">
        <v>0.26</v>
      </c>
      <c r="G4" s="28">
        <v>160</v>
      </c>
      <c r="I4" t="s">
        <v>494</v>
      </c>
      <c r="J4" t="s">
        <v>53</v>
      </c>
      <c r="K4">
        <v>54.4</v>
      </c>
      <c r="L4">
        <v>30</v>
      </c>
      <c r="M4" t="s">
        <v>738</v>
      </c>
      <c r="N4" t="s">
        <v>739</v>
      </c>
      <c r="O4">
        <v>11</v>
      </c>
      <c r="P4">
        <v>25</v>
      </c>
      <c r="Q4">
        <f>O4*P4</f>
        <v>275</v>
      </c>
      <c r="R4">
        <f>Tabla2[[#This Row],[Phase shifters]]/Tabla2[[#This Row],[Area (mm2)]]</f>
        <v>7.4472727272727273</v>
      </c>
      <c r="S4" t="s">
        <v>24</v>
      </c>
      <c r="T4">
        <f>13.9/2</f>
        <v>6.95</v>
      </c>
      <c r="U4">
        <v>35</v>
      </c>
      <c r="V4" t="s">
        <v>740</v>
      </c>
      <c r="W4" t="s">
        <v>742</v>
      </c>
      <c r="Z4" s="10" t="s">
        <v>746</v>
      </c>
      <c r="AA4" s="10" t="s">
        <v>512</v>
      </c>
    </row>
    <row r="5" spans="1:27" ht="137.4" customHeight="1" x14ac:dyDescent="0.3">
      <c r="A5">
        <v>2016</v>
      </c>
      <c r="B5" t="s">
        <v>514</v>
      </c>
      <c r="C5">
        <v>56</v>
      </c>
      <c r="D5">
        <f>C5*2</f>
        <v>112</v>
      </c>
      <c r="E5">
        <v>32</v>
      </c>
      <c r="I5" s="10" t="s">
        <v>515</v>
      </c>
      <c r="AA5" s="10" t="s">
        <v>497</v>
      </c>
    </row>
    <row r="6" spans="1:27" ht="100.8" x14ac:dyDescent="0.3">
      <c r="A6">
        <v>2017</v>
      </c>
      <c r="B6" t="s">
        <v>501</v>
      </c>
      <c r="C6">
        <v>24</v>
      </c>
      <c r="D6">
        <v>24</v>
      </c>
      <c r="E6">
        <v>16</v>
      </c>
      <c r="F6">
        <v>0.32</v>
      </c>
      <c r="I6" t="s">
        <v>494</v>
      </c>
      <c r="J6" t="s">
        <v>502</v>
      </c>
      <c r="K6">
        <v>4</v>
      </c>
      <c r="L6">
        <v>21.8</v>
      </c>
      <c r="AA6" s="11" t="s">
        <v>513</v>
      </c>
    </row>
    <row r="7" spans="1:27" ht="28.8" x14ac:dyDescent="0.3">
      <c r="A7">
        <v>2018</v>
      </c>
      <c r="B7" t="s">
        <v>510</v>
      </c>
      <c r="C7">
        <v>448</v>
      </c>
      <c r="D7">
        <v>448</v>
      </c>
      <c r="E7">
        <v>64</v>
      </c>
      <c r="J7" t="s">
        <v>53</v>
      </c>
      <c r="AA7" s="10" t="s">
        <v>503</v>
      </c>
    </row>
    <row r="8" spans="1:27" ht="72" x14ac:dyDescent="0.3">
      <c r="A8">
        <v>2018</v>
      </c>
      <c r="B8" t="s">
        <v>516</v>
      </c>
      <c r="C8">
        <v>768</v>
      </c>
      <c r="D8">
        <v>768</v>
      </c>
      <c r="AA8" s="11" t="s">
        <v>511</v>
      </c>
    </row>
    <row r="9" spans="1:27" ht="57.6" x14ac:dyDescent="0.3">
      <c r="A9">
        <v>2019</v>
      </c>
      <c r="B9" t="s">
        <v>688</v>
      </c>
      <c r="C9">
        <v>10</v>
      </c>
      <c r="D9">
        <v>18</v>
      </c>
      <c r="E9">
        <v>10</v>
      </c>
      <c r="I9" t="s">
        <v>494</v>
      </c>
      <c r="J9" t="s">
        <v>507</v>
      </c>
      <c r="O9">
        <v>11</v>
      </c>
      <c r="P9">
        <v>5.5</v>
      </c>
      <c r="Q9">
        <f>O9*P9</f>
        <v>60.5</v>
      </c>
      <c r="R9">
        <f>D9/(Q9)</f>
        <v>0.2975206611570248</v>
      </c>
      <c r="Z9" t="s">
        <v>690</v>
      </c>
      <c r="AA9" s="10" t="s">
        <v>517</v>
      </c>
    </row>
    <row r="10" spans="1:27" ht="172.8" x14ac:dyDescent="0.3">
      <c r="A10">
        <v>2019</v>
      </c>
      <c r="B10" t="s">
        <v>737</v>
      </c>
      <c r="C10">
        <v>1024</v>
      </c>
      <c r="D10">
        <f>Tabla2[[#This Row],[PUCs]]*2</f>
        <v>2048</v>
      </c>
      <c r="E10">
        <f>48+48</f>
        <v>96</v>
      </c>
      <c r="F10">
        <f>4/30</f>
        <v>0.13333333333333333</v>
      </c>
      <c r="G10" s="28">
        <v>120</v>
      </c>
      <c r="I10" t="s">
        <v>494</v>
      </c>
      <c r="J10" t="s">
        <v>53</v>
      </c>
      <c r="K10">
        <v>18.100000000000001</v>
      </c>
      <c r="L10" t="s">
        <v>569</v>
      </c>
      <c r="M10" t="s">
        <v>738</v>
      </c>
      <c r="N10" t="s">
        <v>739</v>
      </c>
      <c r="O10">
        <v>10</v>
      </c>
      <c r="P10">
        <v>26</v>
      </c>
      <c r="Q10">
        <f t="shared" ref="Q10:Q12" si="0">O10*P10</f>
        <v>260</v>
      </c>
      <c r="R10">
        <f t="shared" ref="R10:R12" si="1">D10/(Q10)</f>
        <v>7.8769230769230774</v>
      </c>
      <c r="S10" t="s">
        <v>24</v>
      </c>
      <c r="T10">
        <v>1.6</v>
      </c>
      <c r="U10">
        <v>26.6</v>
      </c>
      <c r="V10" t="s">
        <v>740</v>
      </c>
      <c r="W10" t="s">
        <v>742</v>
      </c>
      <c r="X10" t="s">
        <v>745</v>
      </c>
      <c r="Y10" s="10" t="s">
        <v>744</v>
      </c>
      <c r="Z10" t="s">
        <v>741</v>
      </c>
      <c r="AA10" s="10" t="s">
        <v>689</v>
      </c>
    </row>
    <row r="11" spans="1:27" x14ac:dyDescent="0.3">
      <c r="A11">
        <v>2019</v>
      </c>
      <c r="B11" t="s">
        <v>737</v>
      </c>
      <c r="C11">
        <v>1024</v>
      </c>
      <c r="D11">
        <f>Tabla2[[#This Row],[PUCs]]*2</f>
        <v>2048</v>
      </c>
      <c r="E11">
        <f>48+48</f>
        <v>96</v>
      </c>
      <c r="F11">
        <f>4/30+0.74/30</f>
        <v>0.158</v>
      </c>
      <c r="G11" s="28">
        <v>120</v>
      </c>
      <c r="I11" t="s">
        <v>494</v>
      </c>
      <c r="J11" t="s">
        <v>53</v>
      </c>
      <c r="K11">
        <v>18.100000000000001</v>
      </c>
      <c r="L11" t="s">
        <v>569</v>
      </c>
      <c r="M11" t="s">
        <v>738</v>
      </c>
      <c r="N11" t="s">
        <v>739</v>
      </c>
      <c r="O11">
        <v>10</v>
      </c>
      <c r="P11">
        <v>26</v>
      </c>
      <c r="Q11">
        <f t="shared" si="0"/>
        <v>260</v>
      </c>
      <c r="R11">
        <f t="shared" si="1"/>
        <v>7.8769230769230774</v>
      </c>
      <c r="S11" t="s">
        <v>24</v>
      </c>
      <c r="T11" t="s">
        <v>51</v>
      </c>
      <c r="U11">
        <v>26.6</v>
      </c>
      <c r="V11" t="s">
        <v>740</v>
      </c>
      <c r="W11" t="s">
        <v>742</v>
      </c>
      <c r="X11" t="s">
        <v>745</v>
      </c>
      <c r="Y11" t="s">
        <v>743</v>
      </c>
      <c r="Z11" t="s">
        <v>741</v>
      </c>
    </row>
    <row r="12" spans="1:27" ht="28.8" x14ac:dyDescent="0.3">
      <c r="A12">
        <v>2020</v>
      </c>
      <c r="B12" t="s">
        <v>747</v>
      </c>
      <c r="C12" s="1">
        <f>3*8^2</f>
        <v>192</v>
      </c>
      <c r="D12" s="1">
        <f>3*8^2</f>
        <v>192</v>
      </c>
      <c r="E12">
        <v>8</v>
      </c>
      <c r="F12">
        <v>1</v>
      </c>
      <c r="I12" t="s">
        <v>494</v>
      </c>
      <c r="J12" t="s">
        <v>53</v>
      </c>
      <c r="K12" s="1">
        <v>20</v>
      </c>
      <c r="L12" s="28">
        <v>20</v>
      </c>
      <c r="M12" t="s">
        <v>748</v>
      </c>
      <c r="N12" t="s">
        <v>750</v>
      </c>
      <c r="O12">
        <v>10</v>
      </c>
      <c r="P12">
        <v>14</v>
      </c>
      <c r="Q12">
        <f t="shared" si="0"/>
        <v>140</v>
      </c>
      <c r="R12">
        <f t="shared" si="1"/>
        <v>1.3714285714285714</v>
      </c>
      <c r="S12" t="s">
        <v>24</v>
      </c>
      <c r="T12" t="s">
        <v>51</v>
      </c>
      <c r="U12" s="28">
        <v>20</v>
      </c>
      <c r="V12" t="s">
        <v>740</v>
      </c>
      <c r="W12" t="s">
        <v>637</v>
      </c>
      <c r="Z12" s="10" t="s">
        <v>749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5B11-9484-4BED-9A2C-B6B1CC424C5B}">
  <dimension ref="A1:AA64"/>
  <sheetViews>
    <sheetView topLeftCell="A49" zoomScale="70" zoomScaleNormal="70" workbookViewId="0">
      <selection sqref="A1:AA1"/>
    </sheetView>
  </sheetViews>
  <sheetFormatPr baseColWidth="10" defaultRowHeight="14.4" x14ac:dyDescent="0.3"/>
  <cols>
    <col min="2" max="2" width="21.88671875" bestFit="1" customWidth="1"/>
    <col min="7" max="7" width="14.6640625" bestFit="1" customWidth="1"/>
    <col min="9" max="9" width="22.33203125" bestFit="1" customWidth="1"/>
    <col min="10" max="10" width="18.88671875" bestFit="1" customWidth="1"/>
    <col min="11" max="11" width="12.44140625" bestFit="1" customWidth="1"/>
    <col min="12" max="12" width="14.6640625" bestFit="1" customWidth="1"/>
    <col min="13" max="13" width="21.6640625" bestFit="1" customWidth="1"/>
    <col min="14" max="14" width="18.109375" bestFit="1" customWidth="1"/>
    <col min="22" max="22" width="22.6640625" customWidth="1"/>
    <col min="23" max="24" width="15.6640625" customWidth="1"/>
    <col min="25" max="25" width="77.88671875" bestFit="1" customWidth="1"/>
    <col min="26" max="26" width="36.109375" customWidth="1"/>
    <col min="27" max="27" width="53" customWidth="1"/>
  </cols>
  <sheetData>
    <row r="1" spans="1:27" ht="43.2" x14ac:dyDescent="0.3">
      <c r="A1" s="15" t="s">
        <v>20</v>
      </c>
      <c r="B1" s="15" t="s">
        <v>13</v>
      </c>
      <c r="C1" s="15" t="s">
        <v>505</v>
      </c>
      <c r="D1" s="15" t="s">
        <v>1</v>
      </c>
      <c r="E1" s="15" t="s">
        <v>8</v>
      </c>
      <c r="F1" s="15" t="s">
        <v>495</v>
      </c>
      <c r="G1" s="15" t="s">
        <v>44</v>
      </c>
      <c r="H1" s="15" t="s">
        <v>45</v>
      </c>
      <c r="I1" s="15" t="s">
        <v>37</v>
      </c>
      <c r="J1" s="15" t="s">
        <v>3</v>
      </c>
      <c r="K1" s="15" t="s">
        <v>9</v>
      </c>
      <c r="L1" s="15" t="s">
        <v>6</v>
      </c>
      <c r="M1" s="15" t="s">
        <v>28</v>
      </c>
      <c r="N1" s="15" t="s">
        <v>12</v>
      </c>
      <c r="O1" s="15" t="s">
        <v>564</v>
      </c>
      <c r="P1" s="15" t="s">
        <v>563</v>
      </c>
      <c r="Q1" s="15" t="s">
        <v>539</v>
      </c>
      <c r="R1" s="15" t="s">
        <v>21</v>
      </c>
      <c r="S1" s="15" t="s">
        <v>25</v>
      </c>
      <c r="T1" s="15" t="s">
        <v>557</v>
      </c>
      <c r="U1" s="15" t="s">
        <v>496</v>
      </c>
      <c r="V1" s="15" t="s">
        <v>574</v>
      </c>
      <c r="W1" s="15" t="s">
        <v>636</v>
      </c>
      <c r="X1" s="15" t="s">
        <v>644</v>
      </c>
      <c r="Y1" s="15" t="s">
        <v>660</v>
      </c>
      <c r="Z1" s="15" t="s">
        <v>10</v>
      </c>
      <c r="AA1" s="15" t="s">
        <v>492</v>
      </c>
    </row>
    <row r="2" spans="1:27" ht="57.6" x14ac:dyDescent="0.3">
      <c r="A2" s="32">
        <v>2006</v>
      </c>
      <c r="B2" s="32" t="s">
        <v>668</v>
      </c>
      <c r="C2" s="34">
        <v>4</v>
      </c>
      <c r="D2" s="34">
        <f>4*2+1</f>
        <v>9</v>
      </c>
      <c r="E2" s="32">
        <v>4</v>
      </c>
      <c r="F2" s="32" t="s">
        <v>51</v>
      </c>
      <c r="G2" s="34">
        <f>2*PI()*50</f>
        <v>314.15926535897933</v>
      </c>
      <c r="H2" s="32" t="s">
        <v>51</v>
      </c>
      <c r="I2" s="32" t="s">
        <v>494</v>
      </c>
      <c r="J2" s="32" t="s">
        <v>669</v>
      </c>
      <c r="K2" s="32">
        <f>1500*2</f>
        <v>3000</v>
      </c>
      <c r="L2" s="32" t="s">
        <v>51</v>
      </c>
      <c r="M2" s="32" t="s">
        <v>533</v>
      </c>
      <c r="N2" s="32" t="s">
        <v>553</v>
      </c>
      <c r="O2" s="32">
        <v>0.3</v>
      </c>
      <c r="P2" s="32">
        <v>0.8</v>
      </c>
      <c r="Q2" s="17">
        <f>O2*P2</f>
        <v>0.24</v>
      </c>
      <c r="R2" s="14">
        <f>D2/Q2</f>
        <v>37.5</v>
      </c>
      <c r="S2" s="32" t="s">
        <v>24</v>
      </c>
      <c r="T2" s="32">
        <v>2</v>
      </c>
      <c r="U2" s="32" t="s">
        <v>51</v>
      </c>
      <c r="V2" s="32" t="s">
        <v>634</v>
      </c>
      <c r="W2" s="32" t="s">
        <v>657</v>
      </c>
      <c r="X2" s="32" t="s">
        <v>645</v>
      </c>
      <c r="Y2" s="32" t="s">
        <v>645</v>
      </c>
      <c r="Z2" s="32" t="s">
        <v>670</v>
      </c>
      <c r="AA2" s="33" t="s">
        <v>667</v>
      </c>
    </row>
    <row r="3" spans="1:27" ht="72" x14ac:dyDescent="0.3">
      <c r="A3" s="32">
        <v>2007</v>
      </c>
      <c r="B3" s="32" t="s">
        <v>654</v>
      </c>
      <c r="C3" s="32">
        <v>4</v>
      </c>
      <c r="D3" s="32">
        <v>4</v>
      </c>
      <c r="E3" s="32">
        <v>2</v>
      </c>
      <c r="F3" s="32" t="s">
        <v>51</v>
      </c>
      <c r="G3" s="32" t="s">
        <v>51</v>
      </c>
      <c r="H3" s="32" t="s">
        <v>51</v>
      </c>
      <c r="I3" s="32" t="s">
        <v>552</v>
      </c>
      <c r="J3" s="32" t="s">
        <v>53</v>
      </c>
      <c r="K3" s="32" t="s">
        <v>51</v>
      </c>
      <c r="L3" s="32">
        <v>1000</v>
      </c>
      <c r="M3" s="32" t="s">
        <v>655</v>
      </c>
      <c r="N3" s="32" t="s">
        <v>553</v>
      </c>
      <c r="O3" s="32">
        <v>20</v>
      </c>
      <c r="P3" s="32">
        <v>4</v>
      </c>
      <c r="Q3" s="17">
        <f>O3*P3</f>
        <v>80</v>
      </c>
      <c r="R3" s="14">
        <f>D3/Q3</f>
        <v>0.05</v>
      </c>
      <c r="S3" s="32" t="s">
        <v>24</v>
      </c>
      <c r="T3" s="32" t="s">
        <v>51</v>
      </c>
      <c r="U3" s="32" t="s">
        <v>51</v>
      </c>
      <c r="V3" s="32" t="s">
        <v>656</v>
      </c>
      <c r="W3" s="32" t="s">
        <v>657</v>
      </c>
      <c r="X3" s="32" t="s">
        <v>645</v>
      </c>
      <c r="Y3" s="32" t="s">
        <v>645</v>
      </c>
      <c r="Z3" s="32" t="s">
        <v>658</v>
      </c>
      <c r="AA3" s="10" t="s">
        <v>659</v>
      </c>
    </row>
    <row r="4" spans="1:27" ht="72" x14ac:dyDescent="0.3">
      <c r="A4" s="32">
        <v>2007</v>
      </c>
      <c r="B4" s="32" t="s">
        <v>728</v>
      </c>
      <c r="C4" s="32">
        <v>4</v>
      </c>
      <c r="D4" s="32">
        <v>4</v>
      </c>
      <c r="E4" s="32">
        <v>8</v>
      </c>
      <c r="F4" s="32">
        <v>5</v>
      </c>
      <c r="G4" s="32">
        <f>2*PI()*50</f>
        <v>314.15926535897933</v>
      </c>
      <c r="H4" s="32" t="s">
        <v>51</v>
      </c>
      <c r="I4" s="32" t="s">
        <v>552</v>
      </c>
      <c r="J4" s="32" t="s">
        <v>507</v>
      </c>
      <c r="K4" s="34">
        <v>430</v>
      </c>
      <c r="L4" s="32" t="s">
        <v>51</v>
      </c>
      <c r="M4" s="32" t="s">
        <v>655</v>
      </c>
      <c r="N4" s="32" t="s">
        <v>553</v>
      </c>
      <c r="O4" s="32">
        <v>5</v>
      </c>
      <c r="P4" s="32">
        <v>1.5</v>
      </c>
      <c r="Q4" s="17">
        <f t="shared" ref="Q4:Q5" si="0">O4*P4</f>
        <v>7.5</v>
      </c>
      <c r="R4" s="14">
        <f t="shared" ref="R4:R5" si="1">D4/Q4</f>
        <v>0.53333333333333333</v>
      </c>
      <c r="S4" s="32" t="s">
        <v>24</v>
      </c>
      <c r="T4" s="32">
        <v>5</v>
      </c>
      <c r="U4" s="32" t="s">
        <v>51</v>
      </c>
      <c r="V4" s="32" t="s">
        <v>656</v>
      </c>
      <c r="W4" s="32" t="s">
        <v>637</v>
      </c>
      <c r="X4" s="32" t="s">
        <v>662</v>
      </c>
      <c r="Y4" s="32" t="s">
        <v>645</v>
      </c>
      <c r="Z4" s="32" t="s">
        <v>658</v>
      </c>
      <c r="AA4" s="10" t="s">
        <v>729</v>
      </c>
    </row>
    <row r="5" spans="1:27" ht="72" x14ac:dyDescent="0.3">
      <c r="A5" s="32">
        <v>2007</v>
      </c>
      <c r="B5" s="32" t="s">
        <v>728</v>
      </c>
      <c r="C5" s="32">
        <v>20</v>
      </c>
      <c r="D5" s="32">
        <v>20</v>
      </c>
      <c r="E5" s="32">
        <v>6</v>
      </c>
      <c r="F5" s="32">
        <v>5</v>
      </c>
      <c r="G5" s="32">
        <f>2*PI()*50</f>
        <v>314.15926535897933</v>
      </c>
      <c r="H5" s="32" t="s">
        <v>51</v>
      </c>
      <c r="I5" s="32" t="s">
        <v>552</v>
      </c>
      <c r="J5" s="32" t="s">
        <v>507</v>
      </c>
      <c r="K5" s="34">
        <v>430</v>
      </c>
      <c r="L5" s="32" t="s">
        <v>51</v>
      </c>
      <c r="M5" s="32" t="s">
        <v>731</v>
      </c>
      <c r="N5" s="32" t="s">
        <v>553</v>
      </c>
      <c r="O5" s="32">
        <v>5</v>
      </c>
      <c r="P5" s="32">
        <v>1.8</v>
      </c>
      <c r="Q5" s="17">
        <f t="shared" si="0"/>
        <v>9</v>
      </c>
      <c r="R5" s="14">
        <f t="shared" si="1"/>
        <v>2.2222222222222223</v>
      </c>
      <c r="S5" s="32" t="s">
        <v>24</v>
      </c>
      <c r="T5" s="32">
        <v>5</v>
      </c>
      <c r="U5" s="32" t="s">
        <v>51</v>
      </c>
      <c r="V5" s="32" t="s">
        <v>656</v>
      </c>
      <c r="W5" s="32" t="s">
        <v>637</v>
      </c>
      <c r="X5" s="32" t="s">
        <v>662</v>
      </c>
      <c r="Y5" s="32" t="s">
        <v>645</v>
      </c>
      <c r="Z5" s="32" t="s">
        <v>732</v>
      </c>
      <c r="AA5" s="10" t="s">
        <v>729</v>
      </c>
    </row>
    <row r="6" spans="1:27" ht="43.2" x14ac:dyDescent="0.3">
      <c r="A6" s="14">
        <v>2008</v>
      </c>
      <c r="B6" s="14" t="s">
        <v>540</v>
      </c>
      <c r="C6" s="14">
        <v>8</v>
      </c>
      <c r="D6" s="14">
        <v>8</v>
      </c>
      <c r="E6" s="14">
        <v>2</v>
      </c>
      <c r="F6" s="14">
        <v>1</v>
      </c>
      <c r="G6" s="14">
        <v>3581</v>
      </c>
      <c r="H6" s="14">
        <v>20</v>
      </c>
      <c r="I6" s="14" t="s">
        <v>552</v>
      </c>
      <c r="J6" s="14" t="s">
        <v>551</v>
      </c>
      <c r="K6" s="14">
        <v>1000</v>
      </c>
      <c r="L6" s="14">
        <v>150</v>
      </c>
      <c r="M6" s="14" t="s">
        <v>533</v>
      </c>
      <c r="N6" s="14" t="s">
        <v>553</v>
      </c>
      <c r="O6" s="18">
        <v>1</v>
      </c>
      <c r="P6" s="17">
        <v>7</v>
      </c>
      <c r="Q6" s="17">
        <f>O6*P6</f>
        <v>7</v>
      </c>
      <c r="R6" s="14">
        <f>D6/Q6</f>
        <v>1.1428571428571428</v>
      </c>
      <c r="S6" s="14" t="s">
        <v>51</v>
      </c>
      <c r="T6" s="14"/>
      <c r="U6" s="14" t="s">
        <v>51</v>
      </c>
      <c r="V6" s="14" t="s">
        <v>575</v>
      </c>
      <c r="W6" s="14"/>
      <c r="X6" s="14"/>
      <c r="Y6" s="14"/>
      <c r="Z6" s="12" t="s">
        <v>554</v>
      </c>
      <c r="AA6" s="12" t="s">
        <v>524</v>
      </c>
    </row>
    <row r="7" spans="1:27" ht="57.6" x14ac:dyDescent="0.3">
      <c r="A7" s="14">
        <v>2009</v>
      </c>
      <c r="B7" s="14" t="s">
        <v>582</v>
      </c>
      <c r="C7" s="14">
        <v>16</v>
      </c>
      <c r="D7" s="14">
        <v>16</v>
      </c>
      <c r="E7" s="14">
        <v>17</v>
      </c>
      <c r="F7" s="14" t="s">
        <v>51</v>
      </c>
      <c r="G7" s="14" t="s">
        <v>51</v>
      </c>
      <c r="H7" s="14" t="s">
        <v>51</v>
      </c>
      <c r="I7" s="14" t="s">
        <v>552</v>
      </c>
      <c r="J7" s="14" t="s">
        <v>53</v>
      </c>
      <c r="K7" s="14">
        <v>16.399999999999999</v>
      </c>
      <c r="L7" s="14"/>
      <c r="M7" s="14" t="s">
        <v>583</v>
      </c>
      <c r="N7" s="14" t="s">
        <v>583</v>
      </c>
      <c r="O7" s="18" t="s">
        <v>51</v>
      </c>
      <c r="P7" s="17" t="s">
        <v>51</v>
      </c>
      <c r="Q7" s="17" t="s">
        <v>51</v>
      </c>
      <c r="R7" s="14" t="s">
        <v>51</v>
      </c>
      <c r="S7" s="14" t="s">
        <v>23</v>
      </c>
      <c r="T7" s="14" t="s">
        <v>51</v>
      </c>
      <c r="U7" s="14" t="s">
        <v>51</v>
      </c>
      <c r="V7" s="14" t="s">
        <v>584</v>
      </c>
      <c r="W7" s="14"/>
      <c r="X7" s="14"/>
      <c r="Y7" s="14"/>
      <c r="Z7" s="12" t="s">
        <v>585</v>
      </c>
      <c r="AA7" s="11" t="s">
        <v>581</v>
      </c>
    </row>
    <row r="8" spans="1:27" ht="86.4" x14ac:dyDescent="0.3">
      <c r="A8" s="14">
        <v>2009</v>
      </c>
      <c r="B8" s="14" t="s">
        <v>541</v>
      </c>
      <c r="C8" s="14">
        <v>8</v>
      </c>
      <c r="D8" s="14">
        <v>37</v>
      </c>
      <c r="E8" s="14">
        <v>8</v>
      </c>
      <c r="F8" s="19">
        <f>2/5</f>
        <v>0.4</v>
      </c>
      <c r="G8" s="19">
        <f>2300+400*2+0.1*2*PI()*750</f>
        <v>3571.238898038469</v>
      </c>
      <c r="H8" s="19">
        <v>7.67</v>
      </c>
      <c r="I8" s="14" t="s">
        <v>552</v>
      </c>
      <c r="J8" s="14" t="s">
        <v>507</v>
      </c>
      <c r="K8" s="14">
        <v>700</v>
      </c>
      <c r="L8" s="14">
        <v>1000</v>
      </c>
      <c r="M8" s="14" t="s">
        <v>558</v>
      </c>
      <c r="N8" s="14" t="s">
        <v>48</v>
      </c>
      <c r="O8" s="17">
        <v>66</v>
      </c>
      <c r="P8" s="17">
        <v>12.8</v>
      </c>
      <c r="Q8" s="17">
        <f t="shared" ref="Q8:Q52" si="2">O8*P8</f>
        <v>844.80000000000007</v>
      </c>
      <c r="R8" s="14">
        <f t="shared" ref="R8:R52" si="3">D8/Q8</f>
        <v>4.3797348484848481E-2</v>
      </c>
      <c r="S8" s="14" t="s">
        <v>24</v>
      </c>
      <c r="T8" s="14">
        <v>5</v>
      </c>
      <c r="U8" s="14" t="s">
        <v>51</v>
      </c>
      <c r="V8" s="14" t="s">
        <v>579</v>
      </c>
      <c r="W8" s="14"/>
      <c r="X8" s="14"/>
      <c r="Y8" s="14"/>
      <c r="Z8" s="12" t="s">
        <v>556</v>
      </c>
      <c r="AA8" s="12" t="s">
        <v>555</v>
      </c>
    </row>
    <row r="9" spans="1:27" ht="72" x14ac:dyDescent="0.3">
      <c r="A9" s="14">
        <v>2010</v>
      </c>
      <c r="B9" s="14" t="s">
        <v>725</v>
      </c>
      <c r="C9" s="14">
        <v>8</v>
      </c>
      <c r="D9" s="14">
        <v>16</v>
      </c>
      <c r="E9" s="14">
        <v>4</v>
      </c>
      <c r="F9" s="19" t="s">
        <v>51</v>
      </c>
      <c r="G9" s="19">
        <f>2*PI()*25</f>
        <v>157.07963267948966</v>
      </c>
      <c r="H9" s="19" t="s">
        <v>51</v>
      </c>
      <c r="I9" s="14" t="s">
        <v>552</v>
      </c>
      <c r="J9" s="14" t="s">
        <v>53</v>
      </c>
      <c r="K9" s="14">
        <v>40</v>
      </c>
      <c r="L9" s="14"/>
      <c r="M9" s="14" t="s">
        <v>655</v>
      </c>
      <c r="N9" s="14" t="s">
        <v>553</v>
      </c>
      <c r="O9" s="38">
        <v>1.2</v>
      </c>
      <c r="P9" s="38">
        <v>0.1</v>
      </c>
      <c r="Q9" s="17" t="s">
        <v>51</v>
      </c>
      <c r="R9" s="14" t="s">
        <v>51</v>
      </c>
      <c r="S9" s="14" t="s">
        <v>24</v>
      </c>
      <c r="T9" s="14">
        <v>10</v>
      </c>
      <c r="U9" s="14" t="s">
        <v>51</v>
      </c>
      <c r="V9" s="12" t="s">
        <v>727</v>
      </c>
      <c r="W9" s="14" t="s">
        <v>657</v>
      </c>
      <c r="X9" s="14" t="s">
        <v>645</v>
      </c>
      <c r="Y9" s="14" t="s">
        <v>645</v>
      </c>
      <c r="Z9" s="39" t="s">
        <v>726</v>
      </c>
      <c r="AA9" s="12" t="s">
        <v>730</v>
      </c>
    </row>
    <row r="10" spans="1:27" ht="57.6" x14ac:dyDescent="0.3">
      <c r="A10" s="37">
        <v>2011</v>
      </c>
      <c r="B10" s="14" t="s">
        <v>692</v>
      </c>
      <c r="C10" s="14">
        <v>16</v>
      </c>
      <c r="D10" s="14">
        <v>16</v>
      </c>
      <c r="E10" s="14">
        <v>1</v>
      </c>
      <c r="F10" s="19" t="s">
        <v>51</v>
      </c>
      <c r="G10" s="19">
        <v>470</v>
      </c>
      <c r="H10" s="19" t="s">
        <v>51</v>
      </c>
      <c r="I10" s="14" t="s">
        <v>552</v>
      </c>
      <c r="J10" s="14" t="s">
        <v>53</v>
      </c>
      <c r="K10" s="14">
        <f>215*2</f>
        <v>430</v>
      </c>
      <c r="L10" s="14" t="s">
        <v>51</v>
      </c>
      <c r="M10" s="14" t="s">
        <v>583</v>
      </c>
      <c r="N10" s="14" t="s">
        <v>583</v>
      </c>
      <c r="O10" s="17" t="s">
        <v>51</v>
      </c>
      <c r="P10" s="17" t="s">
        <v>51</v>
      </c>
      <c r="Q10" s="17" t="s">
        <v>51</v>
      </c>
      <c r="R10" s="14" t="s">
        <v>51</v>
      </c>
      <c r="S10" s="14" t="s">
        <v>23</v>
      </c>
      <c r="T10" s="14">
        <v>10</v>
      </c>
      <c r="U10" s="14" t="s">
        <v>51</v>
      </c>
      <c r="V10" s="14" t="s">
        <v>584</v>
      </c>
      <c r="W10" s="14" t="s">
        <v>51</v>
      </c>
      <c r="X10" s="14" t="s">
        <v>645</v>
      </c>
      <c r="Y10" s="14" t="s">
        <v>697</v>
      </c>
      <c r="Z10" s="12"/>
      <c r="AA10" s="12" t="s">
        <v>696</v>
      </c>
    </row>
    <row r="11" spans="1:27" ht="57.6" x14ac:dyDescent="0.3">
      <c r="A11" s="14">
        <v>2011</v>
      </c>
      <c r="B11" s="14" t="s">
        <v>638</v>
      </c>
      <c r="C11" s="14">
        <f>6*5+1</f>
        <v>31</v>
      </c>
      <c r="D11" s="14">
        <f>6*5+1</f>
        <v>31</v>
      </c>
      <c r="E11" s="14">
        <v>2</v>
      </c>
      <c r="F11" s="19">
        <v>2.5</v>
      </c>
      <c r="G11" s="19" t="s">
        <v>51</v>
      </c>
      <c r="H11" s="19" t="s">
        <v>51</v>
      </c>
      <c r="I11" s="14" t="s">
        <v>597</v>
      </c>
      <c r="J11" s="14" t="s">
        <v>596</v>
      </c>
      <c r="K11" s="14" t="s">
        <v>51</v>
      </c>
      <c r="L11" s="14" t="s">
        <v>51</v>
      </c>
      <c r="M11" s="14" t="s">
        <v>639</v>
      </c>
      <c r="N11" s="14" t="s">
        <v>641</v>
      </c>
      <c r="O11" s="17">
        <v>4.5</v>
      </c>
      <c r="P11" s="17">
        <v>1.5</v>
      </c>
      <c r="Q11" s="17">
        <f t="shared" si="2"/>
        <v>6.75</v>
      </c>
      <c r="R11" s="14">
        <f t="shared" si="3"/>
        <v>4.5925925925925926</v>
      </c>
      <c r="S11" s="14" t="s">
        <v>24</v>
      </c>
      <c r="T11" s="14" t="s">
        <v>51</v>
      </c>
      <c r="U11" s="14">
        <v>18</v>
      </c>
      <c r="V11" s="14" t="s">
        <v>642</v>
      </c>
      <c r="W11" s="14" t="s">
        <v>637</v>
      </c>
      <c r="X11" s="14" t="s">
        <v>645</v>
      </c>
      <c r="Y11" s="14"/>
      <c r="Z11" s="12" t="s">
        <v>643</v>
      </c>
      <c r="AA11" s="12" t="s">
        <v>640</v>
      </c>
    </row>
    <row r="12" spans="1:27" x14ac:dyDescent="0.3">
      <c r="A12" s="14">
        <v>2011</v>
      </c>
      <c r="B12" s="14" t="s">
        <v>679</v>
      </c>
      <c r="C12" s="14">
        <v>4</v>
      </c>
      <c r="D12" s="14">
        <v>25</v>
      </c>
      <c r="E12" s="14">
        <v>4</v>
      </c>
      <c r="F12" s="19">
        <f>7/2</f>
        <v>3.5</v>
      </c>
      <c r="G12" s="19">
        <v>600</v>
      </c>
      <c r="H12" s="19" t="s">
        <v>51</v>
      </c>
      <c r="I12" s="14" t="s">
        <v>597</v>
      </c>
      <c r="J12" s="14" t="s">
        <v>580</v>
      </c>
      <c r="K12" s="22">
        <f>(0.00092)^2*10000*1000</f>
        <v>8.4640000000000004</v>
      </c>
      <c r="L12" s="14" t="s">
        <v>51</v>
      </c>
      <c r="M12" s="14" t="s">
        <v>639</v>
      </c>
      <c r="N12" s="14" t="s">
        <v>682</v>
      </c>
      <c r="O12" s="17">
        <v>21</v>
      </c>
      <c r="P12" s="17">
        <v>14</v>
      </c>
      <c r="Q12" s="17">
        <f>O12*P12/4</f>
        <v>73.5</v>
      </c>
      <c r="R12" s="14">
        <f t="shared" si="3"/>
        <v>0.3401360544217687</v>
      </c>
      <c r="S12" s="14" t="s">
        <v>24</v>
      </c>
      <c r="T12" s="14">
        <v>7</v>
      </c>
      <c r="U12" s="14" t="s">
        <v>51</v>
      </c>
      <c r="V12" s="14" t="s">
        <v>642</v>
      </c>
      <c r="W12" s="14" t="s">
        <v>657</v>
      </c>
      <c r="X12" s="14" t="s">
        <v>645</v>
      </c>
      <c r="Y12" s="14" t="s">
        <v>645</v>
      </c>
      <c r="Z12" s="12" t="s">
        <v>691</v>
      </c>
      <c r="AA12" t="s">
        <v>680</v>
      </c>
    </row>
    <row r="13" spans="1:27" x14ac:dyDescent="0.3">
      <c r="A13" s="14">
        <v>2011</v>
      </c>
      <c r="B13" s="14" t="s">
        <v>679</v>
      </c>
      <c r="C13" s="14">
        <v>4</v>
      </c>
      <c r="D13" s="14">
        <v>25</v>
      </c>
      <c r="E13" s="14">
        <v>4</v>
      </c>
      <c r="F13" s="19">
        <f>4/2</f>
        <v>2</v>
      </c>
      <c r="G13" s="19"/>
      <c r="H13" s="19" t="s">
        <v>51</v>
      </c>
      <c r="I13" s="14" t="s">
        <v>681</v>
      </c>
      <c r="J13" s="14" t="s">
        <v>53</v>
      </c>
      <c r="K13" s="22">
        <f>(0.01)^2*5000*1000</f>
        <v>500</v>
      </c>
      <c r="L13" t="s">
        <v>51</v>
      </c>
      <c r="M13" s="14" t="s">
        <v>639</v>
      </c>
      <c r="N13" s="14" t="s">
        <v>683</v>
      </c>
      <c r="O13" s="17">
        <v>50</v>
      </c>
      <c r="P13" s="17">
        <v>12</v>
      </c>
      <c r="Q13" s="17">
        <f>O13*P13/8</f>
        <v>75</v>
      </c>
      <c r="R13" s="14">
        <f t="shared" si="3"/>
        <v>0.33333333333333331</v>
      </c>
      <c r="S13" s="14" t="s">
        <v>24</v>
      </c>
      <c r="T13" s="14">
        <v>3</v>
      </c>
      <c r="U13" s="14" t="s">
        <v>51</v>
      </c>
      <c r="V13" s="14" t="s">
        <v>642</v>
      </c>
      <c r="W13" s="14" t="s">
        <v>657</v>
      </c>
      <c r="X13" s="14" t="s">
        <v>645</v>
      </c>
      <c r="Y13" s="14" t="s">
        <v>645</v>
      </c>
      <c r="Z13" s="12" t="s">
        <v>691</v>
      </c>
      <c r="AA13" t="s">
        <v>680</v>
      </c>
    </row>
    <row r="14" spans="1:27" ht="86.4" x14ac:dyDescent="0.3">
      <c r="A14" s="14">
        <v>2011</v>
      </c>
      <c r="B14" s="14" t="s">
        <v>650</v>
      </c>
      <c r="C14" s="14">
        <v>9</v>
      </c>
      <c r="D14" s="14">
        <f>6*4+2</f>
        <v>26</v>
      </c>
      <c r="E14" s="14">
        <v>4</v>
      </c>
      <c r="F14" s="19">
        <f>0.4+4</f>
        <v>4.4000000000000004</v>
      </c>
      <c r="G14" s="19">
        <v>600</v>
      </c>
      <c r="H14" s="19" t="s">
        <v>51</v>
      </c>
      <c r="I14" s="14" t="s">
        <v>566</v>
      </c>
      <c r="J14" s="14" t="s">
        <v>580</v>
      </c>
      <c r="K14" s="14">
        <f>(0.015^2*50)*0.001</f>
        <v>1.1249999999999999E-5</v>
      </c>
      <c r="L14" s="14">
        <f>0.01</f>
        <v>0.01</v>
      </c>
      <c r="M14" s="14" t="s">
        <v>652</v>
      </c>
      <c r="N14" s="14" t="s">
        <v>48</v>
      </c>
      <c r="O14" s="17">
        <v>13</v>
      </c>
      <c r="P14" s="29">
        <v>20</v>
      </c>
      <c r="Q14" s="17">
        <f t="shared" si="2"/>
        <v>260</v>
      </c>
      <c r="R14" s="17">
        <f>D14/Q14</f>
        <v>0.1</v>
      </c>
      <c r="S14" s="14" t="s">
        <v>24</v>
      </c>
      <c r="T14" s="14" t="s">
        <v>51</v>
      </c>
      <c r="U14" s="14" t="s">
        <v>51</v>
      </c>
      <c r="V14" s="14" t="s">
        <v>642</v>
      </c>
      <c r="W14" s="14" t="s">
        <v>637</v>
      </c>
      <c r="X14" s="14" t="s">
        <v>645</v>
      </c>
      <c r="Y14" s="14"/>
      <c r="Z14" s="12" t="s">
        <v>651</v>
      </c>
      <c r="AA14" s="12" t="s">
        <v>653</v>
      </c>
    </row>
    <row r="15" spans="1:27" ht="57.6" x14ac:dyDescent="0.3">
      <c r="A15" s="14">
        <v>2012</v>
      </c>
      <c r="B15" s="14" t="s">
        <v>692</v>
      </c>
      <c r="C15" s="14">
        <v>8</v>
      </c>
      <c r="D15" s="14">
        <v>17</v>
      </c>
      <c r="E15" s="14">
        <v>1</v>
      </c>
      <c r="F15" s="19">
        <v>1</v>
      </c>
      <c r="G15" s="19" t="s">
        <v>51</v>
      </c>
      <c r="H15" s="19" t="s">
        <v>51</v>
      </c>
      <c r="I15" s="14" t="s">
        <v>681</v>
      </c>
      <c r="J15" s="14" t="s">
        <v>610</v>
      </c>
      <c r="K15" s="17">
        <f>97*2</f>
        <v>194</v>
      </c>
      <c r="L15" s="14" t="s">
        <v>51</v>
      </c>
      <c r="M15" s="14" t="s">
        <v>693</v>
      </c>
      <c r="N15" s="14" t="s">
        <v>583</v>
      </c>
      <c r="O15" s="36">
        <v>16</v>
      </c>
      <c r="P15" s="29">
        <v>4</v>
      </c>
      <c r="Q15" s="17">
        <f t="shared" si="2"/>
        <v>64</v>
      </c>
      <c r="R15" s="17">
        <f>D15/Q15</f>
        <v>0.265625</v>
      </c>
      <c r="S15" s="14" t="s">
        <v>23</v>
      </c>
      <c r="T15" s="14">
        <v>6.3</v>
      </c>
      <c r="U15" s="14" t="s">
        <v>51</v>
      </c>
      <c r="V15" s="14" t="s">
        <v>584</v>
      </c>
      <c r="W15" s="14" t="s">
        <v>51</v>
      </c>
      <c r="X15" s="14" t="s">
        <v>645</v>
      </c>
      <c r="Y15" s="14" t="s">
        <v>676</v>
      </c>
      <c r="Z15" s="12" t="s">
        <v>694</v>
      </c>
      <c r="AA15" s="12" t="s">
        <v>695</v>
      </c>
    </row>
    <row r="16" spans="1:27" ht="57.6" x14ac:dyDescent="0.3">
      <c r="A16" s="14">
        <v>2012</v>
      </c>
      <c r="B16" s="14" t="s">
        <v>542</v>
      </c>
      <c r="C16" s="14">
        <v>7</v>
      </c>
      <c r="D16" s="14">
        <v>14</v>
      </c>
      <c r="E16" s="14">
        <v>2</v>
      </c>
      <c r="F16" s="14">
        <f>ROUND(9/7,2)</f>
        <v>1.29</v>
      </c>
      <c r="G16" s="14">
        <v>30</v>
      </c>
      <c r="H16" s="19">
        <f>40/7</f>
        <v>5.7142857142857144</v>
      </c>
      <c r="I16" s="14" t="s">
        <v>552</v>
      </c>
      <c r="J16" s="14" t="s">
        <v>560</v>
      </c>
      <c r="K16" s="19">
        <v>500</v>
      </c>
      <c r="L16" s="14" t="s">
        <v>51</v>
      </c>
      <c r="M16" s="14" t="s">
        <v>536</v>
      </c>
      <c r="N16" s="14" t="s">
        <v>561</v>
      </c>
      <c r="O16" s="20">
        <v>2.06</v>
      </c>
      <c r="P16" s="17">
        <v>8</v>
      </c>
      <c r="Q16" s="17">
        <f t="shared" si="2"/>
        <v>16.48</v>
      </c>
      <c r="R16" s="14">
        <f t="shared" si="3"/>
        <v>0.84951456310679607</v>
      </c>
      <c r="S16" s="14" t="s">
        <v>24</v>
      </c>
      <c r="T16" s="14">
        <v>3</v>
      </c>
      <c r="U16" s="14" t="s">
        <v>51</v>
      </c>
      <c r="V16" s="14" t="s">
        <v>575</v>
      </c>
      <c r="W16" s="14"/>
      <c r="X16" s="14"/>
      <c r="Y16" s="14"/>
      <c r="Z16" s="12" t="s">
        <v>532</v>
      </c>
      <c r="AA16" s="12" t="s">
        <v>559</v>
      </c>
    </row>
    <row r="17" spans="1:27" ht="43.2" x14ac:dyDescent="0.3">
      <c r="A17" s="14">
        <v>2012</v>
      </c>
      <c r="B17" s="14" t="s">
        <v>543</v>
      </c>
      <c r="C17" s="14">
        <v>20</v>
      </c>
      <c r="D17" s="14">
        <v>20</v>
      </c>
      <c r="E17" s="14">
        <v>2</v>
      </c>
      <c r="F17" s="14" t="s">
        <v>51</v>
      </c>
      <c r="G17" s="14" t="s">
        <v>51</v>
      </c>
      <c r="H17" s="14" t="s">
        <v>51</v>
      </c>
      <c r="I17" s="14" t="s">
        <v>552</v>
      </c>
      <c r="J17" s="14" t="s">
        <v>53</v>
      </c>
      <c r="K17" s="14" t="s">
        <v>51</v>
      </c>
      <c r="L17" s="14">
        <v>10</v>
      </c>
      <c r="M17" s="14" t="s">
        <v>534</v>
      </c>
      <c r="N17" s="14" t="s">
        <v>561</v>
      </c>
      <c r="O17" s="17">
        <v>0.6</v>
      </c>
      <c r="P17" s="17">
        <v>0.9</v>
      </c>
      <c r="Q17" s="17">
        <f t="shared" si="2"/>
        <v>0.54</v>
      </c>
      <c r="R17" s="14">
        <f t="shared" si="3"/>
        <v>37.037037037037038</v>
      </c>
      <c r="S17" s="14" t="s">
        <v>24</v>
      </c>
      <c r="T17" s="14">
        <v>5</v>
      </c>
      <c r="U17" s="14"/>
      <c r="V17" s="14" t="s">
        <v>575</v>
      </c>
      <c r="W17" s="14"/>
      <c r="X17" s="14"/>
      <c r="Y17" s="14"/>
      <c r="Z17" s="12" t="s">
        <v>565</v>
      </c>
      <c r="AA17" s="12" t="s">
        <v>525</v>
      </c>
    </row>
    <row r="18" spans="1:27" ht="72" x14ac:dyDescent="0.3">
      <c r="A18" s="14">
        <v>2013</v>
      </c>
      <c r="B18" s="14" t="s">
        <v>595</v>
      </c>
      <c r="C18" s="14">
        <v>8</v>
      </c>
      <c r="D18" s="14">
        <f>8+8</f>
        <v>16</v>
      </c>
      <c r="E18" s="14">
        <v>8</v>
      </c>
      <c r="F18" s="14">
        <v>1.5</v>
      </c>
      <c r="G18" s="14">
        <v>200</v>
      </c>
      <c r="H18" s="14" t="s">
        <v>51</v>
      </c>
      <c r="I18" s="14" t="s">
        <v>597</v>
      </c>
      <c r="J18" s="14" t="s">
        <v>596</v>
      </c>
      <c r="K18" s="14"/>
      <c r="L18" s="14">
        <v>1</v>
      </c>
      <c r="M18" s="14" t="s">
        <v>583</v>
      </c>
      <c r="N18" s="14" t="s">
        <v>583</v>
      </c>
      <c r="O18" s="17">
        <v>6</v>
      </c>
      <c r="P18" s="17">
        <v>2</v>
      </c>
      <c r="Q18" s="17">
        <f t="shared" si="2"/>
        <v>12</v>
      </c>
      <c r="R18" s="14">
        <f t="shared" si="3"/>
        <v>1.3333333333333333</v>
      </c>
      <c r="S18" s="14" t="s">
        <v>24</v>
      </c>
      <c r="T18" s="14" t="s">
        <v>51</v>
      </c>
      <c r="U18" s="14" t="s">
        <v>51</v>
      </c>
      <c r="V18" s="14" t="s">
        <v>584</v>
      </c>
      <c r="W18" s="14"/>
      <c r="X18" s="14"/>
      <c r="Y18" s="14"/>
      <c r="Z18" s="12" t="s">
        <v>598</v>
      </c>
      <c r="AA18" s="12" t="s">
        <v>599</v>
      </c>
    </row>
    <row r="19" spans="1:27" ht="72" x14ac:dyDescent="0.3">
      <c r="A19" s="14">
        <v>2013</v>
      </c>
      <c r="B19" s="14" t="s">
        <v>544</v>
      </c>
      <c r="C19" s="14">
        <v>5</v>
      </c>
      <c r="D19" s="14">
        <v>5</v>
      </c>
      <c r="E19" s="14">
        <v>2</v>
      </c>
      <c r="F19" s="14">
        <v>1.9</v>
      </c>
      <c r="G19" s="14" t="s">
        <v>51</v>
      </c>
      <c r="H19" s="14" t="s">
        <v>51</v>
      </c>
      <c r="I19" s="14" t="s">
        <v>552</v>
      </c>
      <c r="J19" s="14" t="s">
        <v>507</v>
      </c>
      <c r="K19" s="14">
        <f>260*2</f>
        <v>520</v>
      </c>
      <c r="L19" s="19">
        <v>1000</v>
      </c>
      <c r="M19" s="14" t="s">
        <v>530</v>
      </c>
      <c r="N19" s="14" t="s">
        <v>48</v>
      </c>
      <c r="O19" s="17">
        <v>45</v>
      </c>
      <c r="P19" s="17">
        <v>85</v>
      </c>
      <c r="Q19" s="17">
        <f t="shared" si="2"/>
        <v>3825</v>
      </c>
      <c r="R19" s="14">
        <f t="shared" si="3"/>
        <v>1.30718954248366E-3</v>
      </c>
      <c r="S19" s="14" t="s">
        <v>24</v>
      </c>
      <c r="T19" s="14">
        <v>1.5</v>
      </c>
      <c r="U19" s="14">
        <v>19.3</v>
      </c>
      <c r="V19" s="14" t="s">
        <v>579</v>
      </c>
      <c r="W19" s="14"/>
      <c r="X19" s="14"/>
      <c r="Y19" s="14"/>
      <c r="Z19" s="12" t="s">
        <v>529</v>
      </c>
      <c r="AA19" s="12" t="s">
        <v>520</v>
      </c>
    </row>
    <row r="20" spans="1:27" ht="43.2" x14ac:dyDescent="0.3">
      <c r="A20" s="14">
        <v>2013</v>
      </c>
      <c r="B20" s="14" t="s">
        <v>616</v>
      </c>
      <c r="C20" s="14">
        <v>64</v>
      </c>
      <c r="D20" s="14">
        <v>64</v>
      </c>
      <c r="E20" s="14">
        <v>65</v>
      </c>
      <c r="F20" s="14" t="s">
        <v>51</v>
      </c>
      <c r="G20" s="14">
        <v>10</v>
      </c>
      <c r="H20" s="14" t="s">
        <v>51</v>
      </c>
      <c r="I20" s="14" t="s">
        <v>552</v>
      </c>
      <c r="J20" s="14" t="s">
        <v>617</v>
      </c>
      <c r="K20" s="14">
        <f>8.5*2</f>
        <v>17</v>
      </c>
      <c r="L20" s="30" t="s">
        <v>51</v>
      </c>
      <c r="M20" s="14" t="s">
        <v>583</v>
      </c>
      <c r="N20" s="14" t="s">
        <v>618</v>
      </c>
      <c r="O20" s="17">
        <v>0.57599999999999996</v>
      </c>
      <c r="P20" s="17">
        <v>0.57599999999999996</v>
      </c>
      <c r="Q20" s="17">
        <f t="shared" si="2"/>
        <v>0.33177599999999996</v>
      </c>
      <c r="R20" s="14">
        <f t="shared" si="3"/>
        <v>192.90123456790127</v>
      </c>
      <c r="S20" s="14" t="s">
        <v>24</v>
      </c>
      <c r="T20" s="14" t="s">
        <v>51</v>
      </c>
      <c r="U20" s="14" t="s">
        <v>51</v>
      </c>
      <c r="V20" s="14" t="s">
        <v>620</v>
      </c>
      <c r="W20" s="14"/>
      <c r="X20" s="14"/>
      <c r="Y20" s="14"/>
      <c r="Z20" s="12" t="s">
        <v>619</v>
      </c>
      <c r="AA20" s="12" t="s">
        <v>621</v>
      </c>
    </row>
    <row r="21" spans="1:27" ht="43.2" x14ac:dyDescent="0.3">
      <c r="A21" s="14">
        <v>2014</v>
      </c>
      <c r="B21" s="14" t="s">
        <v>545</v>
      </c>
      <c r="C21" s="14">
        <v>8</v>
      </c>
      <c r="D21" s="14">
        <f>C21+7*2</f>
        <v>22</v>
      </c>
      <c r="E21" s="14">
        <v>4</v>
      </c>
      <c r="F21" s="14">
        <v>0.38</v>
      </c>
      <c r="G21" s="14">
        <f>5270+2*200+2*31.5</f>
        <v>5733</v>
      </c>
      <c r="H21" s="14" t="s">
        <v>51</v>
      </c>
      <c r="I21" s="14" t="s">
        <v>566</v>
      </c>
      <c r="J21" s="14" t="s">
        <v>53</v>
      </c>
      <c r="K21" s="14">
        <f>18*2</f>
        <v>36</v>
      </c>
      <c r="L21" s="21" t="s">
        <v>51</v>
      </c>
      <c r="M21" s="14" t="s">
        <v>530</v>
      </c>
      <c r="N21" s="14" t="s">
        <v>48</v>
      </c>
      <c r="O21" s="20">
        <v>7.4</v>
      </c>
      <c r="P21" s="20">
        <v>1.6</v>
      </c>
      <c r="Q21" s="17">
        <f t="shared" si="2"/>
        <v>11.840000000000002</v>
      </c>
      <c r="R21" s="14">
        <f t="shared" si="3"/>
        <v>1.8581081081081079</v>
      </c>
      <c r="S21" s="14" t="s">
        <v>23</v>
      </c>
      <c r="T21" s="14" t="s">
        <v>51</v>
      </c>
      <c r="U21" s="14">
        <v>13</v>
      </c>
      <c r="V21" s="14" t="s">
        <v>575</v>
      </c>
      <c r="W21" s="14"/>
      <c r="X21" s="14"/>
      <c r="Y21" s="14"/>
      <c r="Z21" s="12" t="s">
        <v>567</v>
      </c>
      <c r="AA21" s="12" t="s">
        <v>523</v>
      </c>
    </row>
    <row r="22" spans="1:27" ht="72" x14ac:dyDescent="0.3">
      <c r="A22" s="14">
        <v>2014</v>
      </c>
      <c r="B22" s="14" t="s">
        <v>546</v>
      </c>
      <c r="C22" s="14">
        <v>30</v>
      </c>
      <c r="D22" s="14">
        <f>31+25+40</f>
        <v>96</v>
      </c>
      <c r="E22" s="14">
        <v>6</v>
      </c>
      <c r="F22" s="14" t="s">
        <v>51</v>
      </c>
      <c r="G22" s="14" t="s">
        <v>51</v>
      </c>
      <c r="H22" s="14" t="s">
        <v>51</v>
      </c>
      <c r="I22" s="14" t="s">
        <v>552</v>
      </c>
      <c r="J22" s="14" t="s">
        <v>507</v>
      </c>
      <c r="K22" s="14" t="s">
        <v>51</v>
      </c>
      <c r="L22" s="14" t="s">
        <v>51</v>
      </c>
      <c r="M22" s="14" t="s">
        <v>535</v>
      </c>
      <c r="N22" s="14" t="s">
        <v>48</v>
      </c>
      <c r="O22" s="17">
        <v>36</v>
      </c>
      <c r="P22" s="17">
        <v>8</v>
      </c>
      <c r="Q22" s="17">
        <f t="shared" si="2"/>
        <v>288</v>
      </c>
      <c r="R22" s="14">
        <f t="shared" si="3"/>
        <v>0.33333333333333331</v>
      </c>
      <c r="S22" s="14" t="s">
        <v>24</v>
      </c>
      <c r="T22" s="14">
        <v>1.5</v>
      </c>
      <c r="U22" s="14">
        <v>13.6</v>
      </c>
      <c r="V22" s="14" t="s">
        <v>579</v>
      </c>
      <c r="W22" s="14"/>
      <c r="X22" s="14"/>
      <c r="Y22" s="14"/>
      <c r="Z22" s="12" t="s">
        <v>568</v>
      </c>
      <c r="AA22" s="12" t="s">
        <v>526</v>
      </c>
    </row>
    <row r="23" spans="1:27" ht="72" x14ac:dyDescent="0.3">
      <c r="A23" s="14">
        <v>2014</v>
      </c>
      <c r="B23" s="14" t="s">
        <v>672</v>
      </c>
      <c r="C23" s="14">
        <v>9</v>
      </c>
      <c r="D23" s="14">
        <f>6*4+2</f>
        <v>26</v>
      </c>
      <c r="E23" s="14">
        <v>4</v>
      </c>
      <c r="F23" s="19">
        <f>0.4+4</f>
        <v>4.4000000000000004</v>
      </c>
      <c r="G23" s="19">
        <v>600</v>
      </c>
      <c r="H23" s="19" t="s">
        <v>51</v>
      </c>
      <c r="I23" s="14" t="s">
        <v>566</v>
      </c>
      <c r="J23" s="14" t="s">
        <v>580</v>
      </c>
      <c r="K23" s="14">
        <f>(0.015^2*50)*0.001</f>
        <v>1.1249999999999999E-5</v>
      </c>
      <c r="L23" s="14">
        <f>0.01</f>
        <v>0.01</v>
      </c>
      <c r="M23" s="14" t="s">
        <v>652</v>
      </c>
      <c r="N23" s="14" t="s">
        <v>48</v>
      </c>
      <c r="O23" s="17">
        <v>13</v>
      </c>
      <c r="P23" s="29">
        <v>20</v>
      </c>
      <c r="Q23" s="17">
        <f t="shared" si="2"/>
        <v>260</v>
      </c>
      <c r="R23" s="17">
        <f>D23/Q23</f>
        <v>0.1</v>
      </c>
      <c r="S23" s="14" t="s">
        <v>24</v>
      </c>
      <c r="T23" s="14" t="s">
        <v>51</v>
      </c>
      <c r="U23" s="14" t="s">
        <v>51</v>
      </c>
      <c r="V23" s="14" t="s">
        <v>642</v>
      </c>
      <c r="W23" s="14" t="s">
        <v>637</v>
      </c>
      <c r="X23" s="14" t="s">
        <v>645</v>
      </c>
      <c r="Y23" s="14" t="s">
        <v>673</v>
      </c>
      <c r="Z23" s="12" t="s">
        <v>674</v>
      </c>
      <c r="AA23" s="12" t="s">
        <v>671</v>
      </c>
    </row>
    <row r="24" spans="1:27" ht="57.6" x14ac:dyDescent="0.3">
      <c r="A24" s="14">
        <v>2015</v>
      </c>
      <c r="B24" s="37" t="s">
        <v>721</v>
      </c>
      <c r="C24" s="14">
        <v>8</v>
      </c>
      <c r="D24" s="14">
        <v>16</v>
      </c>
      <c r="E24" s="14">
        <v>10</v>
      </c>
      <c r="F24" s="23" t="s">
        <v>51</v>
      </c>
      <c r="G24" s="23" t="s">
        <v>51</v>
      </c>
      <c r="H24" s="23" t="s">
        <v>51</v>
      </c>
      <c r="I24" s="14" t="s">
        <v>552</v>
      </c>
      <c r="J24" s="14" t="s">
        <v>53</v>
      </c>
      <c r="K24" s="19">
        <v>100</v>
      </c>
      <c r="L24" s="14" t="s">
        <v>51</v>
      </c>
      <c r="M24" s="14" t="s">
        <v>655</v>
      </c>
      <c r="N24" s="14" t="s">
        <v>553</v>
      </c>
      <c r="O24" s="23" t="s">
        <v>51</v>
      </c>
      <c r="P24" s="23" t="s">
        <v>51</v>
      </c>
      <c r="Q24" s="23" t="s">
        <v>51</v>
      </c>
      <c r="R24" s="23" t="s">
        <v>51</v>
      </c>
      <c r="S24" s="14" t="s">
        <v>24</v>
      </c>
      <c r="T24" s="14">
        <v>10</v>
      </c>
      <c r="U24" s="23" t="s">
        <v>51</v>
      </c>
      <c r="V24" s="14" t="s">
        <v>634</v>
      </c>
      <c r="W24" s="14" t="s">
        <v>657</v>
      </c>
      <c r="X24" s="14" t="s">
        <v>645</v>
      </c>
      <c r="Y24" s="14" t="s">
        <v>645</v>
      </c>
      <c r="Z24" s="12" t="s">
        <v>723</v>
      </c>
      <c r="AA24" s="11" t="s">
        <v>722</v>
      </c>
    </row>
    <row r="25" spans="1:27" ht="57.6" x14ac:dyDescent="0.3">
      <c r="A25" s="14">
        <v>2015</v>
      </c>
      <c r="B25" s="37" t="s">
        <v>721</v>
      </c>
      <c r="C25" s="14">
        <v>8</v>
      </c>
      <c r="D25" s="14">
        <v>16</v>
      </c>
      <c r="E25" s="14">
        <v>10</v>
      </c>
      <c r="F25" s="23" t="s">
        <v>51</v>
      </c>
      <c r="G25" s="23" t="s">
        <v>51</v>
      </c>
      <c r="H25" s="23" t="s">
        <v>51</v>
      </c>
      <c r="I25" s="14" t="s">
        <v>552</v>
      </c>
      <c r="J25" s="14" t="s">
        <v>580</v>
      </c>
      <c r="K25" s="19">
        <v>100</v>
      </c>
      <c r="L25" s="14" t="s">
        <v>51</v>
      </c>
      <c r="M25" s="14" t="s">
        <v>655</v>
      </c>
      <c r="N25" s="14" t="s">
        <v>553</v>
      </c>
      <c r="O25" s="23" t="s">
        <v>51</v>
      </c>
      <c r="P25" s="23" t="s">
        <v>51</v>
      </c>
      <c r="Q25" s="23" t="s">
        <v>51</v>
      </c>
      <c r="R25" s="23" t="s">
        <v>51</v>
      </c>
      <c r="S25" s="14" t="s">
        <v>24</v>
      </c>
      <c r="T25" s="23" t="s">
        <v>51</v>
      </c>
      <c r="U25" s="23" t="s">
        <v>51</v>
      </c>
      <c r="V25" s="14" t="s">
        <v>634</v>
      </c>
      <c r="W25" s="14" t="s">
        <v>657</v>
      </c>
      <c r="X25" s="14" t="s">
        <v>645</v>
      </c>
      <c r="Y25" s="14" t="s">
        <v>645</v>
      </c>
      <c r="Z25" s="12" t="s">
        <v>724</v>
      </c>
      <c r="AA25" s="11" t="s">
        <v>722</v>
      </c>
    </row>
    <row r="26" spans="1:27" ht="28.8" x14ac:dyDescent="0.3">
      <c r="A26" s="14">
        <v>2015</v>
      </c>
      <c r="B26" s="14" t="s">
        <v>608</v>
      </c>
      <c r="C26" s="14">
        <v>32</v>
      </c>
      <c r="D26" s="14">
        <f>32*2</f>
        <v>64</v>
      </c>
      <c r="E26" s="14">
        <v>33</v>
      </c>
      <c r="F26" s="14" t="s">
        <v>51</v>
      </c>
      <c r="G26" s="19">
        <v>2800</v>
      </c>
      <c r="H26" s="14" t="s">
        <v>51</v>
      </c>
      <c r="I26" s="12" t="s">
        <v>609</v>
      </c>
      <c r="J26" s="14" t="s">
        <v>610</v>
      </c>
      <c r="K26" s="14">
        <f>160*2</f>
        <v>320</v>
      </c>
      <c r="L26" s="14">
        <f>(1/50)</f>
        <v>0.02</v>
      </c>
      <c r="M26" s="14" t="s">
        <v>583</v>
      </c>
      <c r="N26" s="14" t="s">
        <v>583</v>
      </c>
      <c r="O26" s="17">
        <v>11.5</v>
      </c>
      <c r="P26" s="17">
        <v>6</v>
      </c>
      <c r="Q26" s="17">
        <f t="shared" si="2"/>
        <v>69</v>
      </c>
      <c r="R26" s="14">
        <f t="shared" si="3"/>
        <v>0.92753623188405798</v>
      </c>
      <c r="S26" s="14" t="s">
        <v>23</v>
      </c>
      <c r="T26" s="14" t="s">
        <v>51</v>
      </c>
      <c r="U26" s="14" t="s">
        <v>51</v>
      </c>
      <c r="V26" s="14" t="s">
        <v>584</v>
      </c>
      <c r="W26" s="14"/>
      <c r="X26" s="14"/>
      <c r="Y26" s="14"/>
      <c r="Z26" s="12" t="s">
        <v>611</v>
      </c>
      <c r="AA26" s="12"/>
    </row>
    <row r="27" spans="1:27" ht="43.2" x14ac:dyDescent="0.3">
      <c r="A27" s="14">
        <v>2015</v>
      </c>
      <c r="B27" t="s">
        <v>622</v>
      </c>
      <c r="C27" s="14">
        <v>64</v>
      </c>
      <c r="D27" s="14">
        <f>64+64</f>
        <v>128</v>
      </c>
      <c r="E27" s="14">
        <v>1</v>
      </c>
      <c r="F27" s="14">
        <v>3</v>
      </c>
      <c r="G27" s="19">
        <f>31*4+29*2+2*PI()*5</f>
        <v>213.41592653589794</v>
      </c>
      <c r="H27" s="14" t="s">
        <v>51</v>
      </c>
      <c r="I27" s="12" t="s">
        <v>552</v>
      </c>
      <c r="J27" s="14" t="s">
        <v>617</v>
      </c>
      <c r="K27" s="14">
        <f>14.2*2</f>
        <v>28.4</v>
      </c>
      <c r="L27" s="14" t="s">
        <v>51</v>
      </c>
      <c r="M27" s="14" t="s">
        <v>625</v>
      </c>
      <c r="N27" s="14" t="s">
        <v>583</v>
      </c>
      <c r="O27" s="17">
        <v>3</v>
      </c>
      <c r="P27" s="17">
        <v>2</v>
      </c>
      <c r="Q27" s="17">
        <f t="shared" si="2"/>
        <v>6</v>
      </c>
      <c r="R27" s="14">
        <f t="shared" si="3"/>
        <v>21.333333333333332</v>
      </c>
      <c r="S27" s="14" t="s">
        <v>23</v>
      </c>
      <c r="T27" s="14" t="s">
        <v>51</v>
      </c>
      <c r="U27" s="14">
        <v>30</v>
      </c>
      <c r="V27" s="14" t="s">
        <v>584</v>
      </c>
      <c r="W27" s="14"/>
      <c r="X27" s="14"/>
      <c r="Y27" s="14"/>
      <c r="Z27" s="12" t="s">
        <v>624</v>
      </c>
      <c r="AA27" s="12" t="s">
        <v>623</v>
      </c>
    </row>
    <row r="28" spans="1:27" ht="72" x14ac:dyDescent="0.3">
      <c r="A28" s="14">
        <v>2016</v>
      </c>
      <c r="B28" s="14" t="s">
        <v>547</v>
      </c>
      <c r="C28" s="14">
        <v>2</v>
      </c>
      <c r="D28" s="14">
        <v>4</v>
      </c>
      <c r="E28" s="14">
        <v>3</v>
      </c>
      <c r="F28" s="14" t="s">
        <v>51</v>
      </c>
      <c r="G28" s="22">
        <v>6000</v>
      </c>
      <c r="H28" s="14" t="s">
        <v>51</v>
      </c>
      <c r="I28" s="14" t="s">
        <v>552</v>
      </c>
      <c r="J28" s="14" t="s">
        <v>507</v>
      </c>
      <c r="K28" s="14">
        <v>750</v>
      </c>
      <c r="L28" s="14" t="s">
        <v>51</v>
      </c>
      <c r="M28" s="14" t="s">
        <v>535</v>
      </c>
      <c r="N28" s="14" t="s">
        <v>48</v>
      </c>
      <c r="O28" s="17">
        <v>2</v>
      </c>
      <c r="P28" s="17">
        <v>11</v>
      </c>
      <c r="Q28" s="17">
        <f t="shared" si="2"/>
        <v>22</v>
      </c>
      <c r="R28" s="14">
        <f t="shared" si="3"/>
        <v>0.18181818181818182</v>
      </c>
      <c r="S28" s="14" t="s">
        <v>24</v>
      </c>
      <c r="T28" s="14" t="s">
        <v>569</v>
      </c>
      <c r="U28" s="22">
        <v>20</v>
      </c>
      <c r="V28" s="23" t="s">
        <v>579</v>
      </c>
      <c r="W28" s="23"/>
      <c r="X28" s="23"/>
      <c r="Y28" s="23"/>
      <c r="Z28" s="12" t="s">
        <v>570</v>
      </c>
      <c r="AA28" s="12" t="s">
        <v>538</v>
      </c>
    </row>
    <row r="29" spans="1:27" ht="72" x14ac:dyDescent="0.3">
      <c r="A29" s="14">
        <v>2016</v>
      </c>
      <c r="B29" s="14" t="s">
        <v>587</v>
      </c>
      <c r="C29" s="14">
        <v>50</v>
      </c>
      <c r="D29" s="14">
        <v>50</v>
      </c>
      <c r="E29" s="14">
        <v>51</v>
      </c>
      <c r="F29" s="14" t="s">
        <v>51</v>
      </c>
      <c r="G29" s="23" t="s">
        <v>51</v>
      </c>
      <c r="H29" s="14" t="s">
        <v>51</v>
      </c>
      <c r="I29" s="14" t="s">
        <v>552</v>
      </c>
      <c r="J29" s="14" t="s">
        <v>53</v>
      </c>
      <c r="K29" s="14">
        <v>25.26</v>
      </c>
      <c r="L29" s="14" t="s">
        <v>51</v>
      </c>
      <c r="M29" s="14" t="s">
        <v>583</v>
      </c>
      <c r="N29" s="21" t="s">
        <v>561</v>
      </c>
      <c r="O29" s="17">
        <v>1.2</v>
      </c>
      <c r="P29" s="17">
        <v>0.2</v>
      </c>
      <c r="Q29" s="17">
        <f t="shared" si="2"/>
        <v>0.24</v>
      </c>
      <c r="R29" s="14">
        <f t="shared" si="3"/>
        <v>208.33333333333334</v>
      </c>
      <c r="S29" s="14" t="s">
        <v>23</v>
      </c>
      <c r="T29" s="24" t="s">
        <v>569</v>
      </c>
      <c r="U29" s="20" t="s">
        <v>569</v>
      </c>
      <c r="V29" s="23" t="s">
        <v>584</v>
      </c>
      <c r="W29" s="23"/>
      <c r="X29" s="23"/>
      <c r="Y29" s="23"/>
      <c r="Z29" s="12" t="s">
        <v>588</v>
      </c>
      <c r="AA29" s="10" t="s">
        <v>586</v>
      </c>
    </row>
    <row r="30" spans="1:27" ht="57.6" x14ac:dyDescent="0.3">
      <c r="A30" s="14">
        <v>2016</v>
      </c>
      <c r="B30" s="14" t="s">
        <v>590</v>
      </c>
      <c r="C30" s="14">
        <v>128</v>
      </c>
      <c r="D30" s="14">
        <v>128</v>
      </c>
      <c r="E30" s="14">
        <v>129</v>
      </c>
      <c r="F30" s="14" t="s">
        <v>51</v>
      </c>
      <c r="G30" s="23" t="s">
        <v>51</v>
      </c>
      <c r="H30" s="14" t="s">
        <v>51</v>
      </c>
      <c r="I30" s="14" t="s">
        <v>552</v>
      </c>
      <c r="J30" s="14" t="s">
        <v>53</v>
      </c>
      <c r="K30" s="14">
        <v>160</v>
      </c>
      <c r="L30" s="14" t="s">
        <v>51</v>
      </c>
      <c r="M30" s="14" t="s">
        <v>583</v>
      </c>
      <c r="N30" s="21" t="s">
        <v>561</v>
      </c>
      <c r="O30" s="25" t="s">
        <v>51</v>
      </c>
      <c r="P30" s="25" t="s">
        <v>51</v>
      </c>
      <c r="Q30" s="17" t="e">
        <f t="shared" si="2"/>
        <v>#VALUE!</v>
      </c>
      <c r="R30" s="14" t="s">
        <v>51</v>
      </c>
      <c r="S30" s="14" t="s">
        <v>23</v>
      </c>
      <c r="T30" s="26" t="s">
        <v>569</v>
      </c>
      <c r="U30" s="20" t="s">
        <v>569</v>
      </c>
      <c r="V30" s="23" t="s">
        <v>584</v>
      </c>
      <c r="W30" s="23"/>
      <c r="X30" s="23"/>
      <c r="Y30" s="23"/>
      <c r="Z30" s="12"/>
      <c r="AA30" s="10" t="s">
        <v>589</v>
      </c>
    </row>
    <row r="31" spans="1:27" ht="43.2" x14ac:dyDescent="0.3">
      <c r="A31" s="14">
        <v>2016</v>
      </c>
      <c r="B31" s="14" t="s">
        <v>646</v>
      </c>
      <c r="C31" s="23">
        <f>9+12</f>
        <v>21</v>
      </c>
      <c r="D31" s="23">
        <f>9+12</f>
        <v>21</v>
      </c>
      <c r="E31" s="14">
        <v>2</v>
      </c>
      <c r="F31" s="14">
        <v>3.6</v>
      </c>
      <c r="G31" s="19">
        <v>700</v>
      </c>
      <c r="H31" s="14" t="s">
        <v>51</v>
      </c>
      <c r="I31" s="14" t="s">
        <v>597</v>
      </c>
      <c r="J31" s="14" t="s">
        <v>596</v>
      </c>
      <c r="K31" s="14">
        <f>(0.002)^2*50*1000</f>
        <v>0.19999999999999998</v>
      </c>
      <c r="L31" s="14" t="s">
        <v>51</v>
      </c>
      <c r="M31" s="14" t="s">
        <v>641</v>
      </c>
      <c r="N31" s="21" t="s">
        <v>647</v>
      </c>
      <c r="O31" s="25">
        <v>1.5</v>
      </c>
      <c r="P31" s="25">
        <v>2</v>
      </c>
      <c r="Q31" s="17">
        <f t="shared" si="2"/>
        <v>3</v>
      </c>
      <c r="R31" s="14">
        <f t="shared" si="3"/>
        <v>7</v>
      </c>
      <c r="S31" s="14" t="s">
        <v>24</v>
      </c>
      <c r="T31" s="26" t="s">
        <v>569</v>
      </c>
      <c r="U31" s="20" t="s">
        <v>569</v>
      </c>
      <c r="V31" s="23" t="s">
        <v>634</v>
      </c>
      <c r="W31" s="23" t="s">
        <v>637</v>
      </c>
      <c r="X31" s="23" t="s">
        <v>645</v>
      </c>
      <c r="Y31" s="23"/>
      <c r="Z31" s="12" t="s">
        <v>648</v>
      </c>
      <c r="AA31" s="10" t="s">
        <v>649</v>
      </c>
    </row>
    <row r="32" spans="1:27" ht="57.6" x14ac:dyDescent="0.3">
      <c r="A32" s="14">
        <v>2016</v>
      </c>
      <c r="B32" s="37" t="s">
        <v>733</v>
      </c>
      <c r="C32" s="23">
        <v>4</v>
      </c>
      <c r="D32" s="23">
        <v>4</v>
      </c>
      <c r="E32" s="14">
        <v>3</v>
      </c>
      <c r="F32" s="21" t="s">
        <v>51</v>
      </c>
      <c r="G32" s="14">
        <f>2*PI()*7</f>
        <v>43.982297150257104</v>
      </c>
      <c r="H32" s="14" t="s">
        <v>51</v>
      </c>
      <c r="I32" s="14" t="s">
        <v>552</v>
      </c>
      <c r="J32" s="14" t="s">
        <v>53</v>
      </c>
      <c r="K32" s="14" t="s">
        <v>51</v>
      </c>
      <c r="L32" s="14" t="s">
        <v>51</v>
      </c>
      <c r="M32" s="14" t="s">
        <v>655</v>
      </c>
      <c r="N32" s="21" t="s">
        <v>553</v>
      </c>
      <c r="O32" s="25" t="s">
        <v>51</v>
      </c>
      <c r="P32" s="25" t="s">
        <v>51</v>
      </c>
      <c r="Q32" s="25" t="s">
        <v>51</v>
      </c>
      <c r="R32" s="14" t="s">
        <v>51</v>
      </c>
      <c r="S32" s="14" t="s">
        <v>23</v>
      </c>
      <c r="T32" s="26" t="s">
        <v>51</v>
      </c>
      <c r="U32" s="20" t="s">
        <v>51</v>
      </c>
      <c r="V32" s="23" t="s">
        <v>576</v>
      </c>
      <c r="W32" s="23" t="s">
        <v>657</v>
      </c>
      <c r="X32" s="23" t="s">
        <v>645</v>
      </c>
      <c r="Y32" s="40" t="s">
        <v>735</v>
      </c>
      <c r="Z32" s="12" t="s">
        <v>736</v>
      </c>
      <c r="AA32" s="10" t="s">
        <v>734</v>
      </c>
    </row>
    <row r="33" spans="1:27" ht="72" x14ac:dyDescent="0.3">
      <c r="A33" s="14">
        <v>2017</v>
      </c>
      <c r="B33" s="14" t="s">
        <v>698</v>
      </c>
      <c r="C33" s="23">
        <v>8</v>
      </c>
      <c r="D33" s="23">
        <v>8</v>
      </c>
      <c r="E33" s="14">
        <v>10</v>
      </c>
      <c r="F33" s="14" t="s">
        <v>51</v>
      </c>
      <c r="G33" s="19" t="s">
        <v>51</v>
      </c>
      <c r="H33" s="14" t="s">
        <v>51</v>
      </c>
      <c r="I33" s="14" t="s">
        <v>552</v>
      </c>
      <c r="J33" s="14" t="s">
        <v>53</v>
      </c>
      <c r="K33" s="19">
        <f>13/0.266</f>
        <v>48.872180451127818</v>
      </c>
      <c r="L33" s="14">
        <v>20</v>
      </c>
      <c r="M33" s="14" t="s">
        <v>535</v>
      </c>
      <c r="N33" s="21" t="s">
        <v>699</v>
      </c>
      <c r="O33" s="25" t="s">
        <v>51</v>
      </c>
      <c r="P33" s="25" t="s">
        <v>51</v>
      </c>
      <c r="Q33" s="25" t="s">
        <v>51</v>
      </c>
      <c r="R33" s="14" t="s">
        <v>51</v>
      </c>
      <c r="S33" s="14" t="s">
        <v>23</v>
      </c>
      <c r="T33" s="26">
        <v>15</v>
      </c>
      <c r="U33" s="20" t="s">
        <v>51</v>
      </c>
      <c r="V33" s="23" t="s">
        <v>656</v>
      </c>
      <c r="W33" s="23" t="s">
        <v>637</v>
      </c>
      <c r="X33" s="23" t="s">
        <v>662</v>
      </c>
      <c r="Y33" s="23" t="s">
        <v>700</v>
      </c>
      <c r="Z33" s="12" t="s">
        <v>701</v>
      </c>
      <c r="AA33" s="10" t="s">
        <v>702</v>
      </c>
    </row>
    <row r="34" spans="1:27" x14ac:dyDescent="0.3">
      <c r="A34" s="14">
        <v>2017</v>
      </c>
      <c r="B34" s="37" t="s">
        <v>508</v>
      </c>
      <c r="C34" s="16">
        <v>8</v>
      </c>
      <c r="D34" s="16">
        <v>16</v>
      </c>
      <c r="E34" s="16">
        <v>9</v>
      </c>
      <c r="H34" s="14"/>
      <c r="I34" s="14"/>
      <c r="J34" s="14" t="s">
        <v>53</v>
      </c>
      <c r="K34" s="14"/>
      <c r="L34" s="14"/>
      <c r="M34" s="14" t="s">
        <v>535</v>
      </c>
      <c r="R34" s="14"/>
      <c r="S34" s="14" t="s">
        <v>24</v>
      </c>
      <c r="U34" s="14"/>
      <c r="V34" s="14" t="s">
        <v>576</v>
      </c>
      <c r="W34" s="14"/>
      <c r="X34" s="14"/>
      <c r="Y34" s="14"/>
      <c r="Z34" s="12" t="s">
        <v>509</v>
      </c>
      <c r="AA34" s="14"/>
    </row>
    <row r="35" spans="1:27" ht="43.2" x14ac:dyDescent="0.3">
      <c r="A35" s="37">
        <v>2018</v>
      </c>
      <c r="B35" s="14" t="s">
        <v>706</v>
      </c>
      <c r="C35" s="23">
        <v>4</v>
      </c>
      <c r="D35" s="23">
        <v>8</v>
      </c>
      <c r="E35" s="16">
        <v>2</v>
      </c>
      <c r="F35" s="19">
        <f>1/4</f>
        <v>0.25</v>
      </c>
      <c r="G35" s="14">
        <f>2*PI()*125</f>
        <v>785.39816339744823</v>
      </c>
      <c r="H35" s="14" t="s">
        <v>51</v>
      </c>
      <c r="I35" s="14" t="s">
        <v>552</v>
      </c>
      <c r="J35" s="14" t="s">
        <v>507</v>
      </c>
      <c r="K35" s="14">
        <v>500</v>
      </c>
      <c r="L35" s="14" t="s">
        <v>51</v>
      </c>
      <c r="M35" s="14" t="s">
        <v>534</v>
      </c>
      <c r="N35" s="21" t="s">
        <v>553</v>
      </c>
      <c r="O35" s="21" t="s">
        <v>51</v>
      </c>
      <c r="P35" s="21" t="s">
        <v>51</v>
      </c>
      <c r="Q35" s="21" t="s">
        <v>51</v>
      </c>
      <c r="R35" s="14" t="s">
        <v>51</v>
      </c>
      <c r="S35" s="14" t="s">
        <v>24</v>
      </c>
      <c r="T35">
        <v>3</v>
      </c>
      <c r="U35" s="14" t="s">
        <v>51</v>
      </c>
      <c r="V35" s="14" t="s">
        <v>707</v>
      </c>
      <c r="W35" s="14" t="s">
        <v>51</v>
      </c>
      <c r="X35" s="14" t="s">
        <v>645</v>
      </c>
      <c r="Y35" s="14" t="s">
        <v>708</v>
      </c>
      <c r="Z35" s="12"/>
      <c r="AA35" s="12" t="s">
        <v>709</v>
      </c>
    </row>
    <row r="36" spans="1:27" ht="72" x14ac:dyDescent="0.3">
      <c r="A36" s="14">
        <v>2018</v>
      </c>
      <c r="B36" s="14" t="s">
        <v>612</v>
      </c>
      <c r="C36" s="23">
        <v>64</v>
      </c>
      <c r="D36" s="23">
        <v>64</v>
      </c>
      <c r="E36" s="23">
        <v>65</v>
      </c>
      <c r="F36" s="14" t="s">
        <v>51</v>
      </c>
      <c r="G36" s="14">
        <v>300</v>
      </c>
      <c r="H36" s="14" t="s">
        <v>51</v>
      </c>
      <c r="I36" s="14" t="s">
        <v>552</v>
      </c>
      <c r="J36" s="14" t="s">
        <v>5</v>
      </c>
      <c r="K36" s="19">
        <f>600/64*2</f>
        <v>18.75</v>
      </c>
      <c r="L36" s="14" t="s">
        <v>51</v>
      </c>
      <c r="M36" s="14" t="s">
        <v>583</v>
      </c>
      <c r="N36" s="21" t="s">
        <v>561</v>
      </c>
      <c r="O36" s="26">
        <v>7</v>
      </c>
      <c r="P36" s="26">
        <v>20</v>
      </c>
      <c r="Q36" s="17">
        <f t="shared" si="2"/>
        <v>140</v>
      </c>
      <c r="R36" s="14">
        <f>D36/Q36</f>
        <v>0.45714285714285713</v>
      </c>
      <c r="S36" s="14" t="s">
        <v>23</v>
      </c>
      <c r="T36" t="s">
        <v>51</v>
      </c>
      <c r="U36" s="14" t="s">
        <v>51</v>
      </c>
      <c r="V36" s="14" t="s">
        <v>584</v>
      </c>
      <c r="W36" s="14"/>
      <c r="X36" s="14"/>
      <c r="Y36" s="14"/>
      <c r="Z36" s="12" t="s">
        <v>615</v>
      </c>
      <c r="AA36" s="31" t="s">
        <v>614</v>
      </c>
    </row>
    <row r="37" spans="1:27" ht="78" x14ac:dyDescent="0.3">
      <c r="A37" s="14">
        <v>2018</v>
      </c>
      <c r="B37" s="14" t="s">
        <v>548</v>
      </c>
      <c r="C37" s="14">
        <f>10+8</f>
        <v>18</v>
      </c>
      <c r="D37" s="14">
        <f>16+20</f>
        <v>36</v>
      </c>
      <c r="E37" s="14">
        <v>10</v>
      </c>
      <c r="F37" s="14" t="s">
        <v>51</v>
      </c>
      <c r="G37" s="22">
        <f>2300*2</f>
        <v>4600</v>
      </c>
      <c r="H37" s="14" t="s">
        <v>51</v>
      </c>
      <c r="I37" s="14" t="s">
        <v>552</v>
      </c>
      <c r="J37" s="14" t="s">
        <v>507</v>
      </c>
      <c r="K37" s="14">
        <v>376</v>
      </c>
      <c r="L37" s="14"/>
      <c r="M37" s="14" t="s">
        <v>535</v>
      </c>
      <c r="N37" s="14" t="s">
        <v>48</v>
      </c>
      <c r="O37" s="17">
        <v>32</v>
      </c>
      <c r="P37" s="17">
        <v>8</v>
      </c>
      <c r="Q37" s="17">
        <f t="shared" si="2"/>
        <v>256</v>
      </c>
      <c r="R37" s="14">
        <f t="shared" si="3"/>
        <v>0.140625</v>
      </c>
      <c r="S37" s="14" t="s">
        <v>24</v>
      </c>
      <c r="T37" s="14">
        <v>5</v>
      </c>
      <c r="U37" s="14"/>
      <c r="V37" s="14" t="s">
        <v>579</v>
      </c>
      <c r="W37" s="14"/>
      <c r="X37" s="14"/>
      <c r="Y37" s="14"/>
      <c r="Z37" s="12" t="s">
        <v>571</v>
      </c>
      <c r="AA37" s="13" t="s">
        <v>527</v>
      </c>
    </row>
    <row r="38" spans="1:27" ht="57.6" x14ac:dyDescent="0.3">
      <c r="A38" s="14">
        <v>2018</v>
      </c>
      <c r="B38" s="14" t="s">
        <v>550</v>
      </c>
      <c r="C38" s="14">
        <v>8</v>
      </c>
      <c r="D38" s="14">
        <v>13</v>
      </c>
      <c r="E38" s="14">
        <v>5</v>
      </c>
      <c r="F38" s="19">
        <v>0.62</v>
      </c>
      <c r="G38" t="s">
        <v>51</v>
      </c>
      <c r="H38" s="21" t="s">
        <v>51</v>
      </c>
      <c r="I38" s="14" t="s">
        <v>552</v>
      </c>
      <c r="J38" s="14" t="s">
        <v>53</v>
      </c>
      <c r="K38" s="14">
        <v>125</v>
      </c>
      <c r="L38" s="14">
        <v>3000</v>
      </c>
      <c r="M38" s="14" t="s">
        <v>535</v>
      </c>
      <c r="N38" s="14" t="s">
        <v>48</v>
      </c>
      <c r="O38" s="17">
        <v>4.5750000000000002</v>
      </c>
      <c r="P38" s="17">
        <v>0.8</v>
      </c>
      <c r="Q38" s="17">
        <f>O38*P38</f>
        <v>3.66</v>
      </c>
      <c r="R38" s="14">
        <f>D38/Q38</f>
        <v>3.5519125683060109</v>
      </c>
      <c r="S38" s="14" t="s">
        <v>23</v>
      </c>
      <c r="T38" s="14">
        <v>4.5</v>
      </c>
      <c r="U38" s="14" t="s">
        <v>569</v>
      </c>
      <c r="V38" s="14" t="s">
        <v>579</v>
      </c>
      <c r="W38" s="14"/>
      <c r="X38" s="14"/>
      <c r="Y38" s="14"/>
      <c r="Z38" s="12" t="s">
        <v>532</v>
      </c>
      <c r="AA38" s="12" t="s">
        <v>528</v>
      </c>
    </row>
    <row r="39" spans="1:27" ht="72" x14ac:dyDescent="0.3">
      <c r="A39" s="14">
        <v>2018</v>
      </c>
      <c r="B39" s="14" t="s">
        <v>578</v>
      </c>
      <c r="C39" s="14">
        <v>1024</v>
      </c>
      <c r="D39" s="14">
        <f>1192+168</f>
        <v>1360</v>
      </c>
      <c r="E39" s="14">
        <v>1025</v>
      </c>
      <c r="F39" s="23">
        <v>2.2999999999999998</v>
      </c>
      <c r="G39">
        <f>200+2*PI()*2</f>
        <v>212.56637061435919</v>
      </c>
      <c r="H39" s="21"/>
      <c r="I39" s="14" t="s">
        <v>552</v>
      </c>
      <c r="J39" s="14" t="s">
        <v>580</v>
      </c>
      <c r="K39" s="14">
        <v>48</v>
      </c>
      <c r="L39" s="14">
        <v>66</v>
      </c>
      <c r="M39" s="14" t="s">
        <v>561</v>
      </c>
      <c r="N39" s="14" t="s">
        <v>561</v>
      </c>
      <c r="O39" s="17">
        <v>6.4</v>
      </c>
      <c r="P39" s="17">
        <v>5.7</v>
      </c>
      <c r="Q39" s="17">
        <f>O39*P39</f>
        <v>36.480000000000004</v>
      </c>
      <c r="R39" s="14">
        <f>D39/Q39</f>
        <v>37.280701754385959</v>
      </c>
      <c r="S39" s="14"/>
      <c r="T39" s="14"/>
      <c r="U39" s="14"/>
      <c r="V39" s="14" t="s">
        <v>584</v>
      </c>
      <c r="W39" s="14"/>
      <c r="X39" s="14"/>
      <c r="Y39" s="14"/>
      <c r="Z39" s="12"/>
      <c r="AA39" s="11" t="s">
        <v>577</v>
      </c>
    </row>
    <row r="40" spans="1:27" ht="57.6" x14ac:dyDescent="0.3">
      <c r="A40" s="14">
        <v>2018</v>
      </c>
      <c r="B40" s="14" t="s">
        <v>633</v>
      </c>
      <c r="C40" s="14">
        <f>15+16</f>
        <v>31</v>
      </c>
      <c r="D40" s="14">
        <f>15+16</f>
        <v>31</v>
      </c>
      <c r="E40" s="14">
        <v>16</v>
      </c>
      <c r="F40" t="s">
        <v>51</v>
      </c>
      <c r="G40" s="19">
        <f>15000/5</f>
        <v>3000</v>
      </c>
      <c r="H40" t="s">
        <v>51</v>
      </c>
      <c r="I40" s="14" t="s">
        <v>552</v>
      </c>
      <c r="J40" s="14" t="s">
        <v>507</v>
      </c>
      <c r="K40" s="14">
        <v>460</v>
      </c>
      <c r="L40" s="14" t="s">
        <v>51</v>
      </c>
      <c r="M40" s="14" t="s">
        <v>583</v>
      </c>
      <c r="N40" s="14" t="s">
        <v>561</v>
      </c>
      <c r="O40" s="17">
        <v>15</v>
      </c>
      <c r="P40" s="17">
        <v>6</v>
      </c>
      <c r="Q40" s="17">
        <f>O40*P40</f>
        <v>90</v>
      </c>
      <c r="R40" s="14">
        <f>D40/Q40</f>
        <v>0.34444444444444444</v>
      </c>
      <c r="S40" s="14" t="s">
        <v>24</v>
      </c>
      <c r="T40" s="14">
        <v>2.5</v>
      </c>
      <c r="U40" s="14">
        <v>23</v>
      </c>
      <c r="V40" s="14" t="s">
        <v>634</v>
      </c>
      <c r="W40" s="14" t="s">
        <v>637</v>
      </c>
      <c r="X40" s="14" t="s">
        <v>645</v>
      </c>
      <c r="Y40" s="14"/>
      <c r="Z40" s="12"/>
      <c r="AA40" s="10" t="s">
        <v>635</v>
      </c>
    </row>
    <row r="41" spans="1:27" ht="100.8" x14ac:dyDescent="0.3">
      <c r="A41" s="14">
        <v>2018</v>
      </c>
      <c r="B41" s="14" t="s">
        <v>661</v>
      </c>
      <c r="C41" s="14">
        <v>2</v>
      </c>
      <c r="D41" s="14">
        <v>4</v>
      </c>
      <c r="E41" s="14">
        <v>4</v>
      </c>
      <c r="F41" t="s">
        <v>51</v>
      </c>
      <c r="G41" s="19">
        <f>2*PI()*10</f>
        <v>62.831853071795862</v>
      </c>
      <c r="H41" t="s">
        <v>51</v>
      </c>
      <c r="I41" s="12" t="s">
        <v>664</v>
      </c>
      <c r="J41" s="14" t="s">
        <v>53</v>
      </c>
      <c r="K41" s="14">
        <v>210</v>
      </c>
      <c r="L41" s="14">
        <v>6.0000000000000001E-3</v>
      </c>
      <c r="M41" s="14" t="s">
        <v>583</v>
      </c>
      <c r="N41" s="12" t="s">
        <v>665</v>
      </c>
      <c r="O41" s="17">
        <v>0.93400000000000005</v>
      </c>
      <c r="P41" s="17">
        <v>0.61499999999999999</v>
      </c>
      <c r="Q41" s="17">
        <f>O41*P41</f>
        <v>0.57440999999999998</v>
      </c>
      <c r="R41" s="14">
        <f>D41/Q41</f>
        <v>6.9636670670775231</v>
      </c>
      <c r="S41" s="14" t="s">
        <v>23</v>
      </c>
      <c r="T41" s="14">
        <v>5</v>
      </c>
      <c r="U41" s="14" t="s">
        <v>51</v>
      </c>
      <c r="V41" s="14" t="s">
        <v>656</v>
      </c>
      <c r="W41" s="14" t="s">
        <v>637</v>
      </c>
      <c r="X41" s="14" t="s">
        <v>662</v>
      </c>
      <c r="Y41" s="10" t="s">
        <v>663</v>
      </c>
      <c r="Z41" s="12"/>
      <c r="AA41" s="10" t="s">
        <v>666</v>
      </c>
    </row>
    <row r="42" spans="1:27" ht="72" x14ac:dyDescent="0.3">
      <c r="A42" s="14">
        <v>2018</v>
      </c>
      <c r="B42" s="14" t="s">
        <v>550</v>
      </c>
      <c r="C42" s="14">
        <v>5</v>
      </c>
      <c r="D42" s="14">
        <v>11</v>
      </c>
      <c r="E42" s="14">
        <v>2</v>
      </c>
      <c r="F42" s="21">
        <v>0.52</v>
      </c>
      <c r="G42" s="19">
        <v>700</v>
      </c>
      <c r="H42" t="s">
        <v>51</v>
      </c>
      <c r="I42" s="12" t="s">
        <v>552</v>
      </c>
      <c r="J42" s="14" t="s">
        <v>53</v>
      </c>
      <c r="K42" s="14">
        <v>160</v>
      </c>
      <c r="L42" s="14">
        <v>100</v>
      </c>
      <c r="M42" s="14" t="s">
        <v>675</v>
      </c>
      <c r="N42" s="12" t="s">
        <v>48</v>
      </c>
      <c r="O42" s="17">
        <v>3.7</v>
      </c>
      <c r="P42" s="17">
        <v>0.8</v>
      </c>
      <c r="Q42" s="17">
        <f>O42*P42</f>
        <v>2.9600000000000004</v>
      </c>
      <c r="R42" s="14">
        <f>D42/Q42</f>
        <v>3.7162162162162158</v>
      </c>
      <c r="S42" s="14" t="s">
        <v>23</v>
      </c>
      <c r="T42" s="14" t="s">
        <v>51</v>
      </c>
      <c r="U42" s="14" t="s">
        <v>51</v>
      </c>
      <c r="V42" s="14" t="s">
        <v>642</v>
      </c>
      <c r="W42" s="14" t="s">
        <v>637</v>
      </c>
      <c r="X42" s="14" t="s">
        <v>662</v>
      </c>
      <c r="Y42" s="10" t="s">
        <v>676</v>
      </c>
      <c r="Z42" s="12" t="s">
        <v>677</v>
      </c>
      <c r="AA42" s="10" t="s">
        <v>678</v>
      </c>
    </row>
    <row r="43" spans="1:27" ht="72" x14ac:dyDescent="0.3">
      <c r="A43" s="14">
        <v>2018</v>
      </c>
      <c r="B43" s="14" t="s">
        <v>703</v>
      </c>
      <c r="C43" s="14">
        <v>4</v>
      </c>
      <c r="D43" s="14">
        <v>4</v>
      </c>
      <c r="E43" s="14">
        <v>2</v>
      </c>
      <c r="F43" s="21" t="s">
        <v>51</v>
      </c>
      <c r="G43" s="19">
        <f>2*PI()*10</f>
        <v>62.831853071795862</v>
      </c>
      <c r="H43" t="s">
        <v>51</v>
      </c>
      <c r="I43" s="12" t="s">
        <v>552</v>
      </c>
      <c r="J43" s="14" t="s">
        <v>53</v>
      </c>
      <c r="K43" s="17">
        <v>38</v>
      </c>
      <c r="L43" s="17">
        <f>1/100</f>
        <v>0.01</v>
      </c>
      <c r="M43" s="14" t="s">
        <v>533</v>
      </c>
      <c r="N43" s="12" t="s">
        <v>553</v>
      </c>
      <c r="O43" t="s">
        <v>51</v>
      </c>
      <c r="P43" t="s">
        <v>51</v>
      </c>
      <c r="Q43" s="17" t="s">
        <v>51</v>
      </c>
      <c r="R43" s="14" t="s">
        <v>51</v>
      </c>
      <c r="S43" s="14" t="s">
        <v>51</v>
      </c>
      <c r="T43" s="14" t="s">
        <v>51</v>
      </c>
      <c r="U43" s="14" t="s">
        <v>51</v>
      </c>
      <c r="V43" s="14" t="s">
        <v>642</v>
      </c>
      <c r="W43" s="14" t="s">
        <v>657</v>
      </c>
      <c r="X43" s="14" t="s">
        <v>645</v>
      </c>
      <c r="Y43" s="10" t="s">
        <v>676</v>
      </c>
      <c r="Z43" s="12" t="s">
        <v>704</v>
      </c>
      <c r="AA43" s="11" t="s">
        <v>705</v>
      </c>
    </row>
    <row r="44" spans="1:27" ht="86.4" x14ac:dyDescent="0.3">
      <c r="A44" s="14">
        <v>2019</v>
      </c>
      <c r="B44" s="14" t="s">
        <v>549</v>
      </c>
      <c r="C44" s="14">
        <v>13</v>
      </c>
      <c r="D44" s="14">
        <v>13</v>
      </c>
      <c r="E44" s="14">
        <v>6</v>
      </c>
      <c r="F44" s="14">
        <v>2.5</v>
      </c>
      <c r="G44" s="14">
        <v>1000</v>
      </c>
      <c r="H44" s="14" t="s">
        <v>51</v>
      </c>
      <c r="I44" s="12" t="s">
        <v>572</v>
      </c>
      <c r="J44" s="14" t="s">
        <v>53</v>
      </c>
      <c r="K44" s="14" t="s">
        <v>51</v>
      </c>
      <c r="L44" s="14" t="s">
        <v>51</v>
      </c>
      <c r="M44" s="14" t="s">
        <v>531</v>
      </c>
      <c r="N44" s="14" t="s">
        <v>48</v>
      </c>
      <c r="O44" s="17">
        <v>6.1050000000000004</v>
      </c>
      <c r="P44" s="17">
        <v>2.8883000000000001</v>
      </c>
      <c r="Q44" s="17">
        <f t="shared" si="2"/>
        <v>17.633071500000003</v>
      </c>
      <c r="R44" s="14">
        <f t="shared" si="3"/>
        <v>0.7372510228861715</v>
      </c>
      <c r="S44" s="14" t="s">
        <v>23</v>
      </c>
      <c r="T44" s="14">
        <v>3</v>
      </c>
      <c r="U44" s="14" t="s">
        <v>569</v>
      </c>
      <c r="V44" s="14" t="s">
        <v>579</v>
      </c>
      <c r="W44" s="14"/>
      <c r="X44" s="14"/>
      <c r="Y44" s="14"/>
      <c r="Z44" s="12" t="s">
        <v>573</v>
      </c>
      <c r="AA44" s="12" t="s">
        <v>521</v>
      </c>
    </row>
    <row r="45" spans="1:27" ht="86.4" x14ac:dyDescent="0.3">
      <c r="A45" s="14">
        <v>2019</v>
      </c>
      <c r="B45" s="14" t="s">
        <v>548</v>
      </c>
      <c r="C45" s="14"/>
      <c r="D45" s="14"/>
      <c r="E45" s="14"/>
      <c r="F45" s="14"/>
      <c r="G45" s="14"/>
      <c r="H45" s="14"/>
      <c r="I45" s="14" t="s">
        <v>552</v>
      </c>
      <c r="J45" s="14" t="s">
        <v>507</v>
      </c>
      <c r="K45" s="14"/>
      <c r="L45" s="14"/>
      <c r="M45" s="14" t="s">
        <v>530</v>
      </c>
      <c r="N45" s="14"/>
      <c r="O45" s="17">
        <v>32</v>
      </c>
      <c r="P45" s="17">
        <v>8</v>
      </c>
      <c r="Q45" s="17">
        <f t="shared" si="2"/>
        <v>256</v>
      </c>
      <c r="R45" s="14">
        <f t="shared" si="3"/>
        <v>0</v>
      </c>
      <c r="S45" s="14"/>
      <c r="T45" s="14"/>
      <c r="U45" s="14"/>
      <c r="V45" s="14" t="s">
        <v>579</v>
      </c>
      <c r="W45" s="14"/>
      <c r="X45" s="14"/>
      <c r="Y45" s="14"/>
      <c r="Z45" s="12" t="s">
        <v>529</v>
      </c>
      <c r="AA45" s="12" t="s">
        <v>522</v>
      </c>
    </row>
    <row r="46" spans="1:27" ht="72" x14ac:dyDescent="0.3">
      <c r="A46" s="14">
        <v>2019</v>
      </c>
      <c r="B46" s="14" t="s">
        <v>604</v>
      </c>
      <c r="C46" s="14">
        <v>512</v>
      </c>
      <c r="D46" s="14">
        <v>512</v>
      </c>
      <c r="E46" s="14">
        <v>513</v>
      </c>
      <c r="F46" s="14">
        <v>2.4</v>
      </c>
      <c r="G46" s="19">
        <v>2000</v>
      </c>
      <c r="H46" s="21" t="s">
        <v>51</v>
      </c>
      <c r="I46" s="14" t="s">
        <v>605</v>
      </c>
      <c r="J46" s="14" t="s">
        <v>53</v>
      </c>
      <c r="K46" s="14">
        <f>4*10^-3</f>
        <v>4.0000000000000001E-3</v>
      </c>
      <c r="L46" s="14">
        <v>30</v>
      </c>
      <c r="M46" s="14" t="s">
        <v>606</v>
      </c>
      <c r="N46" s="14" t="s">
        <v>583</v>
      </c>
      <c r="O46" s="29">
        <v>2</v>
      </c>
      <c r="P46" s="29">
        <v>8</v>
      </c>
      <c r="Q46" s="17">
        <f t="shared" si="2"/>
        <v>16</v>
      </c>
      <c r="R46" s="14">
        <f t="shared" si="3"/>
        <v>32</v>
      </c>
      <c r="S46" s="14" t="s">
        <v>24</v>
      </c>
      <c r="T46" s="14" t="s">
        <v>51</v>
      </c>
      <c r="U46" s="14" t="s">
        <v>51</v>
      </c>
      <c r="V46" s="14" t="s">
        <v>584</v>
      </c>
      <c r="W46" s="14"/>
      <c r="X46" s="14"/>
      <c r="Y46" s="14"/>
      <c r="Z46" s="12" t="s">
        <v>593</v>
      </c>
      <c r="AA46" s="12" t="s">
        <v>607</v>
      </c>
    </row>
    <row r="47" spans="1:27" ht="43.2" x14ac:dyDescent="0.3">
      <c r="A47" s="14">
        <v>2019</v>
      </c>
      <c r="B47" s="14" t="s">
        <v>628</v>
      </c>
      <c r="C47" s="14">
        <v>16</v>
      </c>
      <c r="D47" s="14">
        <v>16</v>
      </c>
      <c r="E47" s="14">
        <v>1</v>
      </c>
      <c r="F47" s="14" t="s">
        <v>51</v>
      </c>
      <c r="G47" s="23">
        <v>200</v>
      </c>
      <c r="H47" s="21" t="s">
        <v>51</v>
      </c>
      <c r="I47" s="14" t="s">
        <v>552</v>
      </c>
      <c r="J47" s="14" t="s">
        <v>53</v>
      </c>
      <c r="K47" s="14">
        <f>2*(0.0045^2*350)*1000</f>
        <v>14.174999999999999</v>
      </c>
      <c r="L47" s="14" t="s">
        <v>51</v>
      </c>
      <c r="M47" s="14" t="s">
        <v>627</v>
      </c>
      <c r="N47" s="14" t="s">
        <v>583</v>
      </c>
      <c r="O47" s="20">
        <v>1</v>
      </c>
      <c r="P47" s="20">
        <v>0.95</v>
      </c>
      <c r="Q47" s="17">
        <f t="shared" si="2"/>
        <v>0.95</v>
      </c>
      <c r="R47" s="14">
        <f t="shared" si="3"/>
        <v>16.842105263157894</v>
      </c>
      <c r="S47" s="14" t="s">
        <v>23</v>
      </c>
      <c r="T47" s="14" t="s">
        <v>51</v>
      </c>
      <c r="U47" s="14" t="s">
        <v>51</v>
      </c>
      <c r="V47" s="14" t="s">
        <v>584</v>
      </c>
      <c r="W47" s="14"/>
      <c r="X47" s="14"/>
      <c r="Y47" s="14"/>
      <c r="Z47" s="12" t="s">
        <v>593</v>
      </c>
      <c r="AA47" s="12" t="s">
        <v>626</v>
      </c>
    </row>
    <row r="48" spans="1:27" ht="57.6" x14ac:dyDescent="0.3">
      <c r="A48" s="14">
        <v>2019</v>
      </c>
      <c r="B48" s="14" t="s">
        <v>630</v>
      </c>
      <c r="C48" s="14">
        <v>144</v>
      </c>
      <c r="D48" s="14">
        <v>144</v>
      </c>
      <c r="E48" s="14">
        <v>1</v>
      </c>
      <c r="F48" s="14" t="s">
        <v>51</v>
      </c>
      <c r="G48" s="23">
        <v>300</v>
      </c>
      <c r="H48" s="21" t="s">
        <v>51</v>
      </c>
      <c r="I48" s="14" t="s">
        <v>552</v>
      </c>
      <c r="J48" s="14" t="s">
        <v>580</v>
      </c>
      <c r="K48" s="14">
        <v>21.2</v>
      </c>
      <c r="L48" s="14">
        <f>1/(0.019)</f>
        <v>52.631578947368425</v>
      </c>
      <c r="M48" s="14" t="s">
        <v>627</v>
      </c>
      <c r="N48" s="14" t="s">
        <v>627</v>
      </c>
      <c r="O48" s="20">
        <v>1.6</v>
      </c>
      <c r="P48" s="20">
        <v>1.3</v>
      </c>
      <c r="Q48" s="17">
        <f t="shared" si="2"/>
        <v>2.08</v>
      </c>
      <c r="R48" s="14">
        <f t="shared" si="3"/>
        <v>69.230769230769226</v>
      </c>
      <c r="S48" s="14" t="s">
        <v>23</v>
      </c>
      <c r="T48" s="14">
        <v>6</v>
      </c>
      <c r="U48" s="14"/>
      <c r="V48" s="14"/>
      <c r="W48" s="14"/>
      <c r="X48" s="14"/>
      <c r="Y48" s="14"/>
      <c r="Z48" s="12" t="s">
        <v>632</v>
      </c>
      <c r="AA48" s="10" t="s">
        <v>631</v>
      </c>
    </row>
    <row r="49" spans="1:27" ht="57.6" x14ac:dyDescent="0.3">
      <c r="A49" s="14">
        <v>2019</v>
      </c>
      <c r="B49" s="14" t="s">
        <v>713</v>
      </c>
      <c r="C49" s="14">
        <v>3</v>
      </c>
      <c r="D49" s="14">
        <v>3</v>
      </c>
      <c r="E49" s="14">
        <v>2</v>
      </c>
      <c r="F49" s="14" t="s">
        <v>51</v>
      </c>
      <c r="G49" s="14" t="s">
        <v>51</v>
      </c>
      <c r="H49" s="14" t="s">
        <v>51</v>
      </c>
      <c r="I49" s="14" t="s">
        <v>552</v>
      </c>
      <c r="J49" s="14" t="s">
        <v>551</v>
      </c>
      <c r="K49" s="14" t="s">
        <v>51</v>
      </c>
      <c r="L49" s="14" t="s">
        <v>51</v>
      </c>
      <c r="M49" s="14" t="s">
        <v>533</v>
      </c>
      <c r="N49" s="14" t="s">
        <v>627</v>
      </c>
      <c r="O49" s="14" t="s">
        <v>51</v>
      </c>
      <c r="P49" s="14" t="s">
        <v>51</v>
      </c>
      <c r="Q49" s="14" t="s">
        <v>51</v>
      </c>
      <c r="R49" s="14" t="s">
        <v>51</v>
      </c>
      <c r="S49" s="14" t="s">
        <v>51</v>
      </c>
      <c r="T49" s="14" t="s">
        <v>51</v>
      </c>
      <c r="U49" s="14" t="s">
        <v>51</v>
      </c>
      <c r="V49" s="14" t="s">
        <v>642</v>
      </c>
      <c r="W49" s="14" t="s">
        <v>657</v>
      </c>
      <c r="X49" s="14" t="s">
        <v>645</v>
      </c>
      <c r="Y49" s="12" t="s">
        <v>714</v>
      </c>
      <c r="Z49" s="12" t="s">
        <v>715</v>
      </c>
      <c r="AA49" s="10" t="s">
        <v>716</v>
      </c>
    </row>
    <row r="50" spans="1:27" ht="72" x14ac:dyDescent="0.3">
      <c r="A50" s="14">
        <v>2019</v>
      </c>
      <c r="B50" s="14" t="s">
        <v>717</v>
      </c>
      <c r="C50" s="14">
        <v>3</v>
      </c>
      <c r="D50" s="14">
        <v>6</v>
      </c>
      <c r="E50" s="14">
        <v>4</v>
      </c>
      <c r="F50" s="14" t="s">
        <v>51</v>
      </c>
      <c r="G50" s="19">
        <v>600</v>
      </c>
      <c r="H50" s="14" t="s">
        <v>51</v>
      </c>
      <c r="I50" s="14" t="s">
        <v>552</v>
      </c>
      <c r="J50" s="14" t="s">
        <v>53</v>
      </c>
      <c r="K50" s="19">
        <f>0.03^2*100*1000</f>
        <v>90</v>
      </c>
      <c r="L50" s="19">
        <f>1/(10*0.001)</f>
        <v>100</v>
      </c>
      <c r="M50" s="14" t="s">
        <v>533</v>
      </c>
      <c r="N50" s="14" t="s">
        <v>627</v>
      </c>
      <c r="O50" s="14">
        <v>10</v>
      </c>
      <c r="P50" s="19">
        <v>6</v>
      </c>
      <c r="Q50" s="29">
        <f t="shared" si="2"/>
        <v>60</v>
      </c>
      <c r="R50" s="19">
        <f t="shared" si="3"/>
        <v>0.1</v>
      </c>
      <c r="S50" s="14" t="s">
        <v>23</v>
      </c>
      <c r="T50" s="14">
        <v>10</v>
      </c>
      <c r="U50" s="14" t="s">
        <v>51</v>
      </c>
      <c r="V50" s="14" t="s">
        <v>656</v>
      </c>
      <c r="W50" s="14" t="s">
        <v>637</v>
      </c>
      <c r="X50" s="14" t="s">
        <v>662</v>
      </c>
      <c r="Y50" s="12" t="s">
        <v>718</v>
      </c>
      <c r="Z50" s="12" t="s">
        <v>719</v>
      </c>
      <c r="AA50" s="10" t="s">
        <v>720</v>
      </c>
    </row>
    <row r="51" spans="1:27" ht="43.2" x14ac:dyDescent="0.3">
      <c r="A51" s="14">
        <v>2020</v>
      </c>
      <c r="B51" s="14" t="s">
        <v>519</v>
      </c>
      <c r="C51" s="14">
        <v>48</v>
      </c>
      <c r="D51" s="14">
        <f>48+48*2+16</f>
        <v>160</v>
      </c>
      <c r="E51" s="14">
        <v>1</v>
      </c>
      <c r="F51" s="14">
        <v>0.38</v>
      </c>
      <c r="G51" s="19">
        <v>480</v>
      </c>
      <c r="H51" s="14"/>
      <c r="I51" s="14" t="s">
        <v>552</v>
      </c>
      <c r="J51" s="14" t="s">
        <v>53</v>
      </c>
      <c r="K51" s="14">
        <v>40</v>
      </c>
      <c r="L51" s="14">
        <v>56</v>
      </c>
      <c r="M51" s="14" t="s">
        <v>530</v>
      </c>
      <c r="N51" s="14" t="s">
        <v>48</v>
      </c>
      <c r="O51" s="17">
        <v>11.03</v>
      </c>
      <c r="P51" s="17">
        <v>3.88</v>
      </c>
      <c r="Q51" s="17">
        <f t="shared" si="2"/>
        <v>42.796399999999998</v>
      </c>
      <c r="R51" s="14">
        <f t="shared" si="3"/>
        <v>3.7386322214018004</v>
      </c>
      <c r="S51" s="14" t="s">
        <v>23</v>
      </c>
      <c r="T51" s="14">
        <v>6.4</v>
      </c>
      <c r="U51" s="14">
        <v>26</v>
      </c>
      <c r="V51" s="14" t="s">
        <v>579</v>
      </c>
      <c r="W51" s="14"/>
      <c r="X51" s="14"/>
      <c r="Y51" s="14"/>
      <c r="Z51" s="12" t="s">
        <v>537</v>
      </c>
      <c r="AA51" s="12" t="s">
        <v>518</v>
      </c>
    </row>
    <row r="52" spans="1:27" ht="86.4" x14ac:dyDescent="0.3">
      <c r="A52" s="14">
        <v>2020</v>
      </c>
      <c r="B52" s="14" t="s">
        <v>592</v>
      </c>
      <c r="C52" s="14">
        <v>512</v>
      </c>
      <c r="D52" s="14">
        <v>512</v>
      </c>
      <c r="E52" s="14">
        <v>513</v>
      </c>
      <c r="F52" s="21">
        <v>6</v>
      </c>
      <c r="G52" s="27">
        <v>1000</v>
      </c>
      <c r="H52" s="24" t="s">
        <v>51</v>
      </c>
      <c r="I52" s="14" t="s">
        <v>552</v>
      </c>
      <c r="J52" s="14" t="s">
        <v>53</v>
      </c>
      <c r="K52" s="14">
        <f>1.7*2</f>
        <v>3.4</v>
      </c>
      <c r="L52" s="14">
        <v>6.5</v>
      </c>
      <c r="M52" s="14" t="s">
        <v>594</v>
      </c>
      <c r="N52" s="14" t="s">
        <v>583</v>
      </c>
      <c r="O52" s="17">
        <v>8</v>
      </c>
      <c r="P52" s="17">
        <v>15</v>
      </c>
      <c r="Q52" s="17">
        <f t="shared" si="2"/>
        <v>120</v>
      </c>
      <c r="R52" s="14">
        <f t="shared" si="3"/>
        <v>4.2666666666666666</v>
      </c>
      <c r="S52" s="14" t="s">
        <v>24</v>
      </c>
      <c r="T52" s="14" t="s">
        <v>51</v>
      </c>
      <c r="U52" s="14" t="s">
        <v>51</v>
      </c>
      <c r="V52" s="14" t="s">
        <v>584</v>
      </c>
      <c r="W52" s="14"/>
      <c r="X52" s="14"/>
      <c r="Y52" s="14"/>
      <c r="Z52" s="12" t="s">
        <v>593</v>
      </c>
      <c r="AA52" s="10" t="s">
        <v>591</v>
      </c>
    </row>
    <row r="53" spans="1:27" x14ac:dyDescent="0.3">
      <c r="A53" s="14">
        <v>2021</v>
      </c>
      <c r="B53" s="14" t="s">
        <v>504</v>
      </c>
      <c r="C53" s="16">
        <v>16</v>
      </c>
      <c r="D53" s="16">
        <v>16</v>
      </c>
      <c r="E53" s="16">
        <v>8</v>
      </c>
      <c r="I53" s="14" t="s">
        <v>506</v>
      </c>
      <c r="J53" s="14" t="s">
        <v>507</v>
      </c>
      <c r="K53" s="14"/>
      <c r="L53" s="14"/>
      <c r="M53" s="14"/>
      <c r="AA53" s="10"/>
    </row>
    <row r="54" spans="1:27" ht="57.6" x14ac:dyDescent="0.3">
      <c r="A54" s="21">
        <v>2021</v>
      </c>
      <c r="B54" s="21" t="s">
        <v>600</v>
      </c>
      <c r="C54" s="2">
        <v>64</v>
      </c>
      <c r="D54" s="2">
        <v>64</v>
      </c>
      <c r="E54" s="2">
        <v>65</v>
      </c>
      <c r="F54" t="s">
        <v>51</v>
      </c>
      <c r="G54" s="28">
        <v>700</v>
      </c>
      <c r="H54" t="s">
        <v>51</v>
      </c>
      <c r="I54" s="21" t="s">
        <v>552</v>
      </c>
      <c r="J54" s="21" t="s">
        <v>601</v>
      </c>
      <c r="K54">
        <f>2*17.5</f>
        <v>35</v>
      </c>
      <c r="L54" t="s">
        <v>51</v>
      </c>
      <c r="M54" s="21" t="s">
        <v>583</v>
      </c>
      <c r="N54" s="14" t="s">
        <v>583</v>
      </c>
      <c r="O54" s="29">
        <f>1.5+1.8+1.2</f>
        <v>4.5</v>
      </c>
      <c r="P54" s="29">
        <f>1.5+1.8+1.2</f>
        <v>4.5</v>
      </c>
      <c r="Q54" s="29">
        <f>O54*P54</f>
        <v>20.25</v>
      </c>
      <c r="R54" s="19">
        <f>D53/Q54</f>
        <v>0.79012345679012341</v>
      </c>
      <c r="S54" s="14" t="s">
        <v>23</v>
      </c>
      <c r="T54" s="14" t="s">
        <v>51</v>
      </c>
      <c r="U54" s="14" t="s">
        <v>51</v>
      </c>
      <c r="V54" s="14" t="s">
        <v>584</v>
      </c>
      <c r="W54" s="14"/>
      <c r="X54" s="14"/>
      <c r="Y54" s="14"/>
      <c r="Z54" s="12" t="s">
        <v>603</v>
      </c>
      <c r="AA54" s="12" t="s">
        <v>602</v>
      </c>
    </row>
    <row r="55" spans="1:27" x14ac:dyDescent="0.3">
      <c r="C55" s="1"/>
      <c r="D55" s="1"/>
      <c r="E55" s="1"/>
      <c r="AA55" s="10"/>
    </row>
    <row r="56" spans="1:27" x14ac:dyDescent="0.3">
      <c r="C56" s="1"/>
      <c r="D56" s="1"/>
      <c r="E56" s="1"/>
      <c r="AA56" s="10"/>
    </row>
    <row r="57" spans="1:27" x14ac:dyDescent="0.3">
      <c r="AA57" s="10"/>
    </row>
    <row r="58" spans="1:27" x14ac:dyDescent="0.3">
      <c r="AA58" s="10"/>
    </row>
    <row r="59" spans="1:27" x14ac:dyDescent="0.3">
      <c r="AA59" s="10"/>
    </row>
    <row r="60" spans="1:27" x14ac:dyDescent="0.3">
      <c r="AA60" s="10"/>
    </row>
    <row r="61" spans="1:27" x14ac:dyDescent="0.3">
      <c r="AA61" s="10"/>
    </row>
    <row r="62" spans="1:27" x14ac:dyDescent="0.3">
      <c r="AA62" s="10"/>
    </row>
    <row r="63" spans="1:27" x14ac:dyDescent="0.3">
      <c r="AA63" s="10"/>
    </row>
    <row r="64" spans="1:27" x14ac:dyDescent="0.3">
      <c r="AA64" s="10"/>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4CC8-2222-4685-A256-B80BA3886BAD}">
  <dimension ref="A2:G192"/>
  <sheetViews>
    <sheetView workbookViewId="0">
      <selection activeCell="D29" sqref="D29"/>
    </sheetView>
  </sheetViews>
  <sheetFormatPr baseColWidth="10" defaultRowHeight="14.4" x14ac:dyDescent="0.3"/>
  <sheetData>
    <row r="2" spans="1:7" x14ac:dyDescent="0.3">
      <c r="A2">
        <v>1970</v>
      </c>
      <c r="B2" t="s">
        <v>62</v>
      </c>
      <c r="D2" t="s">
        <v>63</v>
      </c>
      <c r="E2" t="s">
        <v>64</v>
      </c>
      <c r="F2" t="s">
        <v>62</v>
      </c>
      <c r="G2" t="s">
        <v>62</v>
      </c>
    </row>
    <row r="3" spans="1:7" x14ac:dyDescent="0.3">
      <c r="A3">
        <v>1971</v>
      </c>
      <c r="B3" s="9">
        <v>2250</v>
      </c>
      <c r="D3" t="s">
        <v>65</v>
      </c>
      <c r="E3" t="s">
        <v>66</v>
      </c>
      <c r="F3" t="s">
        <v>67</v>
      </c>
      <c r="G3" t="s">
        <v>68</v>
      </c>
    </row>
    <row r="4" spans="1:7" x14ac:dyDescent="0.3">
      <c r="A4">
        <v>1972</v>
      </c>
      <c r="B4" s="9">
        <v>3500</v>
      </c>
      <c r="D4" t="s">
        <v>69</v>
      </c>
      <c r="E4" t="s">
        <v>66</v>
      </c>
      <c r="F4" t="s">
        <v>67</v>
      </c>
      <c r="G4" t="s">
        <v>70</v>
      </c>
    </row>
    <row r="5" spans="1:7" x14ac:dyDescent="0.3">
      <c r="A5">
        <v>1973</v>
      </c>
      <c r="B5" s="9">
        <v>2500</v>
      </c>
      <c r="D5" t="s">
        <v>71</v>
      </c>
      <c r="E5" t="s">
        <v>72</v>
      </c>
      <c r="F5" t="s">
        <v>73</v>
      </c>
      <c r="G5" t="s">
        <v>62</v>
      </c>
    </row>
    <row r="6" spans="1:7" x14ac:dyDescent="0.3">
      <c r="A6">
        <v>1973</v>
      </c>
      <c r="B6" s="9">
        <v>11000</v>
      </c>
      <c r="D6" t="s">
        <v>74</v>
      </c>
      <c r="E6" t="s">
        <v>75</v>
      </c>
      <c r="F6" t="s">
        <v>76</v>
      </c>
      <c r="G6" t="s">
        <v>77</v>
      </c>
    </row>
    <row r="7" spans="1:7" x14ac:dyDescent="0.3">
      <c r="A7">
        <v>1974</v>
      </c>
      <c r="B7" s="9">
        <v>3000</v>
      </c>
      <c r="D7" t="s">
        <v>78</v>
      </c>
      <c r="E7" t="s">
        <v>66</v>
      </c>
      <c r="F7" t="s">
        <v>67</v>
      </c>
      <c r="G7" t="s">
        <v>68</v>
      </c>
    </row>
    <row r="8" spans="1:7" x14ac:dyDescent="0.3">
      <c r="A8">
        <v>1974</v>
      </c>
      <c r="B8" s="9">
        <v>4100</v>
      </c>
      <c r="D8" t="s">
        <v>79</v>
      </c>
      <c r="E8" t="s">
        <v>80</v>
      </c>
      <c r="F8" t="s">
        <v>76</v>
      </c>
      <c r="G8" t="s">
        <v>81</v>
      </c>
    </row>
    <row r="9" spans="1:7" x14ac:dyDescent="0.3">
      <c r="A9">
        <v>1974</v>
      </c>
      <c r="B9" s="9">
        <v>6000</v>
      </c>
      <c r="D9" t="s">
        <v>82</v>
      </c>
      <c r="E9" t="s">
        <v>66</v>
      </c>
      <c r="F9" t="s">
        <v>76</v>
      </c>
      <c r="G9" t="s">
        <v>83</v>
      </c>
    </row>
    <row r="10" spans="1:7" x14ac:dyDescent="0.3">
      <c r="A10">
        <v>1974</v>
      </c>
      <c r="B10" s="9">
        <v>8000</v>
      </c>
      <c r="D10" t="s">
        <v>84</v>
      </c>
      <c r="E10" t="s">
        <v>85</v>
      </c>
      <c r="F10" t="s">
        <v>86</v>
      </c>
      <c r="G10" t="s">
        <v>87</v>
      </c>
    </row>
    <row r="11" spans="1:7" x14ac:dyDescent="0.3">
      <c r="A11">
        <v>1975</v>
      </c>
      <c r="B11" s="9">
        <v>4528</v>
      </c>
      <c r="D11" t="s">
        <v>88</v>
      </c>
      <c r="E11" t="s">
        <v>89</v>
      </c>
      <c r="F11" t="s">
        <v>86</v>
      </c>
      <c r="G11" t="s">
        <v>90</v>
      </c>
    </row>
    <row r="12" spans="1:7" x14ac:dyDescent="0.3">
      <c r="A12">
        <v>1975</v>
      </c>
      <c r="B12" s="9">
        <v>4000</v>
      </c>
      <c r="D12" t="s">
        <v>91</v>
      </c>
      <c r="E12" t="s">
        <v>92</v>
      </c>
    </row>
    <row r="13" spans="1:7" x14ac:dyDescent="0.3">
      <c r="A13">
        <v>1975</v>
      </c>
      <c r="B13" s="9">
        <v>5000</v>
      </c>
      <c r="D13" t="s">
        <v>93</v>
      </c>
      <c r="E13" t="s">
        <v>94</v>
      </c>
    </row>
    <row r="14" spans="1:7" x14ac:dyDescent="0.3">
      <c r="A14">
        <v>1976</v>
      </c>
      <c r="B14" s="9">
        <v>5000</v>
      </c>
      <c r="D14" t="s">
        <v>95</v>
      </c>
      <c r="E14" t="s">
        <v>94</v>
      </c>
      <c r="F14" t="s">
        <v>96</v>
      </c>
      <c r="G14" t="s">
        <v>97</v>
      </c>
    </row>
    <row r="15" spans="1:7" x14ac:dyDescent="0.3">
      <c r="A15">
        <v>1976</v>
      </c>
      <c r="B15" s="9">
        <v>8500</v>
      </c>
      <c r="D15" t="s">
        <v>98</v>
      </c>
      <c r="E15" t="s">
        <v>99</v>
      </c>
      <c r="F15" t="s">
        <v>100</v>
      </c>
      <c r="G15" t="s">
        <v>101</v>
      </c>
    </row>
    <row r="16" spans="1:7" x14ac:dyDescent="0.3">
      <c r="A16">
        <v>1976</v>
      </c>
      <c r="B16" s="9">
        <v>6500</v>
      </c>
      <c r="D16" t="s">
        <v>102</v>
      </c>
      <c r="E16" t="s">
        <v>66</v>
      </c>
      <c r="F16" t="s">
        <v>103</v>
      </c>
      <c r="G16" t="s">
        <v>83</v>
      </c>
    </row>
    <row r="17" spans="1:7" x14ac:dyDescent="0.3">
      <c r="A17">
        <v>1976</v>
      </c>
      <c r="B17" s="9">
        <v>8000</v>
      </c>
      <c r="D17" t="s">
        <v>104</v>
      </c>
      <c r="E17" t="s">
        <v>85</v>
      </c>
    </row>
    <row r="18" spans="1:7" x14ac:dyDescent="0.3">
      <c r="A18">
        <v>1977</v>
      </c>
      <c r="B18" t="s">
        <v>62</v>
      </c>
      <c r="D18" t="s">
        <v>105</v>
      </c>
      <c r="E18" t="s">
        <v>80</v>
      </c>
      <c r="F18" t="s">
        <v>62</v>
      </c>
      <c r="G18" t="s">
        <v>62</v>
      </c>
    </row>
    <row r="19" spans="1:7" x14ac:dyDescent="0.3">
      <c r="A19">
        <v>1977</v>
      </c>
      <c r="B19" s="9">
        <v>7000</v>
      </c>
      <c r="D19" t="s">
        <v>106</v>
      </c>
      <c r="E19" t="s">
        <v>107</v>
      </c>
      <c r="F19" t="s">
        <v>96</v>
      </c>
    </row>
    <row r="20" spans="1:7" x14ac:dyDescent="0.3">
      <c r="A20">
        <v>1978</v>
      </c>
      <c r="B20" s="9">
        <v>9000</v>
      </c>
      <c r="D20" t="s">
        <v>108</v>
      </c>
      <c r="E20" t="s">
        <v>80</v>
      </c>
      <c r="F20" t="s">
        <v>96</v>
      </c>
      <c r="G20" t="s">
        <v>90</v>
      </c>
    </row>
    <row r="21" spans="1:7" x14ac:dyDescent="0.3">
      <c r="A21">
        <v>1978</v>
      </c>
      <c r="B21" s="9">
        <v>29000</v>
      </c>
      <c r="D21" t="s">
        <v>109</v>
      </c>
      <c r="E21" t="s">
        <v>66</v>
      </c>
      <c r="F21" t="s">
        <v>103</v>
      </c>
      <c r="G21" t="s">
        <v>110</v>
      </c>
    </row>
    <row r="22" spans="1:7" x14ac:dyDescent="0.3">
      <c r="A22">
        <v>1979</v>
      </c>
      <c r="B22" s="9">
        <v>17500</v>
      </c>
      <c r="D22" t="s">
        <v>111</v>
      </c>
      <c r="E22" t="s">
        <v>99</v>
      </c>
    </row>
    <row r="23" spans="1:7" x14ac:dyDescent="0.3">
      <c r="A23">
        <v>1979</v>
      </c>
      <c r="B23" s="9">
        <v>29000</v>
      </c>
      <c r="D23" t="s">
        <v>112</v>
      </c>
      <c r="E23" t="s">
        <v>66</v>
      </c>
      <c r="F23" t="s">
        <v>103</v>
      </c>
      <c r="G23" t="s">
        <v>110</v>
      </c>
    </row>
    <row r="24" spans="1:7" x14ac:dyDescent="0.3">
      <c r="A24">
        <v>1979</v>
      </c>
      <c r="B24" s="9">
        <v>68000</v>
      </c>
      <c r="D24" t="s">
        <v>113</v>
      </c>
      <c r="E24" t="s">
        <v>80</v>
      </c>
      <c r="F24" t="s">
        <v>114</v>
      </c>
      <c r="G24" t="s">
        <v>115</v>
      </c>
    </row>
    <row r="25" spans="1:7" x14ac:dyDescent="0.3">
      <c r="A25">
        <v>1980</v>
      </c>
      <c r="B25" s="9">
        <v>50000</v>
      </c>
      <c r="D25" t="s">
        <v>116</v>
      </c>
      <c r="E25" t="s">
        <v>66</v>
      </c>
    </row>
    <row r="26" spans="1:7" x14ac:dyDescent="0.3">
      <c r="A26">
        <v>1981</v>
      </c>
      <c r="B26" s="9">
        <v>11500</v>
      </c>
      <c r="D26" t="s">
        <v>117</v>
      </c>
      <c r="E26" t="s">
        <v>118</v>
      </c>
      <c r="F26" t="s">
        <v>103</v>
      </c>
      <c r="G26" t="s">
        <v>119</v>
      </c>
    </row>
    <row r="27" spans="1:7" x14ac:dyDescent="0.3">
      <c r="A27">
        <v>1981</v>
      </c>
      <c r="B27" s="9">
        <v>45000</v>
      </c>
      <c r="D27" t="s">
        <v>120</v>
      </c>
      <c r="E27" t="s">
        <v>121</v>
      </c>
      <c r="F27" t="s">
        <v>122</v>
      </c>
    </row>
    <row r="28" spans="1:7" x14ac:dyDescent="0.3">
      <c r="A28">
        <v>1982</v>
      </c>
      <c r="B28" s="9">
        <v>55000</v>
      </c>
      <c r="D28" t="s">
        <v>123</v>
      </c>
      <c r="E28" t="s">
        <v>66</v>
      </c>
      <c r="F28" t="s">
        <v>103</v>
      </c>
      <c r="G28" t="s">
        <v>124</v>
      </c>
    </row>
    <row r="29" spans="1:7" x14ac:dyDescent="0.3">
      <c r="A29">
        <v>1982</v>
      </c>
      <c r="B29" s="9">
        <v>134000</v>
      </c>
      <c r="D29" t="s">
        <v>125</v>
      </c>
      <c r="E29" t="s">
        <v>66</v>
      </c>
      <c r="F29" t="s">
        <v>126</v>
      </c>
      <c r="G29" t="s">
        <v>127</v>
      </c>
    </row>
    <row r="30" spans="1:7" x14ac:dyDescent="0.3">
      <c r="A30">
        <v>1983</v>
      </c>
      <c r="B30" s="9">
        <v>22000</v>
      </c>
      <c r="D30" t="s">
        <v>128</v>
      </c>
      <c r="E30" t="s">
        <v>118</v>
      </c>
      <c r="F30" t="s">
        <v>129</v>
      </c>
      <c r="G30" t="s">
        <v>130</v>
      </c>
    </row>
    <row r="31" spans="1:7" x14ac:dyDescent="0.3">
      <c r="A31">
        <v>1984</v>
      </c>
      <c r="B31" s="9">
        <v>63000</v>
      </c>
      <c r="D31" t="s">
        <v>131</v>
      </c>
      <c r="E31" t="s">
        <v>72</v>
      </c>
    </row>
    <row r="32" spans="1:7" x14ac:dyDescent="0.3">
      <c r="A32">
        <v>1984</v>
      </c>
      <c r="B32" s="9">
        <v>190000</v>
      </c>
      <c r="D32" t="s">
        <v>132</v>
      </c>
      <c r="E32" t="s">
        <v>80</v>
      </c>
      <c r="F32" t="s">
        <v>122</v>
      </c>
      <c r="G32" t="s">
        <v>133</v>
      </c>
    </row>
    <row r="33" spans="1:7" x14ac:dyDescent="0.3">
      <c r="A33">
        <v>1985</v>
      </c>
      <c r="B33" s="9">
        <v>275000</v>
      </c>
      <c r="D33" t="s">
        <v>134</v>
      </c>
      <c r="E33" t="s">
        <v>66</v>
      </c>
      <c r="F33" t="s">
        <v>126</v>
      </c>
      <c r="G33" t="s">
        <v>135</v>
      </c>
    </row>
    <row r="34" spans="1:7" x14ac:dyDescent="0.3">
      <c r="A34">
        <v>1985</v>
      </c>
      <c r="B34" s="9">
        <v>25000</v>
      </c>
      <c r="D34" t="s">
        <v>136</v>
      </c>
      <c r="E34" t="s">
        <v>137</v>
      </c>
      <c r="F34" t="s">
        <v>103</v>
      </c>
      <c r="G34" t="s">
        <v>138</v>
      </c>
    </row>
    <row r="35" spans="1:7" x14ac:dyDescent="0.3">
      <c r="A35">
        <v>1985</v>
      </c>
      <c r="B35" s="9">
        <v>16000</v>
      </c>
      <c r="D35" t="s">
        <v>139</v>
      </c>
      <c r="E35" t="s">
        <v>140</v>
      </c>
      <c r="F35" t="s">
        <v>141</v>
      </c>
    </row>
    <row r="36" spans="1:7" x14ac:dyDescent="0.3">
      <c r="A36">
        <v>1986</v>
      </c>
      <c r="B36" s="9">
        <v>110000</v>
      </c>
      <c r="D36" t="s">
        <v>142</v>
      </c>
      <c r="E36" t="s">
        <v>143</v>
      </c>
      <c r="F36" t="s">
        <v>144</v>
      </c>
    </row>
    <row r="37" spans="1:7" x14ac:dyDescent="0.3">
      <c r="A37">
        <v>1986</v>
      </c>
      <c r="B37" s="9">
        <v>375000</v>
      </c>
      <c r="D37" t="s">
        <v>145</v>
      </c>
      <c r="E37" t="s">
        <v>72</v>
      </c>
      <c r="F37" t="s">
        <v>126</v>
      </c>
    </row>
    <row r="38" spans="1:7" x14ac:dyDescent="0.3">
      <c r="A38">
        <v>1986</v>
      </c>
      <c r="B38" s="9">
        <v>27000</v>
      </c>
      <c r="D38" t="s">
        <v>146</v>
      </c>
      <c r="E38" t="s">
        <v>137</v>
      </c>
      <c r="F38" t="s">
        <v>122</v>
      </c>
      <c r="G38" t="s">
        <v>147</v>
      </c>
    </row>
    <row r="39" spans="1:7" x14ac:dyDescent="0.3">
      <c r="A39">
        <v>1986</v>
      </c>
      <c r="B39" s="9">
        <v>91000</v>
      </c>
      <c r="D39" t="s">
        <v>148</v>
      </c>
      <c r="E39" t="s">
        <v>99</v>
      </c>
    </row>
    <row r="40" spans="1:7" x14ac:dyDescent="0.3">
      <c r="A40">
        <v>1987</v>
      </c>
      <c r="B40" s="9">
        <v>385000</v>
      </c>
      <c r="D40" t="s">
        <v>149</v>
      </c>
      <c r="E40" t="s">
        <v>72</v>
      </c>
      <c r="F40" t="s">
        <v>126</v>
      </c>
    </row>
    <row r="41" spans="1:7" x14ac:dyDescent="0.3">
      <c r="A41">
        <v>1987</v>
      </c>
      <c r="B41" s="9">
        <v>730000</v>
      </c>
      <c r="D41" t="s">
        <v>150</v>
      </c>
      <c r="E41" t="s">
        <v>151</v>
      </c>
      <c r="F41" t="s">
        <v>152</v>
      </c>
    </row>
    <row r="42" spans="1:7" x14ac:dyDescent="0.3">
      <c r="A42">
        <v>1987</v>
      </c>
      <c r="B42" s="9">
        <v>273000</v>
      </c>
      <c r="D42" t="s">
        <v>153</v>
      </c>
      <c r="E42" t="s">
        <v>80</v>
      </c>
      <c r="F42" t="s">
        <v>154</v>
      </c>
      <c r="G42" t="s">
        <v>155</v>
      </c>
    </row>
    <row r="43" spans="1:7" x14ac:dyDescent="0.3">
      <c r="A43">
        <v>1987</v>
      </c>
      <c r="B43" s="9">
        <v>553000</v>
      </c>
      <c r="D43" t="s">
        <v>156</v>
      </c>
      <c r="E43" t="s">
        <v>85</v>
      </c>
      <c r="F43" t="s">
        <v>157</v>
      </c>
    </row>
    <row r="44" spans="1:7" x14ac:dyDescent="0.3">
      <c r="A44">
        <v>1988</v>
      </c>
      <c r="B44" s="9">
        <v>180000</v>
      </c>
      <c r="D44" t="s">
        <v>158</v>
      </c>
      <c r="E44" t="s">
        <v>159</v>
      </c>
      <c r="F44" t="s">
        <v>126</v>
      </c>
      <c r="G44" t="s">
        <v>160</v>
      </c>
    </row>
    <row r="45" spans="1:7" x14ac:dyDescent="0.3">
      <c r="A45">
        <v>1988</v>
      </c>
      <c r="B45" s="9">
        <v>250000</v>
      </c>
      <c r="D45" t="s">
        <v>161</v>
      </c>
      <c r="E45" t="s">
        <v>66</v>
      </c>
      <c r="F45" t="s">
        <v>162</v>
      </c>
    </row>
    <row r="46" spans="1:7" x14ac:dyDescent="0.3">
      <c r="A46">
        <v>1989</v>
      </c>
      <c r="B46" s="9">
        <v>600000</v>
      </c>
      <c r="D46" t="s">
        <v>163</v>
      </c>
      <c r="E46" t="s">
        <v>66</v>
      </c>
      <c r="F46" t="s">
        <v>154</v>
      </c>
      <c r="G46" t="s">
        <v>164</v>
      </c>
    </row>
    <row r="47" spans="1:7" x14ac:dyDescent="0.3">
      <c r="A47">
        <v>1989</v>
      </c>
      <c r="B47" s="9">
        <v>1000000</v>
      </c>
      <c r="D47" t="s">
        <v>165</v>
      </c>
      <c r="E47" t="s">
        <v>66</v>
      </c>
    </row>
    <row r="48" spans="1:7" x14ac:dyDescent="0.3">
      <c r="A48">
        <v>1989</v>
      </c>
      <c r="B48" s="9">
        <v>1180235</v>
      </c>
      <c r="D48" t="s">
        <v>166</v>
      </c>
      <c r="E48" t="s">
        <v>66</v>
      </c>
      <c r="F48" t="s">
        <v>167</v>
      </c>
      <c r="G48" t="s">
        <v>168</v>
      </c>
    </row>
    <row r="49" spans="1:7" x14ac:dyDescent="0.3">
      <c r="A49">
        <v>1989</v>
      </c>
      <c r="B49" s="9">
        <v>310000</v>
      </c>
      <c r="D49" t="s">
        <v>169</v>
      </c>
      <c r="E49" t="s">
        <v>137</v>
      </c>
      <c r="F49" t="s">
        <v>126</v>
      </c>
      <c r="G49" t="s">
        <v>170</v>
      </c>
    </row>
    <row r="50" spans="1:7" x14ac:dyDescent="0.3">
      <c r="A50">
        <v>1990</v>
      </c>
      <c r="B50" s="9">
        <v>1200000</v>
      </c>
      <c r="D50" t="s">
        <v>171</v>
      </c>
      <c r="E50" t="s">
        <v>80</v>
      </c>
      <c r="F50" t="s">
        <v>172</v>
      </c>
      <c r="G50" t="s">
        <v>173</v>
      </c>
    </row>
    <row r="51" spans="1:7" x14ac:dyDescent="0.3">
      <c r="A51">
        <v>1991</v>
      </c>
      <c r="B51" s="9">
        <v>1350000</v>
      </c>
      <c r="D51" t="s">
        <v>174</v>
      </c>
      <c r="E51" t="s">
        <v>175</v>
      </c>
      <c r="F51" t="s">
        <v>152</v>
      </c>
      <c r="G51" t="s">
        <v>176</v>
      </c>
    </row>
    <row r="52" spans="1:7" x14ac:dyDescent="0.3">
      <c r="A52">
        <v>1991</v>
      </c>
      <c r="B52" s="9">
        <v>35000</v>
      </c>
      <c r="D52" t="s">
        <v>177</v>
      </c>
      <c r="E52" t="s">
        <v>178</v>
      </c>
      <c r="F52" t="s">
        <v>154</v>
      </c>
    </row>
    <row r="53" spans="1:7" x14ac:dyDescent="0.3">
      <c r="A53">
        <v>1992</v>
      </c>
      <c r="B53" s="9">
        <v>600000</v>
      </c>
      <c r="D53" t="s">
        <v>179</v>
      </c>
      <c r="E53" t="s">
        <v>151</v>
      </c>
      <c r="F53" t="s">
        <v>154</v>
      </c>
      <c r="G53" t="s">
        <v>180</v>
      </c>
    </row>
    <row r="54" spans="1:7" x14ac:dyDescent="0.3">
      <c r="A54">
        <v>1992</v>
      </c>
      <c r="B54" s="9">
        <v>900000</v>
      </c>
      <c r="D54" t="s">
        <v>181</v>
      </c>
      <c r="E54" t="s">
        <v>66</v>
      </c>
      <c r="G54" t="s">
        <v>182</v>
      </c>
    </row>
    <row r="55" spans="1:7" x14ac:dyDescent="0.3">
      <c r="A55">
        <v>1992</v>
      </c>
      <c r="B55" s="9">
        <v>1680000</v>
      </c>
      <c r="D55" t="s">
        <v>183</v>
      </c>
      <c r="E55" t="s">
        <v>184</v>
      </c>
      <c r="F55" t="s">
        <v>185</v>
      </c>
      <c r="G55" t="s">
        <v>186</v>
      </c>
    </row>
    <row r="56" spans="1:7" x14ac:dyDescent="0.3">
      <c r="A56">
        <v>1993</v>
      </c>
      <c r="B56" s="9">
        <v>2800000</v>
      </c>
      <c r="D56" t="s">
        <v>187</v>
      </c>
      <c r="E56" t="s">
        <v>151</v>
      </c>
      <c r="F56" t="s">
        <v>188</v>
      </c>
      <c r="G56" t="s">
        <v>189</v>
      </c>
    </row>
    <row r="57" spans="1:7" x14ac:dyDescent="0.3">
      <c r="A57">
        <v>1993</v>
      </c>
      <c r="B57" s="9">
        <v>3100000</v>
      </c>
      <c r="D57" t="s">
        <v>190</v>
      </c>
      <c r="E57" t="s">
        <v>66</v>
      </c>
      <c r="F57" t="s">
        <v>154</v>
      </c>
      <c r="G57" t="s">
        <v>191</v>
      </c>
    </row>
    <row r="58" spans="1:7" x14ac:dyDescent="0.3">
      <c r="A58">
        <v>1994</v>
      </c>
      <c r="B58" s="9">
        <v>578977</v>
      </c>
      <c r="D58" t="s">
        <v>192</v>
      </c>
      <c r="E58" t="s">
        <v>178</v>
      </c>
      <c r="F58" t="s">
        <v>193</v>
      </c>
      <c r="G58" t="s">
        <v>194</v>
      </c>
    </row>
    <row r="59" spans="1:7" x14ac:dyDescent="0.3">
      <c r="A59">
        <v>1994</v>
      </c>
      <c r="B59" s="9">
        <v>7000</v>
      </c>
      <c r="D59" t="s">
        <v>195</v>
      </c>
      <c r="E59" t="s">
        <v>196</v>
      </c>
      <c r="F59" t="s">
        <v>197</v>
      </c>
    </row>
    <row r="60" spans="1:7" x14ac:dyDescent="0.3">
      <c r="A60">
        <v>1994</v>
      </c>
      <c r="B60" s="9">
        <v>2500000</v>
      </c>
      <c r="D60" t="s">
        <v>198</v>
      </c>
      <c r="E60" t="s">
        <v>80</v>
      </c>
      <c r="F60" t="s">
        <v>199</v>
      </c>
      <c r="G60" t="s">
        <v>200</v>
      </c>
    </row>
    <row r="61" spans="1:7" x14ac:dyDescent="0.3">
      <c r="A61">
        <v>1995</v>
      </c>
      <c r="B61" s="9">
        <v>2500000</v>
      </c>
      <c r="D61" t="s">
        <v>201</v>
      </c>
      <c r="E61" t="s">
        <v>202</v>
      </c>
      <c r="F61" t="s">
        <v>203</v>
      </c>
      <c r="G61" t="s">
        <v>138</v>
      </c>
    </row>
    <row r="62" spans="1:7" x14ac:dyDescent="0.3">
      <c r="A62">
        <v>1995</v>
      </c>
      <c r="B62" s="9">
        <v>5500000</v>
      </c>
      <c r="D62" t="s">
        <v>204</v>
      </c>
      <c r="E62" t="s">
        <v>66</v>
      </c>
      <c r="F62" t="s">
        <v>188</v>
      </c>
      <c r="G62" t="s">
        <v>205</v>
      </c>
    </row>
    <row r="63" spans="1:7" x14ac:dyDescent="0.3">
      <c r="A63">
        <v>1996</v>
      </c>
      <c r="B63" s="9">
        <v>4300000</v>
      </c>
      <c r="D63" t="s">
        <v>206</v>
      </c>
      <c r="E63" t="s">
        <v>207</v>
      </c>
      <c r="F63" t="s">
        <v>188</v>
      </c>
      <c r="G63" t="s">
        <v>208</v>
      </c>
    </row>
    <row r="64" spans="1:7" x14ac:dyDescent="0.3">
      <c r="A64">
        <v>1997</v>
      </c>
      <c r="B64" s="9">
        <v>10000000</v>
      </c>
      <c r="D64" t="s">
        <v>209</v>
      </c>
      <c r="E64" t="s">
        <v>151</v>
      </c>
      <c r="F64" t="s">
        <v>210</v>
      </c>
      <c r="G64" t="s">
        <v>211</v>
      </c>
    </row>
    <row r="65" spans="1:7" x14ac:dyDescent="0.3">
      <c r="A65">
        <v>1997</v>
      </c>
      <c r="B65" s="9">
        <v>7500000</v>
      </c>
      <c r="D65" t="s">
        <v>212</v>
      </c>
      <c r="E65" t="s">
        <v>66</v>
      </c>
      <c r="F65" t="s">
        <v>203</v>
      </c>
      <c r="G65" t="s">
        <v>213</v>
      </c>
    </row>
    <row r="66" spans="1:7" x14ac:dyDescent="0.3">
      <c r="A66">
        <v>1997</v>
      </c>
      <c r="B66" s="9">
        <v>8800000</v>
      </c>
      <c r="D66" t="s">
        <v>214</v>
      </c>
      <c r="E66" t="s">
        <v>207</v>
      </c>
      <c r="F66" t="s">
        <v>203</v>
      </c>
      <c r="G66" t="s">
        <v>215</v>
      </c>
    </row>
    <row r="67" spans="1:7" x14ac:dyDescent="0.3">
      <c r="A67">
        <v>1997</v>
      </c>
      <c r="B67" s="9">
        <v>15000</v>
      </c>
      <c r="D67" t="s">
        <v>216</v>
      </c>
      <c r="E67" t="s">
        <v>196</v>
      </c>
    </row>
    <row r="68" spans="1:7" x14ac:dyDescent="0.3">
      <c r="A68">
        <v>1997</v>
      </c>
      <c r="B68" s="9">
        <v>140000</v>
      </c>
      <c r="D68" t="s">
        <v>217</v>
      </c>
      <c r="E68" t="s">
        <v>218</v>
      </c>
    </row>
    <row r="69" spans="1:7" x14ac:dyDescent="0.3">
      <c r="A69">
        <v>1998</v>
      </c>
      <c r="B69" s="9">
        <v>7500000</v>
      </c>
      <c r="D69" t="s">
        <v>219</v>
      </c>
      <c r="E69" t="s">
        <v>66</v>
      </c>
      <c r="F69" t="s">
        <v>220</v>
      </c>
      <c r="G69" t="s">
        <v>221</v>
      </c>
    </row>
    <row r="70" spans="1:7" x14ac:dyDescent="0.3">
      <c r="A70">
        <v>1999</v>
      </c>
      <c r="B70" s="9">
        <v>111000</v>
      </c>
      <c r="D70" t="s">
        <v>222</v>
      </c>
      <c r="E70" t="s">
        <v>137</v>
      </c>
      <c r="F70" t="s">
        <v>203</v>
      </c>
      <c r="G70" t="s">
        <v>223</v>
      </c>
    </row>
    <row r="71" spans="1:7" x14ac:dyDescent="0.3">
      <c r="A71">
        <v>1999</v>
      </c>
      <c r="B71" s="9">
        <v>9500000</v>
      </c>
      <c r="D71" t="s">
        <v>224</v>
      </c>
      <c r="E71" t="s">
        <v>66</v>
      </c>
      <c r="F71" t="s">
        <v>220</v>
      </c>
      <c r="G71" t="s">
        <v>225</v>
      </c>
    </row>
    <row r="72" spans="1:7" x14ac:dyDescent="0.3">
      <c r="A72">
        <v>1999</v>
      </c>
      <c r="B72" s="9">
        <v>13500000</v>
      </c>
      <c r="D72" t="s">
        <v>226</v>
      </c>
      <c r="E72" t="s">
        <v>227</v>
      </c>
      <c r="F72" t="s">
        <v>228</v>
      </c>
      <c r="G72" t="s">
        <v>229</v>
      </c>
    </row>
    <row r="73" spans="1:7" x14ac:dyDescent="0.3">
      <c r="A73">
        <v>1999</v>
      </c>
      <c r="B73" s="9">
        <v>27400000</v>
      </c>
      <c r="D73" t="s">
        <v>230</v>
      </c>
      <c r="E73" t="s">
        <v>66</v>
      </c>
      <c r="F73" t="s">
        <v>231</v>
      </c>
      <c r="G73" t="s">
        <v>232</v>
      </c>
    </row>
    <row r="74" spans="1:7" x14ac:dyDescent="0.3">
      <c r="A74">
        <v>1999</v>
      </c>
      <c r="B74" s="9">
        <v>21300000</v>
      </c>
      <c r="D74" t="s">
        <v>233</v>
      </c>
      <c r="E74" t="s">
        <v>207</v>
      </c>
      <c r="F74" t="s">
        <v>220</v>
      </c>
      <c r="G74" t="s">
        <v>234</v>
      </c>
    </row>
    <row r="75" spans="1:7" x14ac:dyDescent="0.3">
      <c r="A75">
        <v>1999</v>
      </c>
      <c r="B75" s="9">
        <v>22000000</v>
      </c>
      <c r="D75" t="s">
        <v>235</v>
      </c>
      <c r="E75" t="s">
        <v>207</v>
      </c>
      <c r="F75" t="s">
        <v>220</v>
      </c>
      <c r="G75" t="s">
        <v>236</v>
      </c>
    </row>
    <row r="76" spans="1:7" x14ac:dyDescent="0.3">
      <c r="A76">
        <v>2000</v>
      </c>
      <c r="B76" s="9">
        <v>21000000</v>
      </c>
      <c r="D76" t="s">
        <v>237</v>
      </c>
      <c r="E76" t="s">
        <v>238</v>
      </c>
      <c r="F76" t="s">
        <v>231</v>
      </c>
      <c r="G76" t="s">
        <v>239</v>
      </c>
    </row>
    <row r="77" spans="1:7" x14ac:dyDescent="0.3">
      <c r="A77">
        <v>2000</v>
      </c>
      <c r="B77" s="9">
        <v>21000000</v>
      </c>
      <c r="D77" t="s">
        <v>240</v>
      </c>
      <c r="E77" t="s">
        <v>66</v>
      </c>
      <c r="F77" t="s">
        <v>231</v>
      </c>
      <c r="G77" t="s">
        <v>241</v>
      </c>
    </row>
    <row r="78" spans="1:7" x14ac:dyDescent="0.3">
      <c r="A78">
        <v>2000</v>
      </c>
      <c r="B78" s="9">
        <v>42000000</v>
      </c>
      <c r="D78" t="s">
        <v>242</v>
      </c>
      <c r="E78" t="s">
        <v>66</v>
      </c>
      <c r="F78" t="s">
        <v>231</v>
      </c>
      <c r="G78" t="s">
        <v>243</v>
      </c>
    </row>
    <row r="79" spans="1:7" x14ac:dyDescent="0.3">
      <c r="A79">
        <v>2001</v>
      </c>
      <c r="B79" s="9">
        <v>191000000</v>
      </c>
      <c r="D79" t="s">
        <v>244</v>
      </c>
      <c r="E79" t="s">
        <v>143</v>
      </c>
      <c r="F79" t="s">
        <v>245</v>
      </c>
      <c r="G79" t="s">
        <v>246</v>
      </c>
    </row>
    <row r="80" spans="1:7" x14ac:dyDescent="0.3">
      <c r="A80">
        <v>2001</v>
      </c>
      <c r="B80" s="9">
        <v>45000000</v>
      </c>
      <c r="D80" t="s">
        <v>247</v>
      </c>
      <c r="E80" t="s">
        <v>66</v>
      </c>
      <c r="F80" t="s">
        <v>248</v>
      </c>
      <c r="G80" t="s">
        <v>249</v>
      </c>
    </row>
    <row r="81" spans="1:7" x14ac:dyDescent="0.3">
      <c r="A81">
        <v>2002</v>
      </c>
      <c r="B81" s="9">
        <v>55000000</v>
      </c>
      <c r="D81" t="s">
        <v>250</v>
      </c>
      <c r="E81" t="s">
        <v>66</v>
      </c>
      <c r="F81" t="s">
        <v>248</v>
      </c>
      <c r="G81" t="s">
        <v>251</v>
      </c>
    </row>
    <row r="82" spans="1:7" x14ac:dyDescent="0.3">
      <c r="A82">
        <v>2002</v>
      </c>
      <c r="B82" s="9">
        <v>220000000</v>
      </c>
      <c r="D82" t="s">
        <v>252</v>
      </c>
      <c r="E82" t="s">
        <v>66</v>
      </c>
      <c r="F82" t="s">
        <v>231</v>
      </c>
      <c r="G82" t="s">
        <v>253</v>
      </c>
    </row>
    <row r="83" spans="1:7" x14ac:dyDescent="0.3">
      <c r="A83">
        <v>2003</v>
      </c>
      <c r="B83" s="9">
        <v>152000000</v>
      </c>
      <c r="D83" t="s">
        <v>254</v>
      </c>
      <c r="E83" t="s">
        <v>184</v>
      </c>
      <c r="F83" t="s">
        <v>231</v>
      </c>
      <c r="G83" t="s">
        <v>255</v>
      </c>
    </row>
    <row r="84" spans="1:7" x14ac:dyDescent="0.3">
      <c r="A84">
        <v>2003</v>
      </c>
      <c r="B84" s="9">
        <v>54300000</v>
      </c>
      <c r="D84" t="s">
        <v>256</v>
      </c>
      <c r="E84" t="s">
        <v>207</v>
      </c>
      <c r="F84" t="s">
        <v>248</v>
      </c>
      <c r="G84" t="s">
        <v>257</v>
      </c>
    </row>
    <row r="85" spans="1:7" x14ac:dyDescent="0.3">
      <c r="A85">
        <v>2003</v>
      </c>
      <c r="B85" s="9">
        <v>105900000</v>
      </c>
      <c r="D85" t="s">
        <v>258</v>
      </c>
      <c r="E85" t="s">
        <v>207</v>
      </c>
      <c r="F85" t="s">
        <v>248</v>
      </c>
      <c r="G85" t="s">
        <v>259</v>
      </c>
    </row>
    <row r="86" spans="1:7" x14ac:dyDescent="0.3">
      <c r="A86">
        <v>2003</v>
      </c>
      <c r="B86" s="9">
        <v>410000000</v>
      </c>
      <c r="D86" t="s">
        <v>260</v>
      </c>
      <c r="E86" t="s">
        <v>66</v>
      </c>
      <c r="F86" t="s">
        <v>248</v>
      </c>
      <c r="G86" t="s">
        <v>261</v>
      </c>
    </row>
    <row r="87" spans="1:7" x14ac:dyDescent="0.3">
      <c r="A87">
        <v>2004</v>
      </c>
      <c r="B87" s="9">
        <v>112000000</v>
      </c>
      <c r="D87" t="s">
        <v>262</v>
      </c>
      <c r="E87" t="s">
        <v>66</v>
      </c>
      <c r="F87" t="s">
        <v>263</v>
      </c>
      <c r="G87" t="s">
        <v>264</v>
      </c>
    </row>
    <row r="88" spans="1:7" x14ac:dyDescent="0.3">
      <c r="A88">
        <v>2004</v>
      </c>
      <c r="B88" s="9">
        <v>400000000</v>
      </c>
      <c r="D88" t="s">
        <v>265</v>
      </c>
      <c r="E88" t="s">
        <v>143</v>
      </c>
      <c r="F88" t="s">
        <v>263</v>
      </c>
      <c r="G88" t="s">
        <v>191</v>
      </c>
    </row>
    <row r="89" spans="1:7" x14ac:dyDescent="0.3">
      <c r="A89">
        <v>2004</v>
      </c>
      <c r="B89" s="9">
        <v>592000000</v>
      </c>
      <c r="D89" t="s">
        <v>266</v>
      </c>
      <c r="E89" t="s">
        <v>66</v>
      </c>
      <c r="F89" t="s">
        <v>248</v>
      </c>
      <c r="G89" t="s">
        <v>267</v>
      </c>
    </row>
    <row r="90" spans="1:7" x14ac:dyDescent="0.3">
      <c r="A90">
        <v>2005</v>
      </c>
      <c r="B90" s="9">
        <v>169000000</v>
      </c>
      <c r="D90" t="s">
        <v>268</v>
      </c>
      <c r="E90" t="s">
        <v>66</v>
      </c>
      <c r="F90" t="s">
        <v>263</v>
      </c>
      <c r="G90" t="s">
        <v>164</v>
      </c>
    </row>
    <row r="91" spans="1:7" x14ac:dyDescent="0.3">
      <c r="A91">
        <v>2005</v>
      </c>
      <c r="B91" s="9">
        <v>228000000</v>
      </c>
      <c r="D91" t="s">
        <v>269</v>
      </c>
      <c r="E91" t="s">
        <v>66</v>
      </c>
      <c r="F91" t="s">
        <v>263</v>
      </c>
      <c r="G91" t="s">
        <v>270</v>
      </c>
    </row>
    <row r="92" spans="1:7" x14ac:dyDescent="0.3">
      <c r="A92">
        <v>2005</v>
      </c>
      <c r="B92" s="9">
        <v>165000000</v>
      </c>
      <c r="D92" t="s">
        <v>271</v>
      </c>
      <c r="E92" t="s">
        <v>121</v>
      </c>
      <c r="F92" t="s">
        <v>263</v>
      </c>
    </row>
    <row r="93" spans="1:7" x14ac:dyDescent="0.3">
      <c r="A93">
        <v>2005</v>
      </c>
      <c r="B93" s="9">
        <v>250000000</v>
      </c>
      <c r="D93" t="s">
        <v>272</v>
      </c>
      <c r="E93" t="s">
        <v>273</v>
      </c>
      <c r="F93" t="s">
        <v>263</v>
      </c>
      <c r="G93" t="s">
        <v>274</v>
      </c>
    </row>
    <row r="94" spans="1:7" x14ac:dyDescent="0.3">
      <c r="A94">
        <v>2006</v>
      </c>
      <c r="B94" s="9">
        <v>184000000</v>
      </c>
      <c r="D94" t="s">
        <v>275</v>
      </c>
      <c r="E94" t="s">
        <v>66</v>
      </c>
      <c r="F94" t="s">
        <v>276</v>
      </c>
      <c r="G94" t="s">
        <v>277</v>
      </c>
    </row>
    <row r="95" spans="1:7" x14ac:dyDescent="0.3">
      <c r="A95">
        <v>2006</v>
      </c>
      <c r="B95" s="9">
        <v>362000000</v>
      </c>
      <c r="D95" t="s">
        <v>278</v>
      </c>
      <c r="E95" t="s">
        <v>66</v>
      </c>
      <c r="F95" t="s">
        <v>276</v>
      </c>
      <c r="G95" t="s">
        <v>215</v>
      </c>
    </row>
    <row r="96" spans="1:7" x14ac:dyDescent="0.3">
      <c r="A96">
        <v>2006</v>
      </c>
      <c r="B96" s="9">
        <v>291000000</v>
      </c>
      <c r="D96" t="s">
        <v>279</v>
      </c>
      <c r="E96" t="s">
        <v>66</v>
      </c>
      <c r="F96" t="s">
        <v>276</v>
      </c>
      <c r="G96" t="s">
        <v>164</v>
      </c>
    </row>
    <row r="97" spans="1:7" x14ac:dyDescent="0.3">
      <c r="A97">
        <v>2006</v>
      </c>
      <c r="B97" s="9">
        <v>1700000000</v>
      </c>
      <c r="D97" t="s">
        <v>280</v>
      </c>
      <c r="E97" t="s">
        <v>66</v>
      </c>
      <c r="F97" t="s">
        <v>263</v>
      </c>
      <c r="G97" t="s">
        <v>281</v>
      </c>
    </row>
    <row r="98" spans="1:7" x14ac:dyDescent="0.3">
      <c r="A98">
        <v>2007</v>
      </c>
      <c r="B98" s="9">
        <v>463000000</v>
      </c>
      <c r="D98" t="s">
        <v>282</v>
      </c>
      <c r="E98" t="s">
        <v>207</v>
      </c>
      <c r="F98" t="s">
        <v>276</v>
      </c>
      <c r="G98" t="s">
        <v>283</v>
      </c>
    </row>
    <row r="99" spans="1:7" x14ac:dyDescent="0.3">
      <c r="A99">
        <v>2007</v>
      </c>
      <c r="B99" s="9">
        <v>26000000</v>
      </c>
      <c r="D99" t="s">
        <v>284</v>
      </c>
      <c r="E99" t="s">
        <v>178</v>
      </c>
      <c r="F99" t="s">
        <v>285</v>
      </c>
      <c r="G99" t="s">
        <v>286</v>
      </c>
    </row>
    <row r="100" spans="1:7" x14ac:dyDescent="0.3">
      <c r="A100">
        <v>2007</v>
      </c>
      <c r="B100" s="9">
        <v>411000000</v>
      </c>
      <c r="D100" t="s">
        <v>287</v>
      </c>
      <c r="E100" t="s">
        <v>66</v>
      </c>
      <c r="F100" t="s">
        <v>285</v>
      </c>
      <c r="G100" t="s">
        <v>288</v>
      </c>
    </row>
    <row r="101" spans="1:7" x14ac:dyDescent="0.3">
      <c r="A101">
        <v>2007</v>
      </c>
      <c r="B101" s="9">
        <v>789000000</v>
      </c>
      <c r="D101" t="s">
        <v>289</v>
      </c>
      <c r="E101" t="s">
        <v>121</v>
      </c>
      <c r="F101" t="s">
        <v>276</v>
      </c>
      <c r="G101" t="s">
        <v>290</v>
      </c>
    </row>
    <row r="102" spans="1:7" x14ac:dyDescent="0.3">
      <c r="A102">
        <v>2007</v>
      </c>
      <c r="B102" s="9">
        <v>169000000</v>
      </c>
      <c r="D102" t="s">
        <v>291</v>
      </c>
      <c r="E102" t="s">
        <v>66</v>
      </c>
      <c r="F102" t="s">
        <v>276</v>
      </c>
      <c r="G102" t="s">
        <v>292</v>
      </c>
    </row>
    <row r="103" spans="1:7" x14ac:dyDescent="0.3">
      <c r="A103">
        <v>2007</v>
      </c>
      <c r="B103" s="9">
        <v>250000000</v>
      </c>
      <c r="D103" t="s">
        <v>293</v>
      </c>
      <c r="E103" t="s">
        <v>294</v>
      </c>
      <c r="F103" t="s">
        <v>285</v>
      </c>
      <c r="G103" t="s">
        <v>62</v>
      </c>
    </row>
    <row r="104" spans="1:7" x14ac:dyDescent="0.3">
      <c r="A104">
        <v>2007</v>
      </c>
      <c r="B104" s="9">
        <v>540000000</v>
      </c>
      <c r="D104" t="s">
        <v>295</v>
      </c>
      <c r="E104" t="s">
        <v>143</v>
      </c>
      <c r="F104" t="s">
        <v>263</v>
      </c>
      <c r="G104" t="s">
        <v>253</v>
      </c>
    </row>
    <row r="105" spans="1:7" x14ac:dyDescent="0.3">
      <c r="A105">
        <v>2008</v>
      </c>
      <c r="B105" s="9">
        <v>230000000</v>
      </c>
      <c r="D105" t="s">
        <v>296</v>
      </c>
      <c r="E105" t="s">
        <v>66</v>
      </c>
      <c r="F105" t="s">
        <v>285</v>
      </c>
      <c r="G105" t="s">
        <v>297</v>
      </c>
    </row>
    <row r="106" spans="1:7" x14ac:dyDescent="0.3">
      <c r="A106">
        <v>2008</v>
      </c>
      <c r="B106" s="9">
        <v>731000000</v>
      </c>
      <c r="D106" t="s">
        <v>298</v>
      </c>
      <c r="E106" t="s">
        <v>66</v>
      </c>
      <c r="F106" t="s">
        <v>285</v>
      </c>
      <c r="G106" t="s">
        <v>299</v>
      </c>
    </row>
    <row r="107" spans="1:7" x14ac:dyDescent="0.3">
      <c r="A107">
        <v>2008</v>
      </c>
      <c r="B107" s="9">
        <v>758000000</v>
      </c>
      <c r="D107" t="s">
        <v>300</v>
      </c>
      <c r="E107" t="s">
        <v>207</v>
      </c>
      <c r="F107" t="s">
        <v>285</v>
      </c>
      <c r="G107" t="s">
        <v>301</v>
      </c>
    </row>
    <row r="108" spans="1:7" x14ac:dyDescent="0.3">
      <c r="A108">
        <v>2008</v>
      </c>
      <c r="B108" s="9">
        <v>47000000</v>
      </c>
      <c r="D108" t="s">
        <v>302</v>
      </c>
      <c r="E108" t="s">
        <v>66</v>
      </c>
      <c r="F108" t="s">
        <v>285</v>
      </c>
      <c r="G108" t="s">
        <v>303</v>
      </c>
    </row>
    <row r="109" spans="1:7" x14ac:dyDescent="0.3">
      <c r="A109">
        <v>2008</v>
      </c>
      <c r="B109" s="9">
        <v>600000000</v>
      </c>
      <c r="D109" t="s">
        <v>304</v>
      </c>
      <c r="E109" t="s">
        <v>143</v>
      </c>
      <c r="F109" t="s">
        <v>276</v>
      </c>
      <c r="G109" t="s">
        <v>305</v>
      </c>
    </row>
    <row r="110" spans="1:7" x14ac:dyDescent="0.3">
      <c r="A110">
        <v>2008</v>
      </c>
      <c r="B110" s="9">
        <v>1900000000</v>
      </c>
      <c r="D110" t="s">
        <v>306</v>
      </c>
      <c r="E110" t="s">
        <v>66</v>
      </c>
      <c r="F110" t="s">
        <v>285</v>
      </c>
      <c r="G110" t="s">
        <v>307</v>
      </c>
    </row>
    <row r="111" spans="1:7" x14ac:dyDescent="0.3">
      <c r="A111">
        <v>2009</v>
      </c>
      <c r="B111" s="9">
        <v>904000000</v>
      </c>
      <c r="D111" t="s">
        <v>308</v>
      </c>
      <c r="E111" t="s">
        <v>207</v>
      </c>
      <c r="F111" t="s">
        <v>285</v>
      </c>
      <c r="G111" t="s">
        <v>309</v>
      </c>
    </row>
    <row r="112" spans="1:7" x14ac:dyDescent="0.3">
      <c r="A112">
        <v>2009</v>
      </c>
      <c r="B112" s="9">
        <v>760000000</v>
      </c>
      <c r="D112" t="s">
        <v>310</v>
      </c>
      <c r="E112" t="s">
        <v>143</v>
      </c>
      <c r="F112" t="s">
        <v>285</v>
      </c>
      <c r="G112" t="s">
        <v>311</v>
      </c>
    </row>
    <row r="113" spans="1:7" x14ac:dyDescent="0.3">
      <c r="A113">
        <v>2010</v>
      </c>
      <c r="B113" s="9">
        <v>1000000000</v>
      </c>
      <c r="D113" t="s">
        <v>312</v>
      </c>
      <c r="E113" t="s">
        <v>313</v>
      </c>
      <c r="F113" t="s">
        <v>314</v>
      </c>
      <c r="G113" t="s">
        <v>315</v>
      </c>
    </row>
    <row r="114" spans="1:7" x14ac:dyDescent="0.3">
      <c r="A114">
        <v>2010</v>
      </c>
      <c r="B114" s="9">
        <v>1170000000</v>
      </c>
      <c r="D114" t="s">
        <v>316</v>
      </c>
      <c r="E114" t="s">
        <v>66</v>
      </c>
      <c r="F114" t="s">
        <v>317</v>
      </c>
      <c r="G114" t="s">
        <v>318</v>
      </c>
    </row>
    <row r="115" spans="1:7" x14ac:dyDescent="0.3">
      <c r="A115">
        <v>2010</v>
      </c>
      <c r="B115" s="9">
        <v>1200000000</v>
      </c>
      <c r="D115" t="s">
        <v>319</v>
      </c>
      <c r="E115" t="s">
        <v>121</v>
      </c>
      <c r="F115" t="s">
        <v>285</v>
      </c>
      <c r="G115" t="s">
        <v>320</v>
      </c>
    </row>
    <row r="116" spans="1:7" x14ac:dyDescent="0.3">
      <c r="A116">
        <v>2010</v>
      </c>
      <c r="B116" s="9">
        <v>1400000000</v>
      </c>
      <c r="D116" t="s">
        <v>321</v>
      </c>
      <c r="E116" t="s">
        <v>121</v>
      </c>
      <c r="F116" t="s">
        <v>285</v>
      </c>
      <c r="G116" t="s">
        <v>322</v>
      </c>
    </row>
    <row r="117" spans="1:7" x14ac:dyDescent="0.3">
      <c r="A117">
        <v>2010</v>
      </c>
      <c r="B117" s="9">
        <v>2000000000</v>
      </c>
      <c r="D117" t="s">
        <v>323</v>
      </c>
      <c r="E117" t="s">
        <v>66</v>
      </c>
      <c r="F117" t="s">
        <v>276</v>
      </c>
      <c r="G117" t="s">
        <v>324</v>
      </c>
    </row>
    <row r="118" spans="1:7" x14ac:dyDescent="0.3">
      <c r="A118">
        <v>2010</v>
      </c>
      <c r="B118" s="9">
        <v>2300000000</v>
      </c>
      <c r="D118" t="s">
        <v>325</v>
      </c>
      <c r="E118" t="s">
        <v>66</v>
      </c>
      <c r="F118" t="s">
        <v>285</v>
      </c>
      <c r="G118" t="s">
        <v>326</v>
      </c>
    </row>
    <row r="119" spans="1:7" x14ac:dyDescent="0.3">
      <c r="A119">
        <v>2011</v>
      </c>
      <c r="B119" s="9">
        <v>1870000000</v>
      </c>
      <c r="D119" t="s">
        <v>327</v>
      </c>
      <c r="E119" t="s">
        <v>143</v>
      </c>
      <c r="F119" t="s">
        <v>314</v>
      </c>
      <c r="G119" t="s">
        <v>328</v>
      </c>
    </row>
    <row r="120" spans="1:7" x14ac:dyDescent="0.3">
      <c r="A120">
        <v>2011</v>
      </c>
      <c r="B120" s="9">
        <v>1160000000</v>
      </c>
      <c r="D120" t="s">
        <v>329</v>
      </c>
      <c r="E120" t="s">
        <v>66</v>
      </c>
      <c r="F120" t="s">
        <v>317</v>
      </c>
      <c r="G120" t="s">
        <v>330</v>
      </c>
    </row>
    <row r="121" spans="1:7" x14ac:dyDescent="0.3">
      <c r="A121">
        <v>2011</v>
      </c>
      <c r="B121" s="9">
        <v>2270000000</v>
      </c>
      <c r="D121" t="s">
        <v>331</v>
      </c>
      <c r="E121" t="s">
        <v>66</v>
      </c>
      <c r="F121" t="s">
        <v>317</v>
      </c>
      <c r="G121" t="s">
        <v>332</v>
      </c>
    </row>
    <row r="122" spans="1:7" x14ac:dyDescent="0.3">
      <c r="D122" t="s">
        <v>333</v>
      </c>
    </row>
    <row r="123" spans="1:7" x14ac:dyDescent="0.3">
      <c r="A123">
        <v>2011</v>
      </c>
      <c r="B123" s="9">
        <v>2600000000</v>
      </c>
      <c r="D123" t="s">
        <v>334</v>
      </c>
      <c r="E123" t="s">
        <v>66</v>
      </c>
      <c r="F123" t="s">
        <v>317</v>
      </c>
      <c r="G123" t="s">
        <v>322</v>
      </c>
    </row>
    <row r="124" spans="1:7" x14ac:dyDescent="0.3">
      <c r="A124">
        <v>2012</v>
      </c>
      <c r="B124" s="9">
        <v>432000000</v>
      </c>
      <c r="D124" t="s">
        <v>335</v>
      </c>
      <c r="E124" t="s">
        <v>66</v>
      </c>
      <c r="F124" t="s">
        <v>317</v>
      </c>
      <c r="G124" t="s">
        <v>336</v>
      </c>
    </row>
    <row r="125" spans="1:7" x14ac:dyDescent="0.3">
      <c r="A125">
        <v>2012</v>
      </c>
      <c r="B125" s="9">
        <v>2990000000</v>
      </c>
      <c r="D125" t="s">
        <v>337</v>
      </c>
      <c r="E125" t="s">
        <v>143</v>
      </c>
      <c r="F125" t="s">
        <v>338</v>
      </c>
      <c r="G125" t="s">
        <v>339</v>
      </c>
    </row>
    <row r="126" spans="1:7" x14ac:dyDescent="0.3">
      <c r="A126">
        <v>2012</v>
      </c>
      <c r="B126" s="9">
        <v>1200000000</v>
      </c>
      <c r="D126" t="s">
        <v>340</v>
      </c>
      <c r="E126" t="s">
        <v>207</v>
      </c>
      <c r="F126" t="s">
        <v>317</v>
      </c>
      <c r="G126" t="s">
        <v>341</v>
      </c>
    </row>
    <row r="127" spans="1:7" x14ac:dyDescent="0.3">
      <c r="A127">
        <v>2012</v>
      </c>
      <c r="B127" s="9">
        <v>1303000000</v>
      </c>
      <c r="D127" t="s">
        <v>342</v>
      </c>
      <c r="E127" t="s">
        <v>207</v>
      </c>
      <c r="F127" t="s">
        <v>317</v>
      </c>
      <c r="G127" t="s">
        <v>343</v>
      </c>
    </row>
    <row r="128" spans="1:7" x14ac:dyDescent="0.3">
      <c r="A128">
        <v>2012</v>
      </c>
      <c r="B128" s="9">
        <v>1400000000</v>
      </c>
      <c r="D128" t="s">
        <v>344</v>
      </c>
      <c r="E128" t="s">
        <v>66</v>
      </c>
      <c r="F128" t="s">
        <v>345</v>
      </c>
      <c r="G128" t="s">
        <v>346</v>
      </c>
    </row>
    <row r="129" spans="1:7" x14ac:dyDescent="0.3">
      <c r="A129">
        <v>2012</v>
      </c>
      <c r="B129" s="9">
        <v>2100000000</v>
      </c>
      <c r="D129" t="s">
        <v>347</v>
      </c>
      <c r="E129" t="s">
        <v>121</v>
      </c>
      <c r="F129" t="s">
        <v>317</v>
      </c>
      <c r="G129" t="s">
        <v>320</v>
      </c>
    </row>
    <row r="130" spans="1:7" x14ac:dyDescent="0.3">
      <c r="A130">
        <v>2012</v>
      </c>
      <c r="B130" s="9">
        <v>2750000000</v>
      </c>
      <c r="D130" t="s">
        <v>348</v>
      </c>
      <c r="E130" t="s">
        <v>121</v>
      </c>
      <c r="F130" t="s">
        <v>317</v>
      </c>
      <c r="G130" t="s">
        <v>349</v>
      </c>
    </row>
    <row r="131" spans="1:7" x14ac:dyDescent="0.3">
      <c r="A131">
        <v>2012</v>
      </c>
      <c r="B131" s="9">
        <v>3100000000</v>
      </c>
      <c r="D131" t="s">
        <v>350</v>
      </c>
      <c r="E131" t="s">
        <v>66</v>
      </c>
      <c r="F131" t="s">
        <v>317</v>
      </c>
      <c r="G131" t="s">
        <v>351</v>
      </c>
    </row>
    <row r="132" spans="1:7" x14ac:dyDescent="0.3">
      <c r="A132">
        <v>2012</v>
      </c>
      <c r="B132" s="9">
        <v>5000000000</v>
      </c>
      <c r="D132" t="s">
        <v>352</v>
      </c>
      <c r="E132" t="s">
        <v>66</v>
      </c>
      <c r="F132" t="s">
        <v>345</v>
      </c>
      <c r="G132" t="s">
        <v>353</v>
      </c>
    </row>
    <row r="133" spans="1:7" x14ac:dyDescent="0.3">
      <c r="A133">
        <v>2013</v>
      </c>
      <c r="B133" s="9">
        <v>1000000000</v>
      </c>
      <c r="D133" t="s">
        <v>354</v>
      </c>
      <c r="E133" t="s">
        <v>355</v>
      </c>
      <c r="F133" t="s">
        <v>338</v>
      </c>
      <c r="G133" t="s">
        <v>155</v>
      </c>
    </row>
    <row r="134" spans="1:7" x14ac:dyDescent="0.3">
      <c r="A134">
        <v>2013</v>
      </c>
      <c r="B134" s="9">
        <v>1860000000</v>
      </c>
      <c r="D134" t="s">
        <v>356</v>
      </c>
      <c r="E134" t="s">
        <v>66</v>
      </c>
      <c r="F134" t="s">
        <v>345</v>
      </c>
      <c r="G134" t="s">
        <v>357</v>
      </c>
    </row>
    <row r="135" spans="1:7" x14ac:dyDescent="0.3">
      <c r="A135">
        <v>2013</v>
      </c>
      <c r="B135" s="9">
        <v>4200000000</v>
      </c>
      <c r="D135" t="s">
        <v>358</v>
      </c>
      <c r="E135" t="s">
        <v>121</v>
      </c>
      <c r="F135" t="s">
        <v>345</v>
      </c>
      <c r="G135" t="s">
        <v>359</v>
      </c>
    </row>
    <row r="136" spans="1:7" x14ac:dyDescent="0.3">
      <c r="A136">
        <v>2013</v>
      </c>
      <c r="B136" s="9">
        <v>5000000000</v>
      </c>
      <c r="D136" t="s">
        <v>360</v>
      </c>
      <c r="E136" t="s">
        <v>361</v>
      </c>
      <c r="F136" t="s">
        <v>338</v>
      </c>
      <c r="G136" t="s">
        <v>362</v>
      </c>
    </row>
    <row r="137" spans="1:7" x14ac:dyDescent="0.3">
      <c r="A137">
        <v>2014</v>
      </c>
      <c r="B137" s="9">
        <v>1400000000</v>
      </c>
      <c r="D137" t="s">
        <v>363</v>
      </c>
      <c r="E137" t="s">
        <v>66</v>
      </c>
      <c r="F137" t="s">
        <v>345</v>
      </c>
      <c r="G137" t="s">
        <v>364</v>
      </c>
    </row>
    <row r="138" spans="1:7" x14ac:dyDescent="0.3">
      <c r="A138">
        <v>2014</v>
      </c>
      <c r="B138" s="9">
        <v>2000000000</v>
      </c>
      <c r="D138" t="s">
        <v>365</v>
      </c>
      <c r="E138" t="s">
        <v>355</v>
      </c>
      <c r="F138" t="s">
        <v>366</v>
      </c>
      <c r="G138" t="s">
        <v>367</v>
      </c>
    </row>
    <row r="139" spans="1:7" x14ac:dyDescent="0.3">
      <c r="A139">
        <v>2014</v>
      </c>
      <c r="B139" s="9">
        <v>2600000000</v>
      </c>
      <c r="D139" t="s">
        <v>368</v>
      </c>
      <c r="E139" t="s">
        <v>66</v>
      </c>
      <c r="F139" t="s">
        <v>345</v>
      </c>
      <c r="G139" t="s">
        <v>369</v>
      </c>
    </row>
    <row r="140" spans="1:7" x14ac:dyDescent="0.3">
      <c r="A140">
        <v>2014</v>
      </c>
      <c r="B140" s="9">
        <v>3000000000</v>
      </c>
      <c r="D140" t="s">
        <v>370</v>
      </c>
      <c r="E140" t="s">
        <v>355</v>
      </c>
      <c r="F140" t="s">
        <v>366</v>
      </c>
      <c r="G140" t="s">
        <v>225</v>
      </c>
    </row>
    <row r="141" spans="1:7" x14ac:dyDescent="0.3">
      <c r="A141">
        <v>2014</v>
      </c>
      <c r="B141" s="9">
        <v>4310000000</v>
      </c>
      <c r="D141" t="s">
        <v>371</v>
      </c>
      <c r="E141" t="s">
        <v>66</v>
      </c>
      <c r="F141" t="s">
        <v>345</v>
      </c>
      <c r="G141" t="s">
        <v>372</v>
      </c>
    </row>
    <row r="142" spans="1:7" x14ac:dyDescent="0.3">
      <c r="A142">
        <v>2014</v>
      </c>
      <c r="B142" s="9">
        <v>5560000000</v>
      </c>
      <c r="D142" t="s">
        <v>373</v>
      </c>
      <c r="E142" t="s">
        <v>66</v>
      </c>
      <c r="F142" t="s">
        <v>345</v>
      </c>
      <c r="G142" t="s">
        <v>374</v>
      </c>
    </row>
    <row r="143" spans="1:7" x14ac:dyDescent="0.3">
      <c r="A143">
        <v>2015</v>
      </c>
      <c r="B143" s="9">
        <v>1750000000</v>
      </c>
      <c r="D143" t="s">
        <v>375</v>
      </c>
      <c r="E143" t="s">
        <v>66</v>
      </c>
      <c r="F143" t="s">
        <v>376</v>
      </c>
      <c r="G143" t="s">
        <v>377</v>
      </c>
    </row>
    <row r="144" spans="1:7" x14ac:dyDescent="0.3">
      <c r="A144">
        <v>2015</v>
      </c>
      <c r="B144" s="9">
        <v>1900000000</v>
      </c>
      <c r="D144" t="s">
        <v>378</v>
      </c>
      <c r="E144" t="s">
        <v>66</v>
      </c>
      <c r="F144" t="s">
        <v>376</v>
      </c>
      <c r="G144" t="s">
        <v>379</v>
      </c>
    </row>
    <row r="145" spans="1:7" x14ac:dyDescent="0.3">
      <c r="A145">
        <v>2015</v>
      </c>
      <c r="B145" s="9">
        <v>2000000000</v>
      </c>
      <c r="D145" t="s">
        <v>380</v>
      </c>
      <c r="E145" t="s">
        <v>355</v>
      </c>
      <c r="F145" t="s">
        <v>376</v>
      </c>
      <c r="G145" t="s">
        <v>381</v>
      </c>
    </row>
    <row r="146" spans="1:7" x14ac:dyDescent="0.3">
      <c r="F146" t="s">
        <v>382</v>
      </c>
      <c r="G146" t="s">
        <v>382</v>
      </c>
    </row>
    <row r="147" spans="1:7" x14ac:dyDescent="0.3">
      <c r="F147" t="s">
        <v>383</v>
      </c>
      <c r="G147" t="s">
        <v>384</v>
      </c>
    </row>
    <row r="148" spans="1:7" x14ac:dyDescent="0.3">
      <c r="F148" t="s">
        <v>385</v>
      </c>
      <c r="G148" t="s">
        <v>385</v>
      </c>
    </row>
    <row r="149" spans="1:7" x14ac:dyDescent="0.3">
      <c r="A149">
        <v>2015</v>
      </c>
      <c r="B149" s="9">
        <v>3000000000</v>
      </c>
      <c r="D149" t="s">
        <v>386</v>
      </c>
      <c r="E149" t="s">
        <v>355</v>
      </c>
      <c r="F149" t="s">
        <v>383</v>
      </c>
      <c r="G149" t="s">
        <v>387</v>
      </c>
    </row>
    <row r="150" spans="1:7" x14ac:dyDescent="0.3">
      <c r="A150">
        <v>2015</v>
      </c>
      <c r="B150" s="9">
        <v>3990000000</v>
      </c>
      <c r="D150" t="s">
        <v>388</v>
      </c>
      <c r="E150" t="s">
        <v>121</v>
      </c>
      <c r="F150" t="s">
        <v>345</v>
      </c>
      <c r="G150" t="s">
        <v>389</v>
      </c>
    </row>
    <row r="151" spans="1:7" x14ac:dyDescent="0.3">
      <c r="A151">
        <v>2015</v>
      </c>
      <c r="B151" s="9">
        <v>7100000000</v>
      </c>
      <c r="D151" t="s">
        <v>390</v>
      </c>
      <c r="E151" t="s">
        <v>121</v>
      </c>
      <c r="F151" t="s">
        <v>345</v>
      </c>
      <c r="G151" t="s">
        <v>389</v>
      </c>
    </row>
    <row r="152" spans="1:7" x14ac:dyDescent="0.3">
      <c r="A152">
        <v>2015</v>
      </c>
      <c r="B152" s="9">
        <v>10000000000</v>
      </c>
      <c r="D152" t="s">
        <v>391</v>
      </c>
      <c r="E152" t="s">
        <v>392</v>
      </c>
      <c r="F152" t="s">
        <v>366</v>
      </c>
    </row>
    <row r="153" spans="1:7" x14ac:dyDescent="0.3">
      <c r="A153">
        <v>2016</v>
      </c>
      <c r="B153" s="9">
        <v>3000000000</v>
      </c>
      <c r="D153" t="s">
        <v>393</v>
      </c>
      <c r="E153" t="s">
        <v>394</v>
      </c>
      <c r="F153" t="s">
        <v>395</v>
      </c>
      <c r="G153" t="s">
        <v>396</v>
      </c>
    </row>
    <row r="154" spans="1:7" x14ac:dyDescent="0.3">
      <c r="A154">
        <v>2016</v>
      </c>
      <c r="B154" s="9">
        <v>3200000000</v>
      </c>
      <c r="D154" t="s">
        <v>397</v>
      </c>
      <c r="E154" t="s">
        <v>66</v>
      </c>
      <c r="F154" t="s">
        <v>376</v>
      </c>
      <c r="G154" t="s">
        <v>398</v>
      </c>
    </row>
    <row r="155" spans="1:7" x14ac:dyDescent="0.3">
      <c r="A155">
        <v>2016</v>
      </c>
      <c r="B155" s="9">
        <v>3300000000</v>
      </c>
      <c r="D155" t="s">
        <v>399</v>
      </c>
      <c r="E155" t="s">
        <v>355</v>
      </c>
      <c r="F155" t="s">
        <v>383</v>
      </c>
      <c r="G155" t="s">
        <v>182</v>
      </c>
    </row>
    <row r="156" spans="1:7" x14ac:dyDescent="0.3">
      <c r="A156">
        <v>2016</v>
      </c>
      <c r="B156" s="9">
        <v>4000000000</v>
      </c>
      <c r="D156" t="s">
        <v>400</v>
      </c>
      <c r="E156" t="s">
        <v>401</v>
      </c>
      <c r="F156" t="s">
        <v>383</v>
      </c>
      <c r="G156" t="s">
        <v>402</v>
      </c>
    </row>
    <row r="157" spans="1:7" x14ac:dyDescent="0.3">
      <c r="A157">
        <v>2016</v>
      </c>
      <c r="B157" s="9">
        <v>7200000000</v>
      </c>
      <c r="D157" t="s">
        <v>403</v>
      </c>
      <c r="E157" t="s">
        <v>66</v>
      </c>
      <c r="F157" t="s">
        <v>376</v>
      </c>
      <c r="G157" t="s">
        <v>404</v>
      </c>
    </row>
    <row r="158" spans="1:7" x14ac:dyDescent="0.3">
      <c r="A158">
        <v>2016</v>
      </c>
      <c r="B158" s="9">
        <v>8000000000</v>
      </c>
      <c r="D158" t="s">
        <v>405</v>
      </c>
      <c r="E158" t="s">
        <v>66</v>
      </c>
      <c r="F158" t="s">
        <v>376</v>
      </c>
      <c r="G158" t="s">
        <v>406</v>
      </c>
    </row>
    <row r="159" spans="1:7" x14ac:dyDescent="0.3">
      <c r="A159">
        <v>2016</v>
      </c>
      <c r="B159" t="s">
        <v>407</v>
      </c>
      <c r="D159" t="s">
        <v>408</v>
      </c>
      <c r="E159" t="s">
        <v>409</v>
      </c>
    </row>
    <row r="160" spans="1:7" x14ac:dyDescent="0.3">
      <c r="A160">
        <v>2017</v>
      </c>
      <c r="B160" s="9">
        <v>5300000000</v>
      </c>
      <c r="D160" t="s">
        <v>410</v>
      </c>
      <c r="E160" t="s">
        <v>394</v>
      </c>
      <c r="F160" t="s">
        <v>395</v>
      </c>
      <c r="G160" t="s">
        <v>411</v>
      </c>
    </row>
    <row r="161" spans="1:7" x14ac:dyDescent="0.3">
      <c r="A161">
        <v>2017</v>
      </c>
      <c r="B161" s="9">
        <v>5300000000</v>
      </c>
      <c r="D161" t="s">
        <v>412</v>
      </c>
      <c r="E161" t="s">
        <v>394</v>
      </c>
      <c r="F161" t="s">
        <v>395</v>
      </c>
      <c r="G161" t="s">
        <v>411</v>
      </c>
    </row>
    <row r="162" spans="1:7" x14ac:dyDescent="0.3">
      <c r="A162">
        <v>2017</v>
      </c>
      <c r="B162" s="9">
        <v>4300000000</v>
      </c>
      <c r="D162" t="s">
        <v>413</v>
      </c>
      <c r="E162" t="s">
        <v>355</v>
      </c>
      <c r="F162" t="s">
        <v>395</v>
      </c>
      <c r="G162" t="s">
        <v>414</v>
      </c>
    </row>
    <row r="163" spans="1:7" x14ac:dyDescent="0.3">
      <c r="A163">
        <v>2017</v>
      </c>
      <c r="B163" s="9">
        <v>4800000000</v>
      </c>
      <c r="D163" t="s">
        <v>415</v>
      </c>
      <c r="E163" t="s">
        <v>207</v>
      </c>
      <c r="F163" t="s">
        <v>376</v>
      </c>
      <c r="G163" t="s">
        <v>416</v>
      </c>
    </row>
    <row r="164" spans="1:7" x14ac:dyDescent="0.3">
      <c r="A164">
        <v>2017</v>
      </c>
      <c r="B164" s="9">
        <v>4800000000</v>
      </c>
      <c r="D164" t="s">
        <v>417</v>
      </c>
      <c r="E164" t="s">
        <v>207</v>
      </c>
      <c r="F164" t="s">
        <v>376</v>
      </c>
      <c r="G164" t="s">
        <v>176</v>
      </c>
    </row>
    <row r="165" spans="1:7" x14ac:dyDescent="0.3">
      <c r="A165">
        <v>2017</v>
      </c>
      <c r="B165" s="9">
        <v>4800000000</v>
      </c>
      <c r="D165" t="s">
        <v>418</v>
      </c>
      <c r="E165" t="s">
        <v>207</v>
      </c>
      <c r="F165" t="s">
        <v>376</v>
      </c>
      <c r="G165" t="s">
        <v>176</v>
      </c>
    </row>
    <row r="166" spans="1:7" x14ac:dyDescent="0.3">
      <c r="A166">
        <v>2017</v>
      </c>
      <c r="B166" s="9">
        <v>6100000000</v>
      </c>
      <c r="D166" t="s">
        <v>419</v>
      </c>
      <c r="E166" t="s">
        <v>121</v>
      </c>
      <c r="F166" t="s">
        <v>376</v>
      </c>
      <c r="G166" t="s">
        <v>420</v>
      </c>
    </row>
    <row r="167" spans="1:7" x14ac:dyDescent="0.3">
      <c r="A167">
        <v>2017</v>
      </c>
      <c r="B167" s="9">
        <v>5500000000</v>
      </c>
      <c r="D167" t="s">
        <v>421</v>
      </c>
      <c r="E167" t="s">
        <v>401</v>
      </c>
      <c r="F167" t="s">
        <v>395</v>
      </c>
      <c r="G167" t="s">
        <v>422</v>
      </c>
    </row>
    <row r="168" spans="1:7" x14ac:dyDescent="0.3">
      <c r="A168">
        <v>2017</v>
      </c>
      <c r="B168" s="9">
        <v>7000000000</v>
      </c>
      <c r="D168" t="s">
        <v>423</v>
      </c>
      <c r="E168" t="s">
        <v>361</v>
      </c>
      <c r="F168" t="s">
        <v>383</v>
      </c>
      <c r="G168" t="s">
        <v>424</v>
      </c>
    </row>
    <row r="169" spans="1:7" x14ac:dyDescent="0.3">
      <c r="A169">
        <v>2017</v>
      </c>
      <c r="B169" s="9">
        <v>8000000000</v>
      </c>
      <c r="D169" t="s">
        <v>425</v>
      </c>
      <c r="E169" t="s">
        <v>66</v>
      </c>
      <c r="F169" t="s">
        <v>376</v>
      </c>
    </row>
    <row r="170" spans="1:7" x14ac:dyDescent="0.3">
      <c r="A170">
        <v>2017</v>
      </c>
      <c r="B170" s="9">
        <v>8000000000</v>
      </c>
      <c r="D170" t="s">
        <v>426</v>
      </c>
      <c r="E170" t="s">
        <v>121</v>
      </c>
      <c r="F170" t="s">
        <v>376</v>
      </c>
      <c r="G170" t="s">
        <v>427</v>
      </c>
    </row>
    <row r="171" spans="1:7" x14ac:dyDescent="0.3">
      <c r="A171">
        <v>2017</v>
      </c>
      <c r="B171" s="9">
        <v>9700000000</v>
      </c>
      <c r="D171" t="s">
        <v>428</v>
      </c>
      <c r="E171" t="s">
        <v>121</v>
      </c>
      <c r="F171" t="s">
        <v>376</v>
      </c>
      <c r="G171" t="s">
        <v>420</v>
      </c>
    </row>
    <row r="172" spans="1:7" x14ac:dyDescent="0.3">
      <c r="A172">
        <v>2017</v>
      </c>
      <c r="B172" s="9">
        <v>250000000</v>
      </c>
      <c r="D172" t="s">
        <v>429</v>
      </c>
      <c r="E172" t="s">
        <v>430</v>
      </c>
      <c r="F172" t="s">
        <v>338</v>
      </c>
      <c r="G172" t="s">
        <v>431</v>
      </c>
    </row>
    <row r="173" spans="1:7" x14ac:dyDescent="0.3">
      <c r="A173">
        <v>2017</v>
      </c>
      <c r="B173" s="9">
        <v>5450000000</v>
      </c>
      <c r="D173" t="s">
        <v>432</v>
      </c>
      <c r="E173" t="s">
        <v>143</v>
      </c>
      <c r="F173" t="s">
        <v>366</v>
      </c>
      <c r="G173" t="s">
        <v>433</v>
      </c>
    </row>
    <row r="174" spans="1:7" x14ac:dyDescent="0.3">
      <c r="A174">
        <v>2017</v>
      </c>
      <c r="B174" s="9">
        <v>4300000000</v>
      </c>
      <c r="D174" t="s">
        <v>434</v>
      </c>
      <c r="E174" t="s">
        <v>355</v>
      </c>
      <c r="F174" t="s">
        <v>395</v>
      </c>
      <c r="G174" t="s">
        <v>435</v>
      </c>
    </row>
    <row r="175" spans="1:7" x14ac:dyDescent="0.3">
      <c r="A175">
        <v>2017</v>
      </c>
      <c r="B175" s="9">
        <v>18000000000</v>
      </c>
      <c r="D175" t="s">
        <v>436</v>
      </c>
      <c r="E175" t="s">
        <v>394</v>
      </c>
      <c r="F175" t="s">
        <v>395</v>
      </c>
      <c r="G175" t="s">
        <v>437</v>
      </c>
    </row>
    <row r="176" spans="1:7" x14ac:dyDescent="0.3">
      <c r="A176">
        <v>2017</v>
      </c>
      <c r="B176" s="9">
        <v>19200000000</v>
      </c>
      <c r="D176" t="s">
        <v>438</v>
      </c>
      <c r="E176" t="s">
        <v>207</v>
      </c>
      <c r="F176" t="s">
        <v>376</v>
      </c>
      <c r="G176" t="s">
        <v>439</v>
      </c>
    </row>
    <row r="177" spans="1:7" x14ac:dyDescent="0.3">
      <c r="A177">
        <v>2018</v>
      </c>
      <c r="B177" t="s">
        <v>62</v>
      </c>
      <c r="D177" t="s">
        <v>440</v>
      </c>
      <c r="E177" t="s">
        <v>394</v>
      </c>
      <c r="F177" t="s">
        <v>395</v>
      </c>
      <c r="G177" t="s">
        <v>62</v>
      </c>
    </row>
    <row r="178" spans="1:7" x14ac:dyDescent="0.3">
      <c r="A178">
        <v>2018</v>
      </c>
      <c r="B178" t="s">
        <v>62</v>
      </c>
      <c r="D178" t="s">
        <v>441</v>
      </c>
      <c r="E178" t="s">
        <v>394</v>
      </c>
      <c r="F178" t="s">
        <v>442</v>
      </c>
      <c r="G178" t="s">
        <v>62</v>
      </c>
    </row>
    <row r="179" spans="1:7" x14ac:dyDescent="0.3">
      <c r="A179">
        <v>2018</v>
      </c>
      <c r="B179" t="s">
        <v>62</v>
      </c>
      <c r="D179" t="s">
        <v>443</v>
      </c>
      <c r="E179" t="s">
        <v>394</v>
      </c>
      <c r="F179" t="s">
        <v>444</v>
      </c>
      <c r="G179" t="s">
        <v>445</v>
      </c>
    </row>
    <row r="180" spans="1:7" x14ac:dyDescent="0.3">
      <c r="A180">
        <v>2018</v>
      </c>
      <c r="B180" s="9">
        <v>8500000000</v>
      </c>
      <c r="D180" t="s">
        <v>446</v>
      </c>
      <c r="E180" t="s">
        <v>394</v>
      </c>
      <c r="F180" t="s">
        <v>444</v>
      </c>
      <c r="G180" t="s">
        <v>447</v>
      </c>
    </row>
    <row r="181" spans="1:7" x14ac:dyDescent="0.3">
      <c r="A181">
        <v>2018</v>
      </c>
      <c r="B181" s="9">
        <v>6900000000</v>
      </c>
      <c r="D181" t="s">
        <v>448</v>
      </c>
      <c r="E181" t="s">
        <v>355</v>
      </c>
      <c r="F181" t="s">
        <v>444</v>
      </c>
      <c r="G181" t="s">
        <v>449</v>
      </c>
    </row>
    <row r="182" spans="1:7" x14ac:dyDescent="0.3">
      <c r="A182">
        <v>2018</v>
      </c>
      <c r="B182" s="9">
        <v>6900000000</v>
      </c>
      <c r="D182" t="s">
        <v>450</v>
      </c>
      <c r="E182" t="s">
        <v>401</v>
      </c>
      <c r="F182" t="s">
        <v>444</v>
      </c>
      <c r="G182" t="s">
        <v>451</v>
      </c>
    </row>
    <row r="183" spans="1:7" x14ac:dyDescent="0.3">
      <c r="A183">
        <v>2018</v>
      </c>
      <c r="B183" s="9">
        <v>5500000000</v>
      </c>
      <c r="D183" t="s">
        <v>452</v>
      </c>
      <c r="E183" t="s">
        <v>401</v>
      </c>
      <c r="F183" t="s">
        <v>453</v>
      </c>
    </row>
    <row r="184" spans="1:7" x14ac:dyDescent="0.3">
      <c r="A184">
        <v>2018</v>
      </c>
      <c r="B184" s="9">
        <v>10000000000</v>
      </c>
      <c r="D184" t="s">
        <v>454</v>
      </c>
      <c r="E184" t="s">
        <v>355</v>
      </c>
      <c r="F184" t="s">
        <v>444</v>
      </c>
      <c r="G184" t="s">
        <v>455</v>
      </c>
    </row>
    <row r="185" spans="1:7" x14ac:dyDescent="0.3">
      <c r="A185">
        <v>2019</v>
      </c>
      <c r="B185" s="9">
        <v>8500000000</v>
      </c>
      <c r="D185" t="s">
        <v>456</v>
      </c>
      <c r="E185" t="s">
        <v>355</v>
      </c>
      <c r="F185" t="s">
        <v>444</v>
      </c>
      <c r="G185" t="s">
        <v>457</v>
      </c>
    </row>
    <row r="186" spans="1:7" x14ac:dyDescent="0.3">
      <c r="A186">
        <v>2018</v>
      </c>
      <c r="B186" s="9">
        <v>8786000000</v>
      </c>
      <c r="D186" t="s">
        <v>458</v>
      </c>
      <c r="E186" t="s">
        <v>143</v>
      </c>
      <c r="F186" t="s">
        <v>444</v>
      </c>
    </row>
    <row r="187" spans="1:7" x14ac:dyDescent="0.3">
      <c r="A187">
        <v>2018</v>
      </c>
      <c r="B187" s="9">
        <v>23600000000</v>
      </c>
      <c r="D187" t="s">
        <v>459</v>
      </c>
      <c r="E187" t="s">
        <v>460</v>
      </c>
      <c r="F187" t="s">
        <v>383</v>
      </c>
      <c r="G187" t="s">
        <v>461</v>
      </c>
    </row>
    <row r="188" spans="1:7" x14ac:dyDescent="0.3">
      <c r="A188">
        <v>2018</v>
      </c>
      <c r="B188" s="9">
        <v>9000000000</v>
      </c>
      <c r="D188" t="s">
        <v>462</v>
      </c>
      <c r="E188" t="s">
        <v>463</v>
      </c>
      <c r="F188" t="s">
        <v>453</v>
      </c>
      <c r="G188" t="s">
        <v>464</v>
      </c>
    </row>
    <row r="189" spans="1:7" x14ac:dyDescent="0.3">
      <c r="A189">
        <v>2019</v>
      </c>
      <c r="B189" t="s">
        <v>62</v>
      </c>
      <c r="D189" t="s">
        <v>465</v>
      </c>
      <c r="E189" t="s">
        <v>466</v>
      </c>
      <c r="F189" t="s">
        <v>467</v>
      </c>
      <c r="G189" t="s">
        <v>468</v>
      </c>
    </row>
    <row r="190" spans="1:7" x14ac:dyDescent="0.3">
      <c r="A190">
        <v>2019</v>
      </c>
      <c r="B190" s="9">
        <v>5990000000</v>
      </c>
      <c r="D190" t="s">
        <v>469</v>
      </c>
      <c r="E190" t="s">
        <v>207</v>
      </c>
      <c r="F190" t="s">
        <v>470</v>
      </c>
      <c r="G190" t="s">
        <v>471</v>
      </c>
    </row>
    <row r="191" spans="1:7" x14ac:dyDescent="0.3">
      <c r="A191">
        <v>2019</v>
      </c>
      <c r="B191" s="9">
        <v>9890000000</v>
      </c>
      <c r="D191" t="s">
        <v>472</v>
      </c>
      <c r="E191" t="s">
        <v>207</v>
      </c>
      <c r="F191" t="s">
        <v>470</v>
      </c>
      <c r="G191" t="s">
        <v>473</v>
      </c>
    </row>
    <row r="192" spans="1:7" x14ac:dyDescent="0.3">
      <c r="A192">
        <v>2019</v>
      </c>
      <c r="B192" s="9">
        <v>39540000000</v>
      </c>
      <c r="D192" t="s">
        <v>474</v>
      </c>
      <c r="E192" t="s">
        <v>207</v>
      </c>
      <c r="F192" t="s">
        <v>470</v>
      </c>
      <c r="G192" t="s">
        <v>475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C8A7-4D9A-4B5D-A674-141B490CCB31}">
  <dimension ref="A42:K94"/>
  <sheetViews>
    <sheetView topLeftCell="L1" zoomScaleNormal="100" workbookViewId="0">
      <selection activeCell="AA23" sqref="AA23"/>
    </sheetView>
  </sheetViews>
  <sheetFormatPr baseColWidth="10" defaultRowHeight="14.4" x14ac:dyDescent="0.3"/>
  <sheetData>
    <row r="42" spans="1:11" x14ac:dyDescent="0.3">
      <c r="A42" s="7" t="s">
        <v>20</v>
      </c>
      <c r="B42" t="s">
        <v>562</v>
      </c>
      <c r="C42" t="s">
        <v>500</v>
      </c>
      <c r="D42" s="7" t="s">
        <v>498</v>
      </c>
      <c r="E42" s="7" t="s">
        <v>485</v>
      </c>
      <c r="F42" s="7" t="s">
        <v>499</v>
      </c>
    </row>
    <row r="43" spans="1:11" x14ac:dyDescent="0.3">
      <c r="A43">
        <v>2015</v>
      </c>
      <c r="B43">
        <v>15</v>
      </c>
      <c r="C43">
        <v>15</v>
      </c>
      <c r="D43">
        <v>15</v>
      </c>
      <c r="E43">
        <v>15</v>
      </c>
      <c r="F43">
        <v>15</v>
      </c>
      <c r="J43">
        <f>12/36*2</f>
        <v>0.66666666666666663</v>
      </c>
    </row>
    <row r="44" spans="1:11" x14ac:dyDescent="0.3">
      <c r="A44">
        <v>2016</v>
      </c>
      <c r="F44">
        <f t="shared" ref="F44:F68" si="0">F43*2</f>
        <v>30</v>
      </c>
      <c r="J44">
        <f>2*12/36</f>
        <v>0.66666666666666663</v>
      </c>
      <c r="K44">
        <f>J44*2.5</f>
        <v>1.6666666666666665</v>
      </c>
    </row>
    <row r="45" spans="1:11" x14ac:dyDescent="0.3">
      <c r="A45">
        <v>2017</v>
      </c>
      <c r="D45">
        <f>D43*2</f>
        <v>30</v>
      </c>
      <c r="F45">
        <f t="shared" si="0"/>
        <v>60</v>
      </c>
    </row>
    <row r="46" spans="1:11" x14ac:dyDescent="0.3">
      <c r="A46">
        <v>2018</v>
      </c>
      <c r="E46">
        <f>E43*4</f>
        <v>60</v>
      </c>
      <c r="F46">
        <f t="shared" si="0"/>
        <v>120</v>
      </c>
    </row>
    <row r="47" spans="1:11" x14ac:dyDescent="0.3">
      <c r="A47">
        <v>2019</v>
      </c>
      <c r="B47">
        <f>B43*2</f>
        <v>30</v>
      </c>
      <c r="D47">
        <f>D45*2</f>
        <v>60</v>
      </c>
      <c r="F47">
        <f t="shared" si="0"/>
        <v>240</v>
      </c>
    </row>
    <row r="48" spans="1:11" x14ac:dyDescent="0.3">
      <c r="A48">
        <v>2020</v>
      </c>
      <c r="C48">
        <f>4*C43</f>
        <v>60</v>
      </c>
      <c r="F48">
        <f t="shared" si="0"/>
        <v>480</v>
      </c>
    </row>
    <row r="49" spans="1:6" x14ac:dyDescent="0.3">
      <c r="A49">
        <v>2021</v>
      </c>
      <c r="D49">
        <f>D47*2</f>
        <v>120</v>
      </c>
      <c r="E49">
        <f>E46*4</f>
        <v>240</v>
      </c>
      <c r="F49">
        <f t="shared" si="0"/>
        <v>960</v>
      </c>
    </row>
    <row r="50" spans="1:6" x14ac:dyDescent="0.3">
      <c r="A50">
        <v>2022</v>
      </c>
      <c r="F50">
        <f t="shared" si="0"/>
        <v>1920</v>
      </c>
    </row>
    <row r="51" spans="1:6" x14ac:dyDescent="0.3">
      <c r="A51">
        <v>2023</v>
      </c>
      <c r="B51">
        <f>B47*2</f>
        <v>60</v>
      </c>
      <c r="D51">
        <f>D49*2</f>
        <v>240</v>
      </c>
      <c r="F51">
        <f t="shared" si="0"/>
        <v>3840</v>
      </c>
    </row>
    <row r="52" spans="1:6" x14ac:dyDescent="0.3">
      <c r="A52">
        <v>2024</v>
      </c>
      <c r="E52">
        <f>E49*4</f>
        <v>960</v>
      </c>
      <c r="F52">
        <f t="shared" si="0"/>
        <v>7680</v>
      </c>
    </row>
    <row r="53" spans="1:6" x14ac:dyDescent="0.3">
      <c r="A53">
        <v>2025</v>
      </c>
      <c r="C53">
        <f>4*C48</f>
        <v>240</v>
      </c>
      <c r="D53">
        <f>D51*2</f>
        <v>480</v>
      </c>
      <c r="F53">
        <f t="shared" si="0"/>
        <v>15360</v>
      </c>
    </row>
    <row r="54" spans="1:6" x14ac:dyDescent="0.3">
      <c r="A54">
        <v>2026</v>
      </c>
      <c r="F54">
        <f t="shared" si="0"/>
        <v>30720</v>
      </c>
    </row>
    <row r="55" spans="1:6" x14ac:dyDescent="0.3">
      <c r="A55">
        <v>2027</v>
      </c>
      <c r="B55">
        <f>B51*2</f>
        <v>120</v>
      </c>
      <c r="D55">
        <f>D53*2</f>
        <v>960</v>
      </c>
      <c r="E55">
        <f>E52*4</f>
        <v>3840</v>
      </c>
      <c r="F55">
        <f t="shared" si="0"/>
        <v>61440</v>
      </c>
    </row>
    <row r="56" spans="1:6" x14ac:dyDescent="0.3">
      <c r="A56">
        <v>2028</v>
      </c>
      <c r="F56">
        <f t="shared" si="0"/>
        <v>122880</v>
      </c>
    </row>
    <row r="57" spans="1:6" x14ac:dyDescent="0.3">
      <c r="A57">
        <v>2029</v>
      </c>
      <c r="D57">
        <f>D55*2</f>
        <v>1920</v>
      </c>
      <c r="F57">
        <f t="shared" si="0"/>
        <v>245760</v>
      </c>
    </row>
    <row r="58" spans="1:6" x14ac:dyDescent="0.3">
      <c r="A58">
        <v>2030</v>
      </c>
      <c r="C58">
        <f>4*C53</f>
        <v>960</v>
      </c>
      <c r="E58">
        <f>E55*4</f>
        <v>15360</v>
      </c>
      <c r="F58">
        <f t="shared" si="0"/>
        <v>491520</v>
      </c>
    </row>
    <row r="59" spans="1:6" x14ac:dyDescent="0.3">
      <c r="A59">
        <v>2031</v>
      </c>
      <c r="B59">
        <f>B55*2</f>
        <v>240</v>
      </c>
      <c r="D59">
        <f>D57*2</f>
        <v>3840</v>
      </c>
      <c r="F59">
        <f t="shared" si="0"/>
        <v>983040</v>
      </c>
    </row>
    <row r="60" spans="1:6" x14ac:dyDescent="0.3">
      <c r="A60">
        <v>2032</v>
      </c>
      <c r="F60">
        <f t="shared" si="0"/>
        <v>1966080</v>
      </c>
    </row>
    <row r="61" spans="1:6" x14ac:dyDescent="0.3">
      <c r="A61">
        <v>2033</v>
      </c>
      <c r="D61">
        <f>D59*2</f>
        <v>7680</v>
      </c>
      <c r="E61">
        <f>E58*4</f>
        <v>61440</v>
      </c>
      <c r="F61">
        <f t="shared" si="0"/>
        <v>3932160</v>
      </c>
    </row>
    <row r="62" spans="1:6" x14ac:dyDescent="0.3">
      <c r="A62">
        <v>2034</v>
      </c>
      <c r="F62">
        <f t="shared" si="0"/>
        <v>7864320</v>
      </c>
    </row>
    <row r="63" spans="1:6" x14ac:dyDescent="0.3">
      <c r="A63">
        <v>2035</v>
      </c>
      <c r="B63">
        <f>B59*2</f>
        <v>480</v>
      </c>
      <c r="C63">
        <f>4*C58</f>
        <v>3840</v>
      </c>
      <c r="D63">
        <f>D61*2</f>
        <v>15360</v>
      </c>
      <c r="F63">
        <f t="shared" si="0"/>
        <v>15728640</v>
      </c>
    </row>
    <row r="64" spans="1:6" x14ac:dyDescent="0.3">
      <c r="A64">
        <v>2036</v>
      </c>
      <c r="F64">
        <f t="shared" si="0"/>
        <v>31457280</v>
      </c>
    </row>
    <row r="65" spans="1:6" x14ac:dyDescent="0.3">
      <c r="A65">
        <v>2037</v>
      </c>
      <c r="F65">
        <f t="shared" si="0"/>
        <v>62914560</v>
      </c>
    </row>
    <row r="66" spans="1:6" x14ac:dyDescent="0.3">
      <c r="A66">
        <v>2038</v>
      </c>
      <c r="F66">
        <f t="shared" si="0"/>
        <v>125829120</v>
      </c>
    </row>
    <row r="67" spans="1:6" x14ac:dyDescent="0.3">
      <c r="A67">
        <v>2039</v>
      </c>
      <c r="B67">
        <f>B63*2</f>
        <v>960</v>
      </c>
      <c r="F67">
        <f t="shared" si="0"/>
        <v>251658240</v>
      </c>
    </row>
    <row r="68" spans="1:6" x14ac:dyDescent="0.3">
      <c r="A68">
        <v>2040</v>
      </c>
      <c r="F68">
        <f t="shared" si="0"/>
        <v>503316480</v>
      </c>
    </row>
    <row r="72" spans="1:6" x14ac:dyDescent="0.3">
      <c r="D72" s="7" t="s">
        <v>498</v>
      </c>
    </row>
    <row r="73" spans="1:6" x14ac:dyDescent="0.3">
      <c r="A73">
        <v>2010</v>
      </c>
      <c r="D73">
        <v>15</v>
      </c>
    </row>
    <row r="74" spans="1:6" x14ac:dyDescent="0.3">
      <c r="A74">
        <v>2011</v>
      </c>
    </row>
    <row r="75" spans="1:6" x14ac:dyDescent="0.3">
      <c r="A75">
        <v>2012</v>
      </c>
      <c r="D75">
        <f>D73*2</f>
        <v>30</v>
      </c>
    </row>
    <row r="76" spans="1:6" x14ac:dyDescent="0.3">
      <c r="A76">
        <v>2013</v>
      </c>
    </row>
    <row r="77" spans="1:6" x14ac:dyDescent="0.3">
      <c r="A77">
        <v>2014</v>
      </c>
      <c r="D77">
        <f>D75*2</f>
        <v>60</v>
      </c>
    </row>
    <row r="78" spans="1:6" x14ac:dyDescent="0.3">
      <c r="A78">
        <v>2015</v>
      </c>
    </row>
    <row r="79" spans="1:6" x14ac:dyDescent="0.3">
      <c r="A79">
        <v>2016</v>
      </c>
      <c r="D79">
        <f>D77*2</f>
        <v>120</v>
      </c>
    </row>
    <row r="80" spans="1:6" x14ac:dyDescent="0.3">
      <c r="A80">
        <v>2017</v>
      </c>
    </row>
    <row r="81" spans="1:4" x14ac:dyDescent="0.3">
      <c r="A81">
        <v>2018</v>
      </c>
      <c r="D81">
        <f>D79*2</f>
        <v>240</v>
      </c>
    </row>
    <row r="82" spans="1:4" x14ac:dyDescent="0.3">
      <c r="A82">
        <v>2019</v>
      </c>
    </row>
    <row r="83" spans="1:4" x14ac:dyDescent="0.3">
      <c r="A83">
        <v>2020</v>
      </c>
      <c r="D83">
        <f>D81*2</f>
        <v>480</v>
      </c>
    </row>
    <row r="84" spans="1:4" x14ac:dyDescent="0.3">
      <c r="A84">
        <v>2021</v>
      </c>
    </row>
    <row r="85" spans="1:4" x14ac:dyDescent="0.3">
      <c r="A85">
        <v>2022</v>
      </c>
      <c r="D85">
        <f>D83*2</f>
        <v>960</v>
      </c>
    </row>
    <row r="86" spans="1:4" x14ac:dyDescent="0.3">
      <c r="A86">
        <v>2023</v>
      </c>
    </row>
    <row r="87" spans="1:4" x14ac:dyDescent="0.3">
      <c r="A87">
        <v>2024</v>
      </c>
      <c r="D87">
        <f>D85*2</f>
        <v>1920</v>
      </c>
    </row>
    <row r="88" spans="1:4" x14ac:dyDescent="0.3">
      <c r="A88">
        <v>2025</v>
      </c>
    </row>
    <row r="89" spans="1:4" x14ac:dyDescent="0.3">
      <c r="A89">
        <v>2026</v>
      </c>
      <c r="D89">
        <f>D87*2</f>
        <v>3840</v>
      </c>
    </row>
    <row r="90" spans="1:4" x14ac:dyDescent="0.3">
      <c r="A90">
        <v>2027</v>
      </c>
    </row>
    <row r="91" spans="1:4" x14ac:dyDescent="0.3">
      <c r="A91">
        <v>2028</v>
      </c>
      <c r="D91">
        <f>D89*2</f>
        <v>7680</v>
      </c>
    </row>
    <row r="92" spans="1:4" x14ac:dyDescent="0.3">
      <c r="A92">
        <v>2029</v>
      </c>
    </row>
    <row r="93" spans="1:4" x14ac:dyDescent="0.3">
      <c r="A93">
        <v>2030</v>
      </c>
      <c r="D93">
        <f>D91*2</f>
        <v>15360</v>
      </c>
    </row>
    <row r="94" spans="1:4" x14ac:dyDescent="0.3">
      <c r="A94">
        <v>2031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9254FA996BFDD4481BAED98F366D327" ma:contentTypeVersion="11" ma:contentTypeDescription="Create a new document." ma:contentTypeScope="" ma:versionID="dd43cbf97d9920ae072b4b71751e89db">
  <xsd:schema xmlns:xsd="http://www.w3.org/2001/XMLSchema" xmlns:xs="http://www.w3.org/2001/XMLSchema" xmlns:p="http://schemas.microsoft.com/office/2006/metadata/properties" xmlns:ns2="558e4ae2-bbe0-47dc-afec-414fd4c8278a" xmlns:ns3="5af84ac9-9794-49e0-853c-aa3821d89eb5" targetNamespace="http://schemas.microsoft.com/office/2006/metadata/properties" ma:root="true" ma:fieldsID="6aae193d7f03bc170c0ad532126ecd61" ns2:_="" ns3:_="">
    <xsd:import namespace="558e4ae2-bbe0-47dc-afec-414fd4c8278a"/>
    <xsd:import namespace="5af84ac9-9794-49e0-853c-aa3821d89eb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8e4ae2-bbe0-47dc-afec-414fd4c82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bbcab6d-9f64-4ec4-bcc9-7ca03d4e1f6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84ac9-9794-49e0-853c-aa3821d89eb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02ecf35-a089-4a1a-b1c7-a22e5fe335b8}" ma:internalName="TaxCatchAll" ma:showField="CatchAllData" ma:web="5af84ac9-9794-49e0-853c-aa3821d89e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af84ac9-9794-49e0-853c-aa3821d89eb5" xsi:nil="true"/>
    <lcf76f155ced4ddcb4097134ff3c332f xmlns="558e4ae2-bbe0-47dc-afec-414fd4c8278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E488644-A44D-4E03-8367-9BC9182BA25B}"/>
</file>

<file path=customXml/itemProps2.xml><?xml version="1.0" encoding="utf-8"?>
<ds:datastoreItem xmlns:ds="http://schemas.openxmlformats.org/officeDocument/2006/customXml" ds:itemID="{275CE0C1-9421-48AB-818E-84A5CA849A91}"/>
</file>

<file path=customXml/itemProps3.xml><?xml version="1.0" encoding="utf-8"?>
<ds:datastoreItem xmlns:ds="http://schemas.openxmlformats.org/officeDocument/2006/customXml" ds:itemID="{0357FD18-2CA4-48C6-8EA6-E37D55F1A3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Feedfoward</vt:lpstr>
      <vt:lpstr>Waveguide meshes</vt:lpstr>
      <vt:lpstr>OpticalSwitches</vt:lpstr>
      <vt:lpstr>Other Reconfigurable devices</vt:lpstr>
      <vt:lpstr>Transistors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dapelo2</dc:creator>
  <cp:lastModifiedBy>Daniel Pérez López</cp:lastModifiedBy>
  <dcterms:created xsi:type="dcterms:W3CDTF">2019-04-23T13:24:36Z</dcterms:created>
  <dcterms:modified xsi:type="dcterms:W3CDTF">2021-08-19T17:53:09Z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0x01010029254FA996BFDD4481BAED98F366D327</vt:lpwstr>
  </property>
</Properties>
</file>